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5480" windowHeight="11640" tabRatio="905" firstSheet="14" activeTab="23"/>
  </bookViews>
  <sheets>
    <sheet name="таб 2(свод)" sheetId="1" r:id="rId1"/>
    <sheet name="таб 1(1)" sheetId="2" r:id="rId2"/>
    <sheet name="таб 2(1)" sheetId="3" r:id="rId3"/>
    <sheet name="таб 3(1)" sheetId="4" r:id="rId4"/>
    <sheet name="таб  1(2)" sheetId="5" r:id="rId5"/>
    <sheet name="таб 2(2)" sheetId="6" r:id="rId6"/>
    <sheet name="таб 3(2)" sheetId="7" r:id="rId7"/>
    <sheet name="таб 1(3)" sheetId="8" r:id="rId8"/>
    <sheet name="таб 2(3)" sheetId="9" r:id="rId9"/>
    <sheet name="таб 3(3)" sheetId="10" r:id="rId10"/>
    <sheet name="таб 1(4)" sheetId="11" r:id="rId11"/>
    <sheet name="таб 2(4)" sheetId="12" r:id="rId12"/>
    <sheet name="таб 3(4)" sheetId="13" r:id="rId13"/>
    <sheet name="таб 1(5)" sheetId="14" r:id="rId14"/>
    <sheet name="таб 2(5)" sheetId="15" r:id="rId15"/>
    <sheet name="таб 3(5)" sheetId="16" r:id="rId16"/>
    <sheet name="таб 1(6)" sheetId="17" r:id="rId17"/>
    <sheet name="таб 2(6)" sheetId="18" r:id="rId18"/>
    <sheet name="таб 3(6)" sheetId="19" r:id="rId19"/>
    <sheet name="таб 1(7)" sheetId="20" r:id="rId20"/>
    <sheet name="таб 2(7)" sheetId="21" r:id="rId21"/>
    <sheet name="таб 3(7)" sheetId="22" r:id="rId22"/>
    <sheet name="таб 1(8)" sheetId="23" r:id="rId23"/>
    <sheet name="таб 2(8)" sheetId="24" r:id="rId24"/>
    <sheet name="таб 3(8)" sheetId="25" r:id="rId25"/>
  </sheets>
  <externalReferences>
    <externalReference r:id="rId28"/>
  </externalReferences>
  <definedNames/>
  <calcPr fullCalcOnLoad="1"/>
</workbook>
</file>

<file path=xl/comments10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comments16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9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22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7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1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</t>
        </r>
      </text>
    </comment>
    <comment ref="G17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4.xml><?xml version="1.0" encoding="utf-8"?>
<comments xmlns="http://schemas.openxmlformats.org/spreadsheetml/2006/main">
  <authors>
    <author>Абрамова Ирина Николаевна</author>
  </authors>
  <commentLis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Васильева Римма Маликовна</author>
  </authors>
  <commentList>
    <comment ref="G98" authorId="0">
      <text>
        <r>
          <rPr>
            <b/>
            <sz val="8"/>
            <rFont val="Tahoma"/>
            <family val="2"/>
          </rPr>
          <t>Васильева Римма Маликовна:</t>
        </r>
        <r>
          <rPr>
            <sz val="8"/>
            <rFont val="Tahoma"/>
            <family val="2"/>
          </rPr>
          <t xml:space="preserve">
по планам ФХД + 1млн.руб. на изменение плана ДЮСШ П и ДЮСШ2</t>
        </r>
      </text>
    </comment>
  </commentList>
</comments>
</file>

<file path=xl/sharedStrings.xml><?xml version="1.0" encoding="utf-8"?>
<sst xmlns="http://schemas.openxmlformats.org/spreadsheetml/2006/main" count="1500" uniqueCount="360">
  <si>
    <t>Предоставление дополнительного образования детям в муниципальных образовательных учреждениях</t>
  </si>
  <si>
    <t>2.7</t>
  </si>
  <si>
    <t>Деление 25% ОШ 280</t>
  </si>
  <si>
    <t>нач ст 59</t>
  </si>
  <si>
    <t>ср ступ 53</t>
  </si>
  <si>
    <t>итого 112</t>
  </si>
  <si>
    <t>Обеспечение бесперебойной работы учреждений системы образования ЗАТО Александровск, количество учреждений</t>
  </si>
  <si>
    <t>Предоставление информационно-методической поддержки муниципальным образовательным учреждениям, количество учреждений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</si>
  <si>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</si>
  <si>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Количество обучающихся 1-4 классов, чел.</t>
  </si>
  <si>
    <t>Количество обучающихся, получающих питание на бесплатной основе, чел.</t>
  </si>
  <si>
    <t>Увеличение доли обучающихся, получающих организованное горячее питание, %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</si>
  <si>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</si>
  <si>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</si>
  <si>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</si>
  <si>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</si>
  <si>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</si>
  <si>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</si>
  <si>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</si>
  <si>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</si>
  <si>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</si>
  <si>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</si>
  <si>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</si>
  <si>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</si>
  <si>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</si>
  <si>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</si>
  <si>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</si>
  <si>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2. Основные цели и задачи Подпрограммы 5 "Обеспечение хозяйственного обслуживания учреждений системы образования ЗАТО Александровск", целевые показатели (индикаторы) ее реализации</t>
  </si>
  <si>
    <t>Цель Подпрограммы 5: 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</si>
  <si>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</si>
  <si>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</si>
  <si>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</si>
  <si>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</si>
  <si>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ВСЕГО по Подпрограмме 5:</t>
  </si>
  <si>
    <t>2. Основные цели и задачи Подпрограммы 6 "Школьное здоровое питание", целевые показатели (индикаторы) ее реализации</t>
  </si>
  <si>
    <t>Цель Подпрограммы 6: Удовлетворение потребности обучающихся в организованном питании  на базе общеобразовательных учреждений</t>
  </si>
  <si>
    <t>Всего по Подпрограмме 6</t>
  </si>
  <si>
    <t>4. Обоснование ресурсного обеспечения Подпрограммы 6 "Школьное здоровое питание"</t>
  </si>
  <si>
    <t>3. Перечень основных мероприятий Подпрограммы 6 "Школьное здоровое питание"</t>
  </si>
  <si>
    <t>Задача 1 Создание условий для обеспечения организованным питанием обучающихся на бесплатной и платной основе</t>
  </si>
  <si>
    <t>ВСЕГО по Подпрограмме 6:</t>
  </si>
  <si>
    <t>Цель Подпрограммы 7: Удовлетворение потребности населения в мероприятиях по  оздоровлению, отдыху и занятости детей и молодежи ЗАТО Александровск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</si>
  <si>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</si>
  <si>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 xml:space="preserve">Годы реализации </t>
  </si>
  <si>
    <t>2. Основные цели и задачи Подпрограммы 7 "Организация отдыха, оздоровления и занятости детей и молодежи ЗАТО Александровск", целевые показатели (индикаторы) ее реализации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</si>
  <si>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</si>
  <si>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</si>
  <si>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</si>
  <si>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</si>
  <si>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</si>
  <si>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</si>
  <si>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2. Основные цели и задачи Подпрограммы  8 "Развитие современной инфраструктуры системы  образования", целевые показатели (индикаторы) ее реализации</t>
  </si>
  <si>
    <t>Цель Подпрограммы 8: Формирование современной инфраструктуры системы образования ЗАТО Александровск, обеспечение ее безопасности</t>
  </si>
  <si>
    <t>Уровень обеспеченности населения ЗАТО Александровск местами в детских дошкольных учреждениях ЗАТО Александровск.</t>
  </si>
  <si>
    <t>Задача 1 Увеличение доли обеспеченности населения ЗАТО Александровск объектами социальной инфраструктуры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</si>
  <si>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</si>
  <si>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</si>
  <si>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</si>
  <si>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</si>
  <si>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</si>
  <si>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</si>
  <si>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</si>
  <si>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</si>
  <si>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Задача 1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</si>
  <si>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</si>
  <si>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</si>
  <si>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</si>
  <si>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</si>
  <si>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</si>
  <si>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2  Охрана прав детей, оставшихся без попечения родителей"</t>
  </si>
  <si>
    <t>Задача 3 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</si>
  <si>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</si>
  <si>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</si>
  <si>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</si>
  <si>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</si>
  <si>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</si>
  <si>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</si>
  <si>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</si>
  <si>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Соотношение результатов ЕГЭ по русскому языку и математике в 1 школе с лучшими и в 1 школе с худшими результатами (измеряется через отношение среднего балла ЕГЭ в расчете на 1 предмет)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</si>
  <si>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</si>
  <si>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</si>
  <si>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</si>
  <si>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</si>
  <si>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</si>
  <si>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</si>
  <si>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</si>
  <si>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</si>
  <si>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</si>
  <si>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</si>
  <si>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Обеспечение безопасности перевозок обучающихся и воспитанников образовательных учреждений(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</si>
  <si>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</si>
  <si>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</si>
  <si>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</si>
  <si>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</si>
  <si>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</si>
  <si>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Реконструкция детской спортивной школы, г.Снежногорск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</si>
  <si>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</si>
  <si>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</si>
  <si>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МАУ "ХЭК"</t>
  </si>
  <si>
    <t>МБУО "ИМЦ"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</si>
  <si>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</si>
  <si>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</si>
  <si>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>Таблица №2</t>
  </si>
  <si>
    <t>2. Основные цели и задачи Подпрограммы 1  "Качественное и доступное дошкольное образование", целевые показатели (индикаторы) ее реализации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</si>
  <si>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</si>
  <si>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</si>
  <si>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 xml:space="preserve">Цель Подпрограммы 1: Удовлетворение потребности населения ЗАТО Александровск в качественном и доступном дошкольном образовании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</si>
  <si>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</si>
  <si>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</si>
  <si>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</si>
  <si>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</si>
  <si>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</si>
  <si>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</si>
  <si>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</si>
  <si>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</si>
  <si>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</si>
  <si>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</si>
  <si>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>2. Основные цели и задачи Подпрограммы 2 "Обеспечение предоставления муниципальных услуг в сфере общего и дополнительного образования", целевые показатели (индикаторы) ее реализации</t>
  </si>
  <si>
    <t>Отчетный год 2012</t>
  </si>
  <si>
    <t>Текущий год 2013</t>
  </si>
  <si>
    <t>лист 2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</si>
  <si>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</si>
  <si>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</si>
  <si>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</si>
  <si>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</si>
  <si>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</si>
  <si>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</si>
  <si>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2. Основные цели и задачи Подпрограммы 3 "Развитие системы образования через эффективное выполнение муниципальных функций", целевые показатели (индикаторы) ее реализации</t>
  </si>
  <si>
    <t xml:space="preserve">Цель Подпрограммы 3: 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</si>
  <si>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</si>
  <si>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</si>
  <si>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</si>
  <si>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</si>
  <si>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</si>
  <si>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</si>
  <si>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2. Основные цели и задачи Подпрограммы 4 "Обеспечение информационно-методического сопровождения образовательного процесса муниципальных учреждений", целевые показатели (индикаторы) ее реализации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</si>
  <si>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</si>
  <si>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</si>
  <si>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</si>
  <si>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ВСЕГО по Подпрограмме 4: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</si>
  <si>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</si>
  <si>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</si>
  <si>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</si>
  <si>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</si>
  <si>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</si>
  <si>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</si>
  <si>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</si>
  <si>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</si>
  <si>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</si>
  <si>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</si>
  <si>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</si>
  <si>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</si>
  <si>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</si>
  <si>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</si>
  <si>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</si>
  <si>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</si>
  <si>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
п/п</t>
  </si>
  <si>
    <t>Ед. изм.</t>
  </si>
  <si>
    <t>%</t>
  </si>
  <si>
    <t>Значение показателя (индикатора)</t>
  </si>
  <si>
    <t>Цель, задачи и показатели (индикаторы)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</si>
  <si>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</si>
  <si>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</si>
  <si>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</si>
  <si>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</si>
  <si>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</si>
  <si>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</si>
  <si>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</si>
  <si>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</si>
  <si>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</si>
  <si>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</si>
  <si>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</si>
  <si>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</si>
  <si>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</si>
  <si>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</si>
  <si>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</si>
  <si>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</si>
  <si>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</si>
  <si>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</si>
  <si>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</si>
  <si>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</si>
  <si>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</si>
  <si>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</si>
  <si>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</si>
  <si>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</si>
  <si>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</si>
  <si>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</si>
  <si>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</si>
  <si>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Таблица №1 (1)</t>
  </si>
  <si>
    <t>Доля детей – инвалидов, которым предоставлена возможность освоения общеобразовательных программ дошкольного образования</t>
  </si>
  <si>
    <t>единиц</t>
  </si>
  <si>
    <t>да - 1                   нет - 0</t>
  </si>
  <si>
    <t>1.1</t>
  </si>
  <si>
    <t>1.2</t>
  </si>
  <si>
    <t>1.3</t>
  </si>
  <si>
    <t>Доля обучающихся общеобразовательных учреждений, обучение которых осуществляется в соответствии с федеральными государственными образова-тельными стандартами, в общем количестве обучающихся общеобразовательных учреждений ЗАТО Александровск.</t>
  </si>
  <si>
    <t>Доля детей в возрасте 5-18 лет, охваченных программами дополнительного образования.</t>
  </si>
  <si>
    <t>Цель Подпрограммы: 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</si>
  <si>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 xml:space="preserve">Доля обучающихся, освоивших  в полном объеме образовательную программу учебного года и переведенных в следующий класс. </t>
  </si>
  <si>
    <t>Доля обучающихся, успешно прошедших государственную (итоговую) аттестацию и получивших аттестат о среднем  общем образовании.</t>
  </si>
  <si>
    <t>Доля обучающихся детей-инвалидов, освоивших в полном объеме образовательную программу учебного года и переведенных в следующий класс.</t>
  </si>
  <si>
    <t>Разработка и утверждение нормативных правовых актов, обеспечивающих введение и реализацию ФГОС общего образования</t>
  </si>
  <si>
    <t>Проведение оценки эффективности деятельности общеобразовательных учреждений, их руководителей и основных категорий работников</t>
  </si>
  <si>
    <t>1.4</t>
  </si>
  <si>
    <t>1.5</t>
  </si>
  <si>
    <t>1.6</t>
  </si>
  <si>
    <t xml:space="preserve">Отношение фактического среднегодового количества обучающихся учреждений дополнительного образования к плановому </t>
  </si>
  <si>
    <t>Проведение оценки эффективности деятельности учреждений дополнительного образования детей, их руководителей и основных категорий работников</t>
  </si>
  <si>
    <t>2.1</t>
  </si>
  <si>
    <t>2.2</t>
  </si>
  <si>
    <t>2.3</t>
  </si>
  <si>
    <t>Таблица №1 (2)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</si>
  <si>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</si>
  <si>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</si>
  <si>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</si>
  <si>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</si>
  <si>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</si>
  <si>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</si>
  <si>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</si>
  <si>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</si>
  <si>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</si>
  <si>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</si>
  <si>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</si>
  <si>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</si>
  <si>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</si>
  <si>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</si>
  <si>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</si>
  <si>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</si>
  <si>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</si>
  <si>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</si>
  <si>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</si>
  <si>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</si>
  <si>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</si>
  <si>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</si>
  <si>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</si>
  <si>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</si>
  <si>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</si>
  <si>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№1 (3)</t>
  </si>
  <si>
    <t>Доля  нормативных актов ЗАТО Александровск, регламентирующих предоставление образовательных услуг муниципальными образовательными уч-реждениями, приведенных в соответствие с действующим законодательством Российской Федерации в сфере образования, в их общем количестве.</t>
  </si>
  <si>
    <t>Наличие плана мероприятий по реализации государственной социальной политики (в сфере образования) в ЗАТО Александровск.</t>
  </si>
  <si>
    <t>Доля исполнения плана мероприятий по реализации государственной социальной политики (в сфере образования) в ЗАТО Александровск</t>
  </si>
  <si>
    <t>да - 1,                      нет - 0</t>
  </si>
  <si>
    <t xml:space="preserve">Уровень обеспеченности населения ЗАТО Александровск общедоступным и бесплатным дошкольным образованием по основным общеобразовательным программам в муниципальных дошкольных образовательных учреждениях </t>
  </si>
  <si>
    <t xml:space="preserve">Уровень обеспеченности населения ЗАТО Александровск общедоступным и бесплатным начальным общим, основным общим, средним общим образованием по основным общеобразовательным программам в муниципальных общеобразовательных учреждениях </t>
  </si>
  <si>
    <t>Доля детей, устроенных в приемную семью, отданных под опеку, усыновленных (удочеренных), от общей численности детей, стоящих на учете в органе опеки и попечительства</t>
  </si>
  <si>
    <t>Доля детей-сирот, детей, оставшихся без попечения родителей, воспитывающихся в семьях опекунов, попечителей, приемных родителей, получающих полное государственное обеспечение от общего числа детей, стоящих на учете</t>
  </si>
  <si>
    <t>Наличие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</si>
  <si>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Доля муниципальных учреждений, которым выдано муниципальное задание на оказание муниципальных услуг (выполнение работ), в общем количестве учреждений</t>
  </si>
  <si>
    <t xml:space="preserve">Процент исполнения муниципальных заданий, выданных подведомственным муниципальным бюджетным и автономным учреждениям </t>
  </si>
  <si>
    <t>Отсутствие просроченной кредиторской задолженности подведомственных муниципальных бюджетных и автономных учреждений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</si>
  <si>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</si>
  <si>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</si>
  <si>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</si>
  <si>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</si>
  <si>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</si>
  <si>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</si>
  <si>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</si>
  <si>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</si>
  <si>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</si>
  <si>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</si>
  <si>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</si>
  <si>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</si>
  <si>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</si>
  <si>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</si>
  <si>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</si>
  <si>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Цель Подпрограммы: Удовлетворение потребностей учреждений системы образования ЗАТО Александровск  в информационно-методическом сопровождении</t>
  </si>
  <si>
    <t>Таблица №1 (4)</t>
  </si>
  <si>
    <t>Таблица №2(4)</t>
  </si>
  <si>
    <t>Таблица №3 (4)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</si>
  <si>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</si>
  <si>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Уровень  готовности  МОУ к учебному процессу  в условиях, обеспечивающих соответствие образова-тельных учреждений современным требованиям</t>
  </si>
  <si>
    <t>Уровень удовлетворенности учреждений хозяйственно-эксплуатационным обслуживанием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</si>
  <si>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</si>
  <si>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</si>
  <si>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Содержание имущества МАУ "ХЭК"</t>
  </si>
  <si>
    <t>Таблица №2(5)</t>
  </si>
  <si>
    <t>Таблица №1 (5)</t>
  </si>
  <si>
    <t>Таблица №3 (5)</t>
  </si>
  <si>
    <t>Таблица №1 (6)</t>
  </si>
  <si>
    <t>Доля обучающихся в 1-4 классах МОУ, получающих бесплатное молоко</t>
  </si>
  <si>
    <t>Доля отдельных категорий обучающихся, имеющих право на обеспечение бесплатным питанием от общего количества обучающихся МОУ</t>
  </si>
  <si>
    <t xml:space="preserve">Доля обучающихся, обеспеченных организованным одноразовым питанием от общего количества обучающихся МОУ </t>
  </si>
  <si>
    <t>Уровень удовлетворенности учреждений и обучающихся (законных представителей) услугой по предоставлению питания обучающимся в МОУ</t>
  </si>
  <si>
    <t>Таблица №2(6)</t>
  </si>
  <si>
    <t>Таблица №3 (6)</t>
  </si>
  <si>
    <t>Цель:Удовлетворение потребности обучающихся в организованном питании  на базе общеобразовательных учреждений</t>
  </si>
  <si>
    <t>Предоставление бесплатного питания отдельным категориям обучающихся МОУ</t>
  </si>
  <si>
    <t>Дополнительные платные услуги. Предоставление организованного одноразового и двухразового питания обучающимся МОУ</t>
  </si>
  <si>
    <t>Предоставление питания детям, находящимся в оздоровительном лагере дневного пребывания в МОУ</t>
  </si>
  <si>
    <t>Предоставление социальных гарантий работникам МАУО "КШП"</t>
  </si>
  <si>
    <t>Содержание имущества МАУО "КШП"</t>
  </si>
  <si>
    <t>Таблица №1 (7)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</si>
  <si>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</si>
  <si>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Уровень удовлетворенности населения услугами по организации оздоровления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</si>
  <si>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</si>
  <si>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</si>
  <si>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Предоставление бесплатного молока обучающимся в 1-4 классах МОУ</t>
  </si>
  <si>
    <t>Таблица №1 (8)</t>
  </si>
  <si>
    <t>Доля   выполненных предписаний надзорных органов по устранению нарушений обязательных требований к материально-техническому состоянию учреждений системы образования от общего количества поступивших предписаний</t>
  </si>
  <si>
    <t>Доля   выполненных мероприятий по устранению нарушений обязательных требований по благоустройству территорий ОУ от общего плана мероприятий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</si>
  <si>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</si>
  <si>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</si>
  <si>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</si>
  <si>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</si>
  <si>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</si>
  <si>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</si>
  <si>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Обеспечение транспортной безопасности</t>
  </si>
  <si>
    <t>Организация отдыха и оздоровления детей в возрасте от 6 до 18 лет</t>
  </si>
  <si>
    <t>Уровень обеспеченности населения ЗАТО Александровск спортивными залами.</t>
  </si>
  <si>
    <t>Уровень готовности объекта капитального строительства  "Детский сад на 300 мест в г.Гаджиево" к вводу в эксплуатацию</t>
  </si>
  <si>
    <t>Уровень готовности объекта капитального строительства "Реконструкция детской спортивной школы, г.Снежногорск" к вводу в эксплуатацию</t>
  </si>
  <si>
    <t>Увеличение числа мест за счет вновь создаваемых мест в дошкольных образовательных учреждениях</t>
  </si>
  <si>
    <t>Доля образовательных учреждений, получивших положительные акты готовности к новому учебному году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</si>
  <si>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</si>
  <si>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</si>
  <si>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</si>
  <si>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</si>
  <si>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</si>
  <si>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</si>
  <si>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</si>
  <si>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</si>
  <si>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</si>
  <si>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</si>
  <si>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Содержание недвижимого и особо ценного движимого имущества МБОУ ИМЦ</t>
  </si>
  <si>
    <t>Наличие банка нормативно-правовой и организационной педагогической информации (периодические профессиональные издания, электронная система "Образование", точки выхода в Интернет)</t>
  </si>
  <si>
    <t>да - 1
нет - 0</t>
  </si>
  <si>
    <t>Соответствие информации, размещенной на сайтах учреждений системы образования ЗАТО Александровск, действующему законодательству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</si>
  <si>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</si>
  <si>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</si>
  <si>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</si>
  <si>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Доступность дошкольного образования (отношение численности  детей 3-7 лет, которым предоставлена возможность получать услуги дошкольного образования в общей численности детей от 3 до 7 лет, скорректированной на численность детей в возрасте 5-7 лет, обучающихся в школе)</t>
  </si>
  <si>
    <t>Обеспеченность населения услугами дошкольного образования (отношение численности  детей 1-6 лет, которым предоставлена возможность получать услуги дошкольного образования к  численности детей  в возрасте от 3 до 6 лет)</t>
  </si>
  <si>
    <t>Удельный вес численности воспитанников дошкольных образовательных организаций в возрасте от 3 до 7 лет, охваченных  образовательными программами,соответствующими федеральному государственному образовательному стандарту дошкольного образования</t>
  </si>
  <si>
    <t>Удельный вес воспитанников дошкольных образовательных организаций,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организаций.</t>
  </si>
  <si>
    <t xml:space="preserve"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 заработной плате организаций  общего образования по региону. 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</si>
  <si>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</si>
  <si>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</si>
  <si>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</si>
  <si>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</si>
  <si>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</si>
  <si>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</si>
  <si>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</si>
  <si>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</si>
  <si>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</si>
  <si>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</si>
  <si>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>Уровень готовности объекта капитального строительства  "Детский сад на 300 мест в г.Полярный" к вводу в эксплуатацию</t>
  </si>
  <si>
    <t xml:space="preserve"> МБОУ СОШ, ООШ,  ИМЦ</t>
  </si>
  <si>
    <t>Доля отдохнувших и оздоровленных детей в возрасте от 7  до 17 лет в  оздоровительных учреждениях от численности детей данной возрастной категории</t>
  </si>
  <si>
    <t>Доля детей, обеспеченных питанием в оздоровительном лагере дневного пребывания</t>
  </si>
  <si>
    <t>Доля отдохнувших детей, находящихся в ТЖС, в оздоровительных учреждениях за пределами Мурманской области от общего количества охваченных отдыхом детей</t>
  </si>
  <si>
    <t xml:space="preserve"> МБОУ СОШ, ООШ,   МАУО "КШП"</t>
  </si>
  <si>
    <t xml:space="preserve"> МБОУ СОШ, ООШ, МАУО "КШП"</t>
  </si>
  <si>
    <t>МАУО "КШП"</t>
  </si>
  <si>
    <t>Охват педагогических и руководящих работников курсовой подготовкой (от общего количества педагогических и руководящих работников)</t>
  </si>
  <si>
    <t>количество обобщенного и распространенного опыта работы педагогов и образовательны учреждений</t>
  </si>
  <si>
    <t>Приобретение подарков на елку для одаренных детей</t>
  </si>
  <si>
    <t>Закупка подарков (да - 1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</si>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</sst>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_р_._-;\-* #,##0.0000_р_._-;_-* &quot;-&quot;????_р_._-;_-@_-"/>
    <numFmt numFmtId="174" formatCode="0.000"/>
    <numFmt numFmtId="175" formatCode="#,##0.000"/>
    <numFmt numFmtId="176" formatCode="#,##0.0000"/>
    <numFmt numFmtId="177" formatCode="0.0"/>
    <numFmt numFmtId="178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2" applyNumberFormat="0" applyAlignment="0" applyProtection="0"/>
    <xf numFmtId="0" fontId="58" fillId="24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4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6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29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0" borderId="0" xfId="0" applyFill="1" applyAlignment="1">
      <alignment/>
    </xf>
    <xf numFmtId="43" fontId="1" fillId="30" borderId="0" xfId="64" applyFont="1" applyFill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0" fontId="8" fillId="0" borderId="10" xfId="0" applyNumberFormat="1" applyFont="1" applyBorder="1" applyAlignment="1">
      <alignment horizontal="center" vertical="center" wrapText="1"/>
    </xf>
    <xf numFmtId="43" fontId="1" fillId="0" borderId="0" xfId="64" applyFont="1" applyAlignment="1">
      <alignment/>
    </xf>
    <xf numFmtId="43" fontId="2" fillId="0" borderId="10" xfId="64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43" fontId="11" fillId="0" borderId="10" xfId="64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170" fontId="11" fillId="0" borderId="10" xfId="0" applyNumberFormat="1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4" fontId="14" fillId="4" borderId="10" xfId="0" applyNumberFormat="1" applyFont="1" applyFill="1" applyBorder="1" applyAlignment="1">
      <alignment vertical="center"/>
    </xf>
    <xf numFmtId="43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3" fontId="2" fillId="0" borderId="0" xfId="64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2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Fill="1" applyAlignment="1">
      <alignment vertical="center"/>
    </xf>
    <xf numFmtId="172" fontId="2" fillId="0" borderId="0" xfId="64" applyNumberFormat="1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43" fontId="11" fillId="0" borderId="0" xfId="64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3" fontId="8" fillId="0" borderId="10" xfId="66" applyFont="1" applyFill="1" applyBorder="1" applyAlignment="1" applyProtection="1">
      <alignment horizontal="left" vertical="center"/>
      <protection/>
    </xf>
    <xf numFmtId="43" fontId="2" fillId="0" borderId="10" xfId="64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4" fontId="28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177" fontId="32" fillId="0" borderId="14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177" fontId="29" fillId="0" borderId="14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177" fontId="29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14" fillId="32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42" applyFont="1" applyBorder="1" applyAlignment="1">
      <alignment horizontal="center" vertical="center" wrapText="1"/>
    </xf>
    <xf numFmtId="0" fontId="8" fillId="0" borderId="17" xfId="42" applyFont="1" applyBorder="1" applyAlignment="1">
      <alignment horizontal="center" vertical="center" wrapText="1"/>
    </xf>
    <xf numFmtId="0" fontId="8" fillId="0" borderId="15" xfId="42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8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14" fillId="4" borderId="11" xfId="0" applyNumberFormat="1" applyFont="1" applyFill="1" applyBorder="1" applyAlignment="1">
      <alignment horizontal="left" vertical="center" wrapText="1"/>
    </xf>
    <xf numFmtId="2" fontId="14" fillId="4" borderId="18" xfId="0" applyNumberFormat="1" applyFont="1" applyFill="1" applyBorder="1" applyAlignment="1">
      <alignment horizontal="left" vertical="center" wrapText="1"/>
    </xf>
    <xf numFmtId="2" fontId="14" fillId="4" borderId="14" xfId="0" applyNumberFormat="1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8" fillId="4" borderId="18" xfId="0" applyNumberFormat="1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left" vertical="center" wrapText="1"/>
    </xf>
    <xf numFmtId="0" fontId="13" fillId="4" borderId="18" xfId="0" applyNumberFormat="1" applyFont="1" applyFill="1" applyBorder="1" applyAlignment="1">
      <alignment horizontal="left" vertical="center" wrapText="1"/>
    </xf>
    <xf numFmtId="0" fontId="13" fillId="4" borderId="14" xfId="0" applyNumberFormat="1" applyFont="1" applyFill="1" applyBorder="1" applyAlignment="1">
      <alignment horizontal="left" vertical="center" wrapText="1"/>
    </xf>
    <xf numFmtId="2" fontId="22" fillId="4" borderId="11" xfId="0" applyNumberFormat="1" applyFont="1" applyFill="1" applyBorder="1" applyAlignment="1">
      <alignment horizontal="center" vertical="center"/>
    </xf>
    <xf numFmtId="2" fontId="22" fillId="4" borderId="18" xfId="0" applyNumberFormat="1" applyFont="1" applyFill="1" applyBorder="1" applyAlignment="1">
      <alignment horizontal="center" vertical="center"/>
    </xf>
    <xf numFmtId="2" fontId="22" fillId="4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2" fontId="22" fillId="0" borderId="18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42" applyFont="1" applyBorder="1" applyAlignment="1">
      <alignment horizontal="center" vertical="center" wrapText="1"/>
    </xf>
    <xf numFmtId="0" fontId="29" fillId="0" borderId="17" xfId="42" applyFont="1" applyBorder="1" applyAlignment="1">
      <alignment horizontal="center" vertical="center" wrapText="1"/>
    </xf>
    <xf numFmtId="0" fontId="29" fillId="0" borderId="15" xfId="42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42" applyFont="1" applyBorder="1" applyAlignment="1">
      <alignment horizontal="center" vertical="center" wrapText="1"/>
    </xf>
    <xf numFmtId="0" fontId="32" fillId="0" borderId="17" xfId="42" applyFont="1" applyBorder="1" applyAlignment="1">
      <alignment horizontal="center" vertical="center" wrapText="1"/>
    </xf>
    <xf numFmtId="0" fontId="32" fillId="0" borderId="15" xfId="42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SheetLayoutView="115"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7.8515625" style="0" customWidth="1"/>
    <col min="4" max="4" width="18.00390625" style="0" customWidth="1"/>
    <col min="5" max="5" width="19.28125" style="0" customWidth="1"/>
    <col min="6" max="6" width="18.140625" style="0" customWidth="1"/>
    <col min="7" max="9" width="16.28125" style="0" customWidth="1"/>
    <col min="11" max="11" width="15.28125" style="0" customWidth="1"/>
  </cols>
  <sheetData>
    <row r="1" spans="5:10" ht="39" customHeight="1">
      <c r="E1" s="6"/>
      <c r="F1" s="7"/>
      <c r="G1" s="8"/>
      <c r="I1" s="22" t="s">
        <v>102</v>
      </c>
      <c r="J1" s="20"/>
    </row>
    <row r="2" ht="15.75">
      <c r="F2" s="8"/>
    </row>
    <row r="3" spans="1:9" ht="36.75" customHeight="1">
      <c r="A3" s="232" t="s">
        <v>101</v>
      </c>
      <c r="B3" s="232"/>
      <c r="C3" s="232"/>
      <c r="D3" s="232"/>
      <c r="E3" s="232"/>
      <c r="F3" s="232"/>
      <c r="G3" s="232"/>
      <c r="H3" s="232"/>
      <c r="I3" s="232"/>
    </row>
    <row r="4" spans="1:9" ht="30" customHeight="1">
      <c r="A4" s="233" t="s">
        <v>163</v>
      </c>
      <c r="B4" s="235" t="s">
        <v>164</v>
      </c>
      <c r="C4" s="237" t="s">
        <v>165</v>
      </c>
      <c r="D4" s="237"/>
      <c r="E4" s="237"/>
      <c r="F4" s="237"/>
      <c r="G4" s="237"/>
      <c r="H4" s="237"/>
      <c r="I4" s="237"/>
    </row>
    <row r="5" spans="1:9" ht="16.5" customHeight="1">
      <c r="A5" s="234"/>
      <c r="B5" s="236"/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9">
        <v>2020</v>
      </c>
    </row>
    <row r="6" spans="1:9" ht="16.5" customHeight="1">
      <c r="A6" s="9">
        <v>1</v>
      </c>
      <c r="B6" s="10">
        <v>2</v>
      </c>
      <c r="C6" s="11">
        <v>3</v>
      </c>
      <c r="D6" s="11">
        <v>4</v>
      </c>
      <c r="E6" s="11">
        <v>5</v>
      </c>
      <c r="F6" s="11"/>
      <c r="G6" s="11"/>
      <c r="H6" s="11"/>
      <c r="I6" s="9"/>
    </row>
    <row r="7" spans="1:9" ht="19.5" customHeight="1">
      <c r="A7" s="224" t="s">
        <v>124</v>
      </c>
      <c r="B7" s="225">
        <f>B9+B10+B11+B12</f>
        <v>10933468833.220001</v>
      </c>
      <c r="C7" s="225">
        <f>C9+C10+C11+C12</f>
        <v>1694513067.23</v>
      </c>
      <c r="D7" s="225">
        <f aca="true" t="shared" si="0" ref="D7:I7">D9+D10+D11+D12</f>
        <v>1548760628.7899997</v>
      </c>
      <c r="E7" s="225">
        <f t="shared" si="0"/>
        <v>1454387130.88</v>
      </c>
      <c r="F7" s="225">
        <f t="shared" si="0"/>
        <v>1546418301.58</v>
      </c>
      <c r="G7" s="225">
        <f t="shared" si="0"/>
        <v>1563129901.58</v>
      </c>
      <c r="H7" s="225">
        <f t="shared" si="0"/>
        <v>1563129901.58</v>
      </c>
      <c r="I7" s="225">
        <f t="shared" si="0"/>
        <v>1563129901.58</v>
      </c>
    </row>
    <row r="8" spans="1:9" ht="16.5" customHeight="1">
      <c r="A8" s="238" t="s">
        <v>166</v>
      </c>
      <c r="B8" s="239"/>
      <c r="C8" s="239"/>
      <c r="D8" s="239"/>
      <c r="E8" s="239"/>
      <c r="F8" s="239"/>
      <c r="G8" s="239"/>
      <c r="H8" s="239"/>
      <c r="I8" s="240"/>
    </row>
    <row r="9" spans="1:9" ht="16.5" customHeight="1">
      <c r="A9" s="226" t="s">
        <v>167</v>
      </c>
      <c r="B9" s="227">
        <f>B16+B23</f>
        <v>4904380093.990001</v>
      </c>
      <c r="C9" s="227">
        <f aca="true" t="shared" si="1" ref="C9:I12">C16+C23</f>
        <v>781992303.05</v>
      </c>
      <c r="D9" s="227">
        <f t="shared" si="1"/>
        <v>761676155.7399999</v>
      </c>
      <c r="E9" s="227">
        <f t="shared" si="1"/>
        <v>628522476.88</v>
      </c>
      <c r="F9" s="227">
        <f t="shared" si="1"/>
        <v>683047289.5799999</v>
      </c>
      <c r="G9" s="227">
        <f t="shared" si="1"/>
        <v>683047289.5799999</v>
      </c>
      <c r="H9" s="227">
        <f t="shared" si="1"/>
        <v>683047289.5799999</v>
      </c>
      <c r="I9" s="227">
        <f t="shared" si="1"/>
        <v>683047289.5799999</v>
      </c>
    </row>
    <row r="10" spans="1:9" ht="16.5" customHeight="1">
      <c r="A10" s="14" t="s">
        <v>168</v>
      </c>
      <c r="B10" s="15">
        <f>B17+B24</f>
        <v>5076306890</v>
      </c>
      <c r="C10" s="15">
        <f t="shared" si="1"/>
        <v>654944860</v>
      </c>
      <c r="D10" s="15">
        <f t="shared" si="1"/>
        <v>646644708</v>
      </c>
      <c r="E10" s="15">
        <f t="shared" si="1"/>
        <v>714968090</v>
      </c>
      <c r="F10" s="15">
        <f t="shared" si="1"/>
        <v>752403608</v>
      </c>
      <c r="G10" s="15">
        <f t="shared" si="1"/>
        <v>769115208</v>
      </c>
      <c r="H10" s="15">
        <f t="shared" si="1"/>
        <v>769115208</v>
      </c>
      <c r="I10" s="15">
        <f t="shared" si="1"/>
        <v>769115208</v>
      </c>
    </row>
    <row r="11" spans="1:9" ht="16.5" customHeight="1">
      <c r="A11" s="14" t="s">
        <v>169</v>
      </c>
      <c r="B11" s="15">
        <f>B18+B25</f>
        <v>202570884.18</v>
      </c>
      <c r="C11" s="15">
        <f t="shared" si="1"/>
        <v>153856484.18</v>
      </c>
      <c r="D11" s="15">
        <f t="shared" si="1"/>
        <v>48714400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</row>
    <row r="12" spans="1:9" ht="16.5" customHeight="1">
      <c r="A12" s="14" t="s">
        <v>170</v>
      </c>
      <c r="B12" s="15">
        <f>B19</f>
        <v>750210965.05</v>
      </c>
      <c r="C12" s="15">
        <f t="shared" si="1"/>
        <v>103719420</v>
      </c>
      <c r="D12" s="15">
        <f t="shared" si="1"/>
        <v>91725365.05</v>
      </c>
      <c r="E12" s="15">
        <f t="shared" si="1"/>
        <v>110896564</v>
      </c>
      <c r="F12" s="15">
        <f t="shared" si="1"/>
        <v>110967404</v>
      </c>
      <c r="G12" s="15">
        <f t="shared" si="1"/>
        <v>110967404</v>
      </c>
      <c r="H12" s="15">
        <f t="shared" si="1"/>
        <v>110967404</v>
      </c>
      <c r="I12" s="15">
        <f t="shared" si="1"/>
        <v>110967404</v>
      </c>
    </row>
    <row r="13" spans="1:9" ht="16.5" customHeight="1">
      <c r="A13" s="241" t="s">
        <v>171</v>
      </c>
      <c r="B13" s="242"/>
      <c r="C13" s="242"/>
      <c r="D13" s="242"/>
      <c r="E13" s="242"/>
      <c r="F13" s="242"/>
      <c r="G13" s="242"/>
      <c r="H13" s="242"/>
      <c r="I13" s="243"/>
    </row>
    <row r="14" spans="1:9" ht="39.75" customHeight="1">
      <c r="A14" s="17" t="s">
        <v>178</v>
      </c>
      <c r="B14" s="13">
        <f>B16+B17+B18+B19</f>
        <v>10318026955.67</v>
      </c>
      <c r="C14" s="13">
        <f>C16+C17+C18+C19</f>
        <v>1353705564.48</v>
      </c>
      <c r="D14" s="13">
        <f>D16+D17+D19</f>
        <v>1309107944.2899997</v>
      </c>
      <c r="E14" s="13">
        <f>E16+E17+E18+E19</f>
        <v>1454387130.88</v>
      </c>
      <c r="F14" s="13">
        <f>F16+F17+F18+F19</f>
        <v>1511436611.28</v>
      </c>
      <c r="G14" s="13">
        <f>G16+G17+G18+G19</f>
        <v>1563129901.58</v>
      </c>
      <c r="H14" s="13">
        <f>H16+H17+H18+H19</f>
        <v>1563129901.58</v>
      </c>
      <c r="I14" s="13">
        <f>I16+I17+I18+I19</f>
        <v>1563129901.58</v>
      </c>
    </row>
    <row r="15" spans="1:9" ht="16.5" customHeight="1">
      <c r="A15" s="229" t="s">
        <v>166</v>
      </c>
      <c r="B15" s="230"/>
      <c r="C15" s="230"/>
      <c r="D15" s="230"/>
      <c r="E15" s="230"/>
      <c r="F15" s="230"/>
      <c r="G15" s="230"/>
      <c r="H15" s="230"/>
      <c r="I15" s="231"/>
    </row>
    <row r="16" spans="1:9" ht="16.5" customHeight="1">
      <c r="A16" s="14" t="s">
        <v>167</v>
      </c>
      <c r="B16" s="18">
        <f>'таб 2(1)'!B16+'таб 2(2)'!B15+'таб 2(3)'!B16+'таб 2(4)'!B16+'таб 2(5)'!B16+'таб 2(6)'!B16+'таб 2(7)'!B16+'таб 2(8)'!B16</f>
        <v>4491509100.620001</v>
      </c>
      <c r="C16" s="18">
        <f>'таб 2(1)'!C16+'таб 2(2)'!C15+'таб 2(3)'!C16+'таб 2(4)'!C16+'таб 2(5)'!C16+'таб 2(6)'!C16+'таб 2(7)'!C16+'таб 2(8)'!C16</f>
        <v>595041284.48</v>
      </c>
      <c r="D16" s="18">
        <f>'таб 2(1)'!D16+'таб 2(2)'!D15+'таб 2(3)'!D16+'таб 2(4)'!D16+'таб 2(5)'!D16+'таб 2(6)'!D16+'таб 2(7)'!D16+'таб 2(8)'!D16</f>
        <v>570737871.2399999</v>
      </c>
      <c r="E16" s="18">
        <f>'таб 2(1)'!E16+'таб 2(2)'!E15+'таб 2(3)'!E16+'таб 2(4)'!E16+'таб 2(5)'!E16+'таб 2(6)'!E16+'таб 2(7)'!E16+'таб 2(8)'!E16</f>
        <v>628522476.88</v>
      </c>
      <c r="F16" s="18">
        <f>'таб 2(1)'!F16+'таб 2(2)'!F15+'таб 2(3)'!F16+'таб 2(4)'!F16+'таб 2(5)'!F16+'таб 2(6)'!F16+'таб 2(7)'!F16+'таб 2(8)'!F16</f>
        <v>648065599.28</v>
      </c>
      <c r="G16" s="18">
        <f>'таб 2(1)'!G16+'таб 2(2)'!G15+'таб 2(3)'!G16+'таб 2(4)'!G16+'таб 2(5)'!G16+'таб 2(6)'!G16+'таб 2(7)'!G16+'таб 2(8)'!G16</f>
        <v>683047289.5799999</v>
      </c>
      <c r="H16" s="18">
        <f>'таб 2(1)'!H16+'таб 2(2)'!H15+'таб 2(3)'!H16+'таб 2(4)'!H16+'таб 2(5)'!H16+'таб 2(6)'!H16+'таб 2(7)'!H16+'таб 2(8)'!H16</f>
        <v>683047289.5799999</v>
      </c>
      <c r="I16" s="18">
        <f>'таб 2(1)'!I16+'таб 2(2)'!I15+'таб 2(3)'!I16+'таб 2(4)'!I16+'таб 2(5)'!I16+'таб 2(6)'!I16+'таб 2(7)'!I16+'таб 2(8)'!I16</f>
        <v>683047289.5799999</v>
      </c>
    </row>
    <row r="17" spans="1:9" ht="16.5" customHeight="1">
      <c r="A17" s="14" t="s">
        <v>168</v>
      </c>
      <c r="B17" s="18">
        <f>'таб 2(1)'!B17+'таб 2(2)'!B16+'таб 2(3)'!B17+'таб 2(4)'!B17+'таб 2(5)'!B17+'таб 2(6)'!B17+'таб 2(7)'!B17+'таб 2(8)'!B17</f>
        <v>5076306890</v>
      </c>
      <c r="C17" s="18">
        <f>'таб 2(1)'!C17+'таб 2(2)'!C16+'таб 2(3)'!C17+'таб 2(4)'!C17+'таб 2(5)'!C17+'таб 2(6)'!C17+'таб 2(7)'!C17+'таб 2(8)'!C17</f>
        <v>654944860</v>
      </c>
      <c r="D17" s="18">
        <f>'таб 2(1)'!D17+'таб 2(2)'!D16+'таб 2(3)'!D17+'таб 2(4)'!D17+'таб 2(5)'!D17+'таб 2(6)'!D17+'таб 2(7)'!D17+'таб 2(8)'!D17</f>
        <v>646644708</v>
      </c>
      <c r="E17" s="18">
        <f>'таб 2(1)'!E17+'таб 2(2)'!E16+'таб 2(3)'!E17+'таб 2(4)'!E17+'таб 2(5)'!E17+'таб 2(6)'!E17+'таб 2(7)'!E17+'таб 2(8)'!E17</f>
        <v>714968090</v>
      </c>
      <c r="F17" s="18">
        <f>'таб 2(1)'!F17+'таб 2(2)'!F16+'таб 2(3)'!F17+'таб 2(4)'!F17+'таб 2(5)'!F17+'таб 2(6)'!F17+'таб 2(7)'!F17+'таб 2(8)'!F17</f>
        <v>752403608</v>
      </c>
      <c r="G17" s="18">
        <f>'таб 2(1)'!G17+'таб 2(2)'!G16+'таб 2(3)'!G17+'таб 2(4)'!G17+'таб 2(5)'!G17+'таб 2(6)'!G17+'таб 2(7)'!G17+'таб 2(8)'!G17</f>
        <v>769115208</v>
      </c>
      <c r="H17" s="18">
        <f>'таб 2(1)'!H17+'таб 2(2)'!H16+'таб 2(3)'!H17+'таб 2(4)'!H17+'таб 2(5)'!H17+'таб 2(6)'!H17+'таб 2(7)'!H17+'таб 2(8)'!H17</f>
        <v>769115208</v>
      </c>
      <c r="I17" s="18">
        <f>'таб 2(1)'!I17+'таб 2(2)'!I16+'таб 2(3)'!I17+'таб 2(4)'!I17+'таб 2(5)'!I17+'таб 2(6)'!I17+'таб 2(7)'!I17+'таб 2(8)'!I17</f>
        <v>769115208</v>
      </c>
    </row>
    <row r="18" spans="1:9" ht="16.5" customHeight="1">
      <c r="A18" s="14" t="s">
        <v>169</v>
      </c>
      <c r="B18" s="18">
        <f>'таб 2(1)'!B18+'таб 2(2)'!B17+'таб 2(3)'!B18+'таб 2(4)'!B18+'таб 2(5)'!B18+'таб 2(6)'!B18+'таб 2(7)'!B18+'таб 2(8)'!B18</f>
        <v>0</v>
      </c>
      <c r="C18" s="18">
        <f>'таб 2(1)'!C18+'таб 2(2)'!C17+'таб 2(3)'!C18+'таб 2(4)'!C18+'таб 2(5)'!C18+'таб 2(6)'!C18+'таб 2(7)'!C18+'таб 2(8)'!C18</f>
        <v>0</v>
      </c>
      <c r="D18" s="18">
        <f>'таб 2(1)'!D18+'таб 2(2)'!D17+'таб 2(3)'!D18+'таб 2(4)'!D18+'таб 2(5)'!D18+'таб 2(6)'!D18+'таб 2(7)'!D18+'таб 2(8)'!D18</f>
        <v>0</v>
      </c>
      <c r="E18" s="18">
        <f>'таб 2(1)'!E18+'таб 2(2)'!E17+'таб 2(3)'!E18+'таб 2(4)'!E18+'таб 2(5)'!E18+'таб 2(6)'!E18+'таб 2(7)'!E18+'таб 2(8)'!E18</f>
        <v>0</v>
      </c>
      <c r="F18" s="18">
        <f>'таб 2(1)'!F18+'таб 2(2)'!F17+'таб 2(3)'!F18+'таб 2(4)'!F18+'таб 2(5)'!F18+'таб 2(6)'!F18+'таб 2(7)'!F18+'таб 2(8)'!F18</f>
        <v>0</v>
      </c>
      <c r="G18" s="18">
        <f>'таб 2(1)'!G18+'таб 2(2)'!G17+'таб 2(3)'!G18+'таб 2(4)'!G18+'таб 2(5)'!G18+'таб 2(6)'!G18+'таб 2(7)'!G18+'таб 2(8)'!G18</f>
        <v>0</v>
      </c>
      <c r="H18" s="18">
        <f>'таб 2(1)'!H18+'таб 2(2)'!H17+'таб 2(3)'!H18+'таб 2(4)'!H18+'таб 2(5)'!H18+'таб 2(6)'!H18+'таб 2(7)'!H18+'таб 2(8)'!H18</f>
        <v>0</v>
      </c>
      <c r="I18" s="18">
        <f>'таб 2(1)'!I18+'таб 2(2)'!I17+'таб 2(3)'!I18+'таб 2(4)'!I18+'таб 2(5)'!I18+'таб 2(6)'!I18+'таб 2(7)'!I18+'таб 2(8)'!I18</f>
        <v>0</v>
      </c>
    </row>
    <row r="19" spans="1:9" ht="16.5" customHeight="1">
      <c r="A19" s="14" t="s">
        <v>170</v>
      </c>
      <c r="B19" s="18">
        <f>'таб 2(1)'!B19+'таб 2(2)'!B18+'таб 2(3)'!B19+'таб 2(4)'!B19+'таб 2(5)'!B19+'таб 2(6)'!B19+'таб 2(7)'!B19+'таб 2(8)'!B19</f>
        <v>750210965.05</v>
      </c>
      <c r="C19" s="18">
        <f>'таб 2(1)'!C19+'таб 2(2)'!C18+'таб 2(3)'!C19+'таб 2(4)'!C19+'таб 2(5)'!C19+'таб 2(6)'!C19+'таб 2(7)'!C19+'таб 2(8)'!C19</f>
        <v>103719420</v>
      </c>
      <c r="D19" s="18">
        <f>'таб 2(1)'!D19+'таб 2(2)'!D18+'таб 2(3)'!D19+'таб 2(4)'!D19+'таб 2(5)'!D19+'таб 2(6)'!D19+'таб 2(7)'!D19+'таб 2(8)'!D19</f>
        <v>91725365.05</v>
      </c>
      <c r="E19" s="18">
        <f>'таб 2(1)'!E19+'таб 2(2)'!E18+'таб 2(3)'!E19+'таб 2(4)'!E19+'таб 2(5)'!E19+'таб 2(6)'!E19+'таб 2(7)'!E19+'таб 2(8)'!E19</f>
        <v>110896564</v>
      </c>
      <c r="F19" s="18">
        <f>'таб 2(1)'!F19+'таб 2(2)'!F18+'таб 2(3)'!F19+'таб 2(4)'!F19+'таб 2(5)'!F19+'таб 2(6)'!F19+'таб 2(7)'!F19+'таб 2(8)'!F19</f>
        <v>110967404</v>
      </c>
      <c r="G19" s="18">
        <f>'таб 2(1)'!G19+'таб 2(2)'!G18+'таб 2(3)'!G19+'таб 2(4)'!G19+'таб 2(5)'!G19+'таб 2(6)'!G19+'таб 2(7)'!G19+'таб 2(8)'!G19</f>
        <v>110967404</v>
      </c>
      <c r="H19" s="18">
        <f>'таб 2(1)'!H19+'таб 2(2)'!H18+'таб 2(3)'!H19+'таб 2(4)'!H19+'таб 2(5)'!H19+'таб 2(6)'!H19+'таб 2(7)'!H19+'таб 2(8)'!H19</f>
        <v>110967404</v>
      </c>
      <c r="I19" s="18">
        <f>'таб 2(1)'!I19+'таб 2(2)'!I18+'таб 2(3)'!I19+'таб 2(4)'!I19+'таб 2(5)'!I19+'таб 2(6)'!I19+'таб 2(7)'!I19+'таб 2(8)'!I19</f>
        <v>110967404</v>
      </c>
    </row>
    <row r="20" spans="1:9" ht="25.5">
      <c r="A20" s="19" t="s">
        <v>172</v>
      </c>
      <c r="B20" s="18">
        <f>'таб 2(1)'!B20+'таб 2(2)'!B19+'таб 2(3)'!B20+'таб 2(4)'!B20+'таб 2(5)'!B20+'таб 2(6)'!B20+'таб 2(7)'!B20+'таб 2(8)'!B20</f>
        <v>20333549.72</v>
      </c>
      <c r="C20" s="18">
        <f>'таб 2(1)'!C20+'таб 2(2)'!C19+'таб 2(3)'!C20+'таб 2(4)'!C20+'таб 2(5)'!C20+'таб 2(6)'!C20+'таб 2(7)'!C20+'таб 2(8)'!C20</f>
        <v>20333549.72</v>
      </c>
      <c r="D20" s="18">
        <f>'таб 2(1)'!D20+'таб 2(2)'!D19+'таб 2(3)'!D20+'таб 2(4)'!D20+'таб 2(5)'!D20+'таб 2(6)'!D20+'таб 2(7)'!D20+'таб 2(8)'!D20</f>
        <v>0</v>
      </c>
      <c r="E20" s="18">
        <f>'таб 2(1)'!E20+'таб 2(2)'!E19+'таб 2(3)'!E20+'таб 2(4)'!E20+'таб 2(5)'!E20+'таб 2(6)'!E20+'таб 2(7)'!E20+'таб 2(8)'!E20</f>
        <v>0</v>
      </c>
      <c r="F20" s="18">
        <f>'таб 2(1)'!F20+'таб 2(2)'!F19+'таб 2(3)'!F20+'таб 2(4)'!F20+'таб 2(5)'!F20+'таб 2(6)'!F20+'таб 2(7)'!F20+'таб 2(8)'!F20</f>
        <v>0</v>
      </c>
      <c r="G20" s="18">
        <f>'таб 2(1)'!G20+'таб 2(2)'!G19+'таб 2(3)'!G20+'таб 2(4)'!G20+'таб 2(5)'!G20+'таб 2(6)'!G20+'таб 2(7)'!G20+'таб 2(8)'!G20</f>
        <v>0</v>
      </c>
      <c r="H20" s="18">
        <f>'таб 2(1)'!H20+'таб 2(2)'!H19+'таб 2(3)'!H20+'таб 2(4)'!H20+'таб 2(5)'!H20+'таб 2(6)'!H20+'таб 2(7)'!H20+'таб 2(8)'!H20</f>
        <v>0</v>
      </c>
      <c r="I20" s="18">
        <f>'таб 2(1)'!I20+'таб 2(2)'!I19+'таб 2(3)'!I20+'таб 2(4)'!I20+'таб 2(5)'!I20+'таб 2(6)'!I20+'таб 2(7)'!I20+'таб 2(8)'!I20</f>
        <v>0</v>
      </c>
    </row>
    <row r="21" spans="1:9" ht="39.75" customHeight="1">
      <c r="A21" s="17" t="s">
        <v>313</v>
      </c>
      <c r="B21" s="13">
        <f>B23+B24+B25+B26</f>
        <v>615441877.55</v>
      </c>
      <c r="C21" s="13">
        <f>C23+C24+C25+C26</f>
        <v>340807502.75</v>
      </c>
      <c r="D21" s="13">
        <f aca="true" t="shared" si="2" ref="D21:I21">D23+D24+D25+D26</f>
        <v>239652684.5</v>
      </c>
      <c r="E21" s="13">
        <f t="shared" si="2"/>
        <v>0</v>
      </c>
      <c r="F21" s="13">
        <f t="shared" si="2"/>
        <v>34981690.3</v>
      </c>
      <c r="G21" s="13">
        <f t="shared" si="2"/>
        <v>0</v>
      </c>
      <c r="H21" s="13">
        <f t="shared" si="2"/>
        <v>0</v>
      </c>
      <c r="I21" s="13">
        <f t="shared" si="2"/>
        <v>0</v>
      </c>
    </row>
    <row r="22" spans="1:9" ht="16.5" customHeight="1">
      <c r="A22" s="229" t="s">
        <v>166</v>
      </c>
      <c r="B22" s="230"/>
      <c r="C22" s="230"/>
      <c r="D22" s="230"/>
      <c r="E22" s="230"/>
      <c r="F22" s="230"/>
      <c r="G22" s="230"/>
      <c r="H22" s="230"/>
      <c r="I22" s="231"/>
    </row>
    <row r="23" spans="1:9" ht="16.5" customHeight="1">
      <c r="A23" s="14" t="s">
        <v>167</v>
      </c>
      <c r="B23" s="18">
        <f>C23+D23+E23+F23+G23+H23+I23</f>
        <v>412870993.37</v>
      </c>
      <c r="C23" s="16">
        <f>'таб 2(8)'!C23</f>
        <v>186951018.57</v>
      </c>
      <c r="D23" s="223">
        <f>'таб 2(8)'!D23</f>
        <v>190938284.5</v>
      </c>
      <c r="E23" s="16"/>
      <c r="F23" s="16">
        <v>34981690.3</v>
      </c>
      <c r="G23" s="16"/>
      <c r="H23" s="16"/>
      <c r="I23" s="16"/>
    </row>
    <row r="24" spans="1:9" ht="16.5" customHeight="1">
      <c r="A24" s="14" t="s">
        <v>168</v>
      </c>
      <c r="B24" s="18">
        <f>C24+D24+E24+F24+G24+H24+I24</f>
        <v>0</v>
      </c>
      <c r="C24" s="26"/>
      <c r="D24" s="223">
        <f>+'таб 2(8)'!D24</f>
        <v>0</v>
      </c>
      <c r="E24" s="16"/>
      <c r="F24" s="16"/>
      <c r="G24" s="16"/>
      <c r="H24" s="16"/>
      <c r="I24" s="16"/>
    </row>
    <row r="25" spans="1:9" ht="16.5" customHeight="1">
      <c r="A25" s="14" t="s">
        <v>169</v>
      </c>
      <c r="B25" s="18">
        <f>C25+D25+E25+F25+G25+H25+I25</f>
        <v>202570884.18</v>
      </c>
      <c r="C25" s="16">
        <v>153856484.18</v>
      </c>
      <c r="D25" s="223">
        <f>+'таб 3(8)'!G12</f>
        <v>48714400</v>
      </c>
      <c r="E25" s="16"/>
      <c r="F25" s="16"/>
      <c r="G25" s="16"/>
      <c r="H25" s="16"/>
      <c r="I25" s="16"/>
    </row>
    <row r="26" spans="1:9" ht="16.5" customHeight="1">
      <c r="A26" s="14" t="s">
        <v>170</v>
      </c>
      <c r="B26" s="18">
        <f>C26+D26+E26+F26+G26+H26+I26</f>
        <v>0</v>
      </c>
      <c r="C26" s="26"/>
      <c r="D26" s="16"/>
      <c r="E26" s="16"/>
      <c r="F26" s="16"/>
      <c r="G26" s="16"/>
      <c r="H26" s="16"/>
      <c r="I26" s="16"/>
    </row>
    <row r="27" spans="1:9" ht="25.5">
      <c r="A27" s="19" t="s">
        <v>172</v>
      </c>
      <c r="B27" s="18">
        <f>B21</f>
        <v>615441877.55</v>
      </c>
      <c r="C27" s="18">
        <f aca="true" t="shared" si="3" ref="C27:I27">C21</f>
        <v>340807502.75</v>
      </c>
      <c r="D27" s="18">
        <f t="shared" si="3"/>
        <v>239652684.5</v>
      </c>
      <c r="E27" s="18">
        <f t="shared" si="3"/>
        <v>0</v>
      </c>
      <c r="F27" s="18">
        <f t="shared" si="3"/>
        <v>34981690.3</v>
      </c>
      <c r="G27" s="18">
        <f t="shared" si="3"/>
        <v>0</v>
      </c>
      <c r="H27" s="18">
        <f t="shared" si="3"/>
        <v>0</v>
      </c>
      <c r="I27" s="18">
        <f t="shared" si="3"/>
        <v>0</v>
      </c>
    </row>
    <row r="28" spans="1:9" ht="15">
      <c r="A28" s="34"/>
      <c r="B28" s="35"/>
      <c r="C28" s="36"/>
      <c r="D28" s="36"/>
      <c r="E28" s="36"/>
      <c r="F28" s="36"/>
      <c r="G28" s="36"/>
      <c r="H28" s="36"/>
      <c r="I28" s="36"/>
    </row>
    <row r="29" spans="3:9" ht="15">
      <c r="C29" s="38"/>
      <c r="D29" s="38"/>
      <c r="E29" s="38"/>
      <c r="F29" s="38"/>
      <c r="G29" s="38"/>
      <c r="H29" s="38"/>
      <c r="I29" s="38"/>
    </row>
    <row r="30" spans="3:9" ht="15">
      <c r="C30" s="38"/>
      <c r="D30" s="38"/>
      <c r="E30" s="38"/>
      <c r="F30" s="38"/>
      <c r="G30" s="38"/>
      <c r="H30" s="38"/>
      <c r="I30" s="38"/>
    </row>
    <row r="31" spans="3:9" ht="15">
      <c r="C31" s="38"/>
      <c r="D31" s="38"/>
      <c r="E31" s="38"/>
      <c r="F31" s="38"/>
      <c r="G31" s="38"/>
      <c r="H31" s="38"/>
      <c r="I31" s="38"/>
    </row>
    <row r="32" spans="3:9" ht="15">
      <c r="C32" s="45"/>
      <c r="D32" s="45"/>
      <c r="E32" s="45"/>
      <c r="F32" s="45"/>
      <c r="G32" s="45"/>
      <c r="H32" s="45"/>
      <c r="I32" s="45"/>
    </row>
    <row r="33" spans="4:9" ht="15">
      <c r="D33" s="45"/>
      <c r="E33" s="45"/>
      <c r="F33" s="45"/>
      <c r="G33" s="45"/>
      <c r="H33" s="45"/>
      <c r="I33" s="45"/>
    </row>
    <row r="34" spans="3:9" ht="15">
      <c r="C34" s="37"/>
      <c r="D34" s="45"/>
      <c r="E34" s="45"/>
      <c r="F34" s="45"/>
      <c r="G34" s="45"/>
      <c r="H34" s="45"/>
      <c r="I34" s="45"/>
    </row>
    <row r="35" spans="2:9" ht="15">
      <c r="B35" s="43"/>
      <c r="C35" s="38"/>
      <c r="D35" s="45"/>
      <c r="E35" s="45"/>
      <c r="F35" s="45"/>
      <c r="G35" s="45"/>
      <c r="H35" s="45"/>
      <c r="I35" s="45"/>
    </row>
    <row r="36" spans="2:9" ht="15">
      <c r="B36" s="45"/>
      <c r="D36" s="45"/>
      <c r="E36" s="45"/>
      <c r="F36" s="45"/>
      <c r="G36" s="45"/>
      <c r="H36" s="45"/>
      <c r="I36" s="45"/>
    </row>
    <row r="37" spans="4:9" ht="15">
      <c r="D37" s="45"/>
      <c r="E37" s="45"/>
      <c r="F37" s="45"/>
      <c r="G37" s="45"/>
      <c r="H37" s="45"/>
      <c r="I37" s="45"/>
    </row>
    <row r="38" spans="4:9" ht="15">
      <c r="D38" s="45"/>
      <c r="E38" s="45"/>
      <c r="F38" s="45"/>
      <c r="G38" s="45"/>
      <c r="H38" s="45"/>
      <c r="I38" s="45"/>
    </row>
    <row r="39" spans="4:9" ht="15">
      <c r="D39" s="45"/>
      <c r="E39" s="45"/>
      <c r="F39" s="45"/>
      <c r="G39" s="45"/>
      <c r="H39" s="45"/>
      <c r="I39" s="45"/>
    </row>
    <row r="40" spans="4:9" ht="15">
      <c r="D40" s="45"/>
      <c r="E40" s="45"/>
      <c r="F40" s="45"/>
      <c r="G40" s="45"/>
      <c r="H40" s="45"/>
      <c r="I40" s="45"/>
    </row>
    <row r="41" spans="4:9" ht="15">
      <c r="D41" s="45"/>
      <c r="E41" s="45"/>
      <c r="F41" s="45"/>
      <c r="G41" s="45"/>
      <c r="H41" s="45"/>
      <c r="I41" s="45"/>
    </row>
    <row r="42" spans="4:9" ht="15">
      <c r="D42" s="45"/>
      <c r="E42" s="45"/>
      <c r="F42" s="45"/>
      <c r="G42" s="45"/>
      <c r="H42" s="45"/>
      <c r="I42" s="45"/>
    </row>
    <row r="43" spans="4:9" ht="15">
      <c r="D43" s="45"/>
      <c r="E43" s="45"/>
      <c r="F43" s="45"/>
      <c r="G43" s="45"/>
      <c r="H43" s="45"/>
      <c r="I43" s="45"/>
    </row>
    <row r="44" spans="2:9" ht="15">
      <c r="B44" s="38"/>
      <c r="D44" s="45"/>
      <c r="E44" s="45"/>
      <c r="F44" s="45"/>
      <c r="G44" s="45"/>
      <c r="H44" s="45"/>
      <c r="I44" s="45"/>
    </row>
    <row r="45" spans="4:9" ht="15">
      <c r="D45" s="45"/>
      <c r="E45" s="45"/>
      <c r="F45" s="45"/>
      <c r="G45" s="45"/>
      <c r="H45" s="45"/>
      <c r="I45" s="45"/>
    </row>
    <row r="46" spans="5:9" s="39" customFormat="1" ht="15">
      <c r="E46" s="40"/>
      <c r="F46" s="40"/>
      <c r="G46" s="40"/>
      <c r="H46" s="40"/>
      <c r="I46" s="40"/>
    </row>
    <row r="47" spans="5:9" ht="15">
      <c r="E47" s="45"/>
      <c r="F47" s="45"/>
      <c r="G47" s="45"/>
      <c r="H47" s="45"/>
      <c r="I47" s="45"/>
    </row>
    <row r="48" spans="4:9" ht="15">
      <c r="D48" s="37"/>
      <c r="E48" s="37"/>
      <c r="F48" s="37"/>
      <c r="G48" s="45"/>
      <c r="H48" s="45"/>
      <c r="I48" s="45"/>
    </row>
  </sheetData>
  <sheetProtection/>
  <mergeCells count="8">
    <mergeCell ref="A15:I15"/>
    <mergeCell ref="A22:I22"/>
    <mergeCell ref="A3:I3"/>
    <mergeCell ref="A4:A5"/>
    <mergeCell ref="B4:B5"/>
    <mergeCell ref="C4:I4"/>
    <mergeCell ref="A8:I8"/>
    <mergeCell ref="A13:I13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zoomScaleSheetLayoutView="115" zoomScalePageLayoutView="0" workbookViewId="0" topLeftCell="A1">
      <selection activeCell="D1" sqref="D1:G16384"/>
    </sheetView>
  </sheetViews>
  <sheetFormatPr defaultColWidth="9.140625" defaultRowHeight="15"/>
  <cols>
    <col min="1" max="1" width="9.140625" style="82" customWidth="1"/>
    <col min="2" max="2" width="48.421875" style="82" customWidth="1"/>
    <col min="3" max="3" width="10.8515625" style="82" customWidth="1"/>
    <col min="4" max="4" width="10.00390625" style="82" customWidth="1"/>
    <col min="5" max="5" width="14.00390625" style="82" customWidth="1"/>
    <col min="6" max="6" width="12.8515625" style="82" customWidth="1"/>
    <col min="7" max="7" width="13.140625" style="82" bestFit="1" customWidth="1"/>
    <col min="8" max="12" width="12.8515625" style="82" bestFit="1" customWidth="1"/>
    <col min="13" max="13" width="25.421875" style="82" customWidth="1"/>
    <col min="14" max="14" width="9.8515625" style="82" customWidth="1"/>
    <col min="15" max="15" width="11.7109375" style="82" customWidth="1"/>
    <col min="16" max="16" width="11.00390625" style="82" customWidth="1"/>
    <col min="17" max="17" width="10.28125" style="82" customWidth="1"/>
    <col min="18" max="18" width="9.8515625" style="82" customWidth="1"/>
    <col min="19" max="19" width="12.57421875" style="82" customWidth="1"/>
    <col min="20" max="20" width="12.421875" style="82" customWidth="1"/>
    <col min="21" max="21" width="15.7109375" style="82" customWidth="1"/>
    <col min="22" max="16384" width="9.140625" style="82" customWidth="1"/>
  </cols>
  <sheetData>
    <row r="1" spans="20:21" s="52" customFormat="1" ht="25.5">
      <c r="T1" s="61"/>
      <c r="U1" s="61" t="s">
        <v>251</v>
      </c>
    </row>
    <row r="2" spans="1:21" s="52" customFormat="1" ht="15.75">
      <c r="A2" s="300" t="s">
        <v>252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29.25" customHeight="1">
      <c r="A3" s="296" t="s">
        <v>161</v>
      </c>
      <c r="B3" s="237" t="s">
        <v>173</v>
      </c>
      <c r="C3" s="237" t="s">
        <v>174</v>
      </c>
      <c r="D3" s="237" t="s">
        <v>163</v>
      </c>
      <c r="E3" s="237" t="s">
        <v>175</v>
      </c>
      <c r="F3" s="237"/>
      <c r="G3" s="237"/>
      <c r="H3" s="237"/>
      <c r="I3" s="237"/>
      <c r="J3" s="237"/>
      <c r="K3" s="237"/>
      <c r="L3" s="237"/>
      <c r="M3" s="296" t="s">
        <v>64</v>
      </c>
      <c r="N3" s="296"/>
      <c r="O3" s="296"/>
      <c r="P3" s="296"/>
      <c r="Q3" s="296"/>
      <c r="R3" s="296"/>
      <c r="S3" s="296"/>
      <c r="T3" s="296"/>
      <c r="U3" s="294" t="s">
        <v>176</v>
      </c>
    </row>
    <row r="4" spans="1:21" ht="38.25" customHeight="1">
      <c r="A4" s="296"/>
      <c r="B4" s="237"/>
      <c r="C4" s="237"/>
      <c r="D4" s="237"/>
      <c r="E4" s="83" t="s">
        <v>152</v>
      </c>
      <c r="F4" s="177" t="s">
        <v>141</v>
      </c>
      <c r="G4" s="177" t="s">
        <v>142</v>
      </c>
      <c r="H4" s="177" t="s">
        <v>143</v>
      </c>
      <c r="I4" s="177" t="s">
        <v>144</v>
      </c>
      <c r="J4" s="177" t="s">
        <v>145</v>
      </c>
      <c r="K4" s="177" t="s">
        <v>146</v>
      </c>
      <c r="L4" s="177" t="s">
        <v>147</v>
      </c>
      <c r="M4" s="12" t="s">
        <v>162</v>
      </c>
      <c r="N4" s="177" t="s">
        <v>141</v>
      </c>
      <c r="O4" s="177" t="s">
        <v>142</v>
      </c>
      <c r="P4" s="177" t="s">
        <v>143</v>
      </c>
      <c r="Q4" s="177" t="s">
        <v>144</v>
      </c>
      <c r="R4" s="177" t="s">
        <v>145</v>
      </c>
      <c r="S4" s="177" t="s">
        <v>146</v>
      </c>
      <c r="T4" s="177" t="s">
        <v>147</v>
      </c>
      <c r="U4" s="295"/>
    </row>
    <row r="5" spans="1:21" ht="12.7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</row>
    <row r="6" spans="1:21" ht="12.75">
      <c r="A6" s="84"/>
      <c r="B6" s="288" t="s">
        <v>253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21" ht="12.75">
      <c r="A7" s="84">
        <v>1</v>
      </c>
      <c r="B7" s="288" t="s">
        <v>68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2.75">
      <c r="A8" s="286" t="s">
        <v>192</v>
      </c>
      <c r="B8" s="353" t="s">
        <v>15</v>
      </c>
      <c r="C8" s="277" t="s">
        <v>132</v>
      </c>
      <c r="D8" s="85" t="s">
        <v>152</v>
      </c>
      <c r="E8" s="86">
        <f>E10+E11+E12+E13</f>
        <v>15141121</v>
      </c>
      <c r="F8" s="86">
        <f aca="true" t="shared" si="0" ref="F8:L8">F10+F11+F12+F13</f>
        <v>1951875</v>
      </c>
      <c r="G8" s="86">
        <f t="shared" si="0"/>
        <v>2105846</v>
      </c>
      <c r="H8" s="86">
        <f t="shared" si="0"/>
        <v>2216680</v>
      </c>
      <c r="I8" s="86">
        <f t="shared" si="0"/>
        <v>2216680</v>
      </c>
      <c r="J8" s="86">
        <f t="shared" si="0"/>
        <v>2216680</v>
      </c>
      <c r="K8" s="86">
        <f t="shared" si="0"/>
        <v>2216680</v>
      </c>
      <c r="L8" s="86">
        <f t="shared" si="0"/>
        <v>2216680</v>
      </c>
      <c r="M8" s="324" t="s">
        <v>20</v>
      </c>
      <c r="N8" s="272">
        <v>1</v>
      </c>
      <c r="O8" s="272">
        <v>1</v>
      </c>
      <c r="P8" s="272">
        <v>1</v>
      </c>
      <c r="Q8" s="272">
        <v>1</v>
      </c>
      <c r="R8" s="272">
        <v>1</v>
      </c>
      <c r="S8" s="272">
        <v>1</v>
      </c>
      <c r="T8" s="272">
        <v>1</v>
      </c>
      <c r="U8" s="324" t="s">
        <v>131</v>
      </c>
    </row>
    <row r="9" spans="1:21" ht="12.75">
      <c r="A9" s="286"/>
      <c r="B9" s="354"/>
      <c r="C9" s="278"/>
      <c r="D9" s="283" t="s">
        <v>177</v>
      </c>
      <c r="E9" s="284"/>
      <c r="F9" s="284"/>
      <c r="G9" s="284"/>
      <c r="H9" s="284"/>
      <c r="I9" s="284"/>
      <c r="J9" s="284"/>
      <c r="K9" s="284"/>
      <c r="L9" s="285"/>
      <c r="M9" s="325"/>
      <c r="N9" s="273"/>
      <c r="O9" s="273"/>
      <c r="P9" s="273"/>
      <c r="Q9" s="273"/>
      <c r="R9" s="273"/>
      <c r="S9" s="273"/>
      <c r="T9" s="273"/>
      <c r="U9" s="325"/>
    </row>
    <row r="10" spans="1:21" ht="12.75">
      <c r="A10" s="286"/>
      <c r="B10" s="354"/>
      <c r="C10" s="278"/>
      <c r="D10" s="87" t="s">
        <v>150</v>
      </c>
      <c r="E10" s="88">
        <f>F10+G10+H10+I10+J10+K10+L10</f>
        <v>15141121</v>
      </c>
      <c r="F10" s="88">
        <v>1951875</v>
      </c>
      <c r="G10" s="88">
        <f>2216680-110834</f>
        <v>2105846</v>
      </c>
      <c r="H10" s="88">
        <v>2216680</v>
      </c>
      <c r="I10" s="88">
        <v>2216680</v>
      </c>
      <c r="J10" s="88">
        <v>2216680</v>
      </c>
      <c r="K10" s="88">
        <v>2216680</v>
      </c>
      <c r="L10" s="88">
        <v>2216680</v>
      </c>
      <c r="M10" s="325"/>
      <c r="N10" s="273"/>
      <c r="O10" s="273"/>
      <c r="P10" s="273"/>
      <c r="Q10" s="273"/>
      <c r="R10" s="273"/>
      <c r="S10" s="273"/>
      <c r="T10" s="273"/>
      <c r="U10" s="325"/>
    </row>
    <row r="11" spans="1:21" ht="12.75">
      <c r="A11" s="286"/>
      <c r="B11" s="354"/>
      <c r="C11" s="278"/>
      <c r="D11" s="87" t="s">
        <v>148</v>
      </c>
      <c r="E11" s="88">
        <f>F11+G11+H11+I11+J11+K11+L11</f>
        <v>0</v>
      </c>
      <c r="F11" s="88"/>
      <c r="G11" s="88"/>
      <c r="H11" s="88"/>
      <c r="I11" s="88"/>
      <c r="J11" s="88"/>
      <c r="K11" s="88"/>
      <c r="L11" s="88"/>
      <c r="M11" s="325"/>
      <c r="N11" s="273"/>
      <c r="O11" s="273"/>
      <c r="P11" s="273"/>
      <c r="Q11" s="273"/>
      <c r="R11" s="273"/>
      <c r="S11" s="273"/>
      <c r="T11" s="273"/>
      <c r="U11" s="325"/>
    </row>
    <row r="12" spans="1:21" ht="12.75">
      <c r="A12" s="286"/>
      <c r="B12" s="354"/>
      <c r="C12" s="278"/>
      <c r="D12" s="87" t="s">
        <v>149</v>
      </c>
      <c r="E12" s="88">
        <f>F12+G12+H12+I12+J12+K12+L12</f>
        <v>0</v>
      </c>
      <c r="F12" s="88"/>
      <c r="G12" s="88"/>
      <c r="H12" s="88"/>
      <c r="I12" s="88"/>
      <c r="J12" s="88"/>
      <c r="K12" s="88"/>
      <c r="L12" s="88"/>
      <c r="M12" s="325"/>
      <c r="N12" s="273"/>
      <c r="O12" s="273"/>
      <c r="P12" s="273"/>
      <c r="Q12" s="273"/>
      <c r="R12" s="273"/>
      <c r="S12" s="273"/>
      <c r="T12" s="273"/>
      <c r="U12" s="325"/>
    </row>
    <row r="13" spans="1:21" ht="12.75">
      <c r="A13" s="286"/>
      <c r="B13" s="355"/>
      <c r="C13" s="279"/>
      <c r="D13" s="87" t="s">
        <v>151</v>
      </c>
      <c r="E13" s="88">
        <f>F13+G13+H13+I13+J13+K13+L13</f>
        <v>0</v>
      </c>
      <c r="F13" s="88"/>
      <c r="G13" s="88"/>
      <c r="H13" s="88"/>
      <c r="I13" s="88"/>
      <c r="J13" s="88"/>
      <c r="K13" s="88"/>
      <c r="L13" s="88"/>
      <c r="M13" s="326"/>
      <c r="N13" s="276"/>
      <c r="O13" s="276"/>
      <c r="P13" s="276"/>
      <c r="Q13" s="276"/>
      <c r="R13" s="276"/>
      <c r="S13" s="276"/>
      <c r="T13" s="276"/>
      <c r="U13" s="326"/>
    </row>
    <row r="14" spans="1:21" ht="12.75" customHeight="1">
      <c r="A14" s="286" t="s">
        <v>193</v>
      </c>
      <c r="B14" s="353" t="s">
        <v>16</v>
      </c>
      <c r="C14" s="277" t="s">
        <v>132</v>
      </c>
      <c r="D14" s="85" t="s">
        <v>152</v>
      </c>
      <c r="E14" s="86">
        <f>E16+E17+E18+E19</f>
        <v>15141121</v>
      </c>
      <c r="F14" s="86">
        <f aca="true" t="shared" si="1" ref="F14:L14">F16+F17+F18+F19</f>
        <v>1951875</v>
      </c>
      <c r="G14" s="86">
        <f t="shared" si="1"/>
        <v>2105846</v>
      </c>
      <c r="H14" s="86">
        <f t="shared" si="1"/>
        <v>2216680</v>
      </c>
      <c r="I14" s="86">
        <f t="shared" si="1"/>
        <v>2216680</v>
      </c>
      <c r="J14" s="86">
        <f t="shared" si="1"/>
        <v>2216680</v>
      </c>
      <c r="K14" s="86">
        <f t="shared" si="1"/>
        <v>2216680</v>
      </c>
      <c r="L14" s="86">
        <f t="shared" si="1"/>
        <v>2216680</v>
      </c>
      <c r="M14" s="324" t="s">
        <v>19</v>
      </c>
      <c r="N14" s="272">
        <v>1</v>
      </c>
      <c r="O14" s="272">
        <v>1</v>
      </c>
      <c r="P14" s="272">
        <v>1</v>
      </c>
      <c r="Q14" s="272">
        <v>1</v>
      </c>
      <c r="R14" s="272">
        <v>1</v>
      </c>
      <c r="S14" s="272">
        <v>1</v>
      </c>
      <c r="T14" s="272">
        <v>1</v>
      </c>
      <c r="U14" s="324" t="s">
        <v>131</v>
      </c>
    </row>
    <row r="15" spans="1:21" ht="12.75">
      <c r="A15" s="286"/>
      <c r="B15" s="354"/>
      <c r="C15" s="278"/>
      <c r="D15" s="283" t="s">
        <v>177</v>
      </c>
      <c r="E15" s="284"/>
      <c r="F15" s="284"/>
      <c r="G15" s="284"/>
      <c r="H15" s="284"/>
      <c r="I15" s="284"/>
      <c r="J15" s="284"/>
      <c r="K15" s="284"/>
      <c r="L15" s="285"/>
      <c r="M15" s="325"/>
      <c r="N15" s="273"/>
      <c r="O15" s="273"/>
      <c r="P15" s="273"/>
      <c r="Q15" s="273"/>
      <c r="R15" s="273"/>
      <c r="S15" s="273"/>
      <c r="T15" s="273"/>
      <c r="U15" s="325"/>
    </row>
    <row r="16" spans="1:21" ht="12.75">
      <c r="A16" s="286"/>
      <c r="B16" s="354"/>
      <c r="C16" s="278"/>
      <c r="D16" s="87" t="s">
        <v>150</v>
      </c>
      <c r="E16" s="88">
        <f>F16+G16+H16+I16+J16+K16+L16</f>
        <v>15141121</v>
      </c>
      <c r="F16" s="88">
        <v>1951875</v>
      </c>
      <c r="G16" s="88">
        <f>2216680-110834</f>
        <v>2105846</v>
      </c>
      <c r="H16" s="88">
        <v>2216680</v>
      </c>
      <c r="I16" s="88">
        <v>2216680</v>
      </c>
      <c r="J16" s="88">
        <v>2216680</v>
      </c>
      <c r="K16" s="88">
        <v>2216680</v>
      </c>
      <c r="L16" s="88">
        <v>2216680</v>
      </c>
      <c r="M16" s="325"/>
      <c r="N16" s="273"/>
      <c r="O16" s="273"/>
      <c r="P16" s="273"/>
      <c r="Q16" s="273"/>
      <c r="R16" s="273"/>
      <c r="S16" s="273"/>
      <c r="T16" s="273"/>
      <c r="U16" s="325"/>
    </row>
    <row r="17" spans="1:21" ht="12.75">
      <c r="A17" s="286"/>
      <c r="B17" s="354"/>
      <c r="C17" s="278"/>
      <c r="D17" s="87" t="s">
        <v>148</v>
      </c>
      <c r="E17" s="88">
        <f>F17+G17+H17+I17+J17+K17+L17</f>
        <v>0</v>
      </c>
      <c r="F17" s="88"/>
      <c r="G17" s="88"/>
      <c r="H17" s="88"/>
      <c r="I17" s="88"/>
      <c r="J17" s="88"/>
      <c r="K17" s="88"/>
      <c r="L17" s="88"/>
      <c r="M17" s="325"/>
      <c r="N17" s="273"/>
      <c r="O17" s="273"/>
      <c r="P17" s="273"/>
      <c r="Q17" s="273"/>
      <c r="R17" s="273"/>
      <c r="S17" s="273"/>
      <c r="T17" s="273"/>
      <c r="U17" s="325"/>
    </row>
    <row r="18" spans="1:21" ht="12.75">
      <c r="A18" s="286"/>
      <c r="B18" s="354"/>
      <c r="C18" s="278"/>
      <c r="D18" s="87" t="s">
        <v>149</v>
      </c>
      <c r="E18" s="88">
        <f>F18+G18+H18+I18+J18+K18+L18</f>
        <v>0</v>
      </c>
      <c r="F18" s="88"/>
      <c r="G18" s="88"/>
      <c r="H18" s="88"/>
      <c r="I18" s="88"/>
      <c r="J18" s="88"/>
      <c r="K18" s="88"/>
      <c r="L18" s="88"/>
      <c r="M18" s="325"/>
      <c r="N18" s="273"/>
      <c r="O18" s="273"/>
      <c r="P18" s="273"/>
      <c r="Q18" s="273"/>
      <c r="R18" s="273"/>
      <c r="S18" s="273"/>
      <c r="T18" s="273"/>
      <c r="U18" s="325"/>
    </row>
    <row r="19" spans="1:21" ht="12.75">
      <c r="A19" s="286"/>
      <c r="B19" s="355"/>
      <c r="C19" s="279"/>
      <c r="D19" s="87" t="s">
        <v>151</v>
      </c>
      <c r="E19" s="88">
        <f>F19+G19+H19+I19+J19+K19+L19</f>
        <v>0</v>
      </c>
      <c r="F19" s="88"/>
      <c r="G19" s="88"/>
      <c r="H19" s="88"/>
      <c r="I19" s="88"/>
      <c r="J19" s="88"/>
      <c r="K19" s="88"/>
      <c r="L19" s="88"/>
      <c r="M19" s="326"/>
      <c r="N19" s="276"/>
      <c r="O19" s="276"/>
      <c r="P19" s="276"/>
      <c r="Q19" s="276"/>
      <c r="R19" s="276"/>
      <c r="S19" s="276"/>
      <c r="T19" s="276"/>
      <c r="U19" s="326"/>
    </row>
    <row r="20" spans="1:21" ht="13.5">
      <c r="A20" s="297"/>
      <c r="B20" s="330" t="s">
        <v>236</v>
      </c>
      <c r="C20" s="297"/>
      <c r="D20" s="90" t="s">
        <v>152</v>
      </c>
      <c r="E20" s="91">
        <f aca="true" t="shared" si="2" ref="E20:L20">E22+E23+E24+E25</f>
        <v>30282242</v>
      </c>
      <c r="F20" s="91">
        <f t="shared" si="2"/>
        <v>3903750</v>
      </c>
      <c r="G20" s="91">
        <f t="shared" si="2"/>
        <v>4211692</v>
      </c>
      <c r="H20" s="91">
        <f t="shared" si="2"/>
        <v>4433360</v>
      </c>
      <c r="I20" s="91">
        <f t="shared" si="2"/>
        <v>4433360</v>
      </c>
      <c r="J20" s="91">
        <f t="shared" si="2"/>
        <v>4433360</v>
      </c>
      <c r="K20" s="91">
        <f t="shared" si="2"/>
        <v>4433360</v>
      </c>
      <c r="L20" s="91">
        <f t="shared" si="2"/>
        <v>4433360</v>
      </c>
      <c r="M20" s="309"/>
      <c r="N20" s="303"/>
      <c r="O20" s="303"/>
      <c r="P20" s="303"/>
      <c r="Q20" s="303"/>
      <c r="R20" s="303"/>
      <c r="S20" s="303"/>
      <c r="T20" s="303"/>
      <c r="U20" s="306"/>
    </row>
    <row r="21" spans="1:21" ht="12.75">
      <c r="A21" s="297"/>
      <c r="B21" s="331"/>
      <c r="C21" s="297"/>
      <c r="D21" s="312" t="s">
        <v>177</v>
      </c>
      <c r="E21" s="313"/>
      <c r="F21" s="313"/>
      <c r="G21" s="313"/>
      <c r="H21" s="313"/>
      <c r="I21" s="313"/>
      <c r="J21" s="313"/>
      <c r="K21" s="313"/>
      <c r="L21" s="314"/>
      <c r="M21" s="310"/>
      <c r="N21" s="304"/>
      <c r="O21" s="304"/>
      <c r="P21" s="304"/>
      <c r="Q21" s="304"/>
      <c r="R21" s="304"/>
      <c r="S21" s="304"/>
      <c r="T21" s="304"/>
      <c r="U21" s="307"/>
    </row>
    <row r="22" spans="1:21" ht="13.5">
      <c r="A22" s="297"/>
      <c r="B22" s="331"/>
      <c r="C22" s="297"/>
      <c r="D22" s="92" t="s">
        <v>150</v>
      </c>
      <c r="E22" s="91">
        <f>F22+G22+H22+I22+J22+K22+L22</f>
        <v>30282242</v>
      </c>
      <c r="F22" s="93">
        <f>F16+F10</f>
        <v>3903750</v>
      </c>
      <c r="G22" s="93">
        <f aca="true" t="shared" si="3" ref="G22:L22">G16+G10</f>
        <v>4211692</v>
      </c>
      <c r="H22" s="93">
        <f t="shared" si="3"/>
        <v>4433360</v>
      </c>
      <c r="I22" s="93">
        <f t="shared" si="3"/>
        <v>4433360</v>
      </c>
      <c r="J22" s="93">
        <f t="shared" si="3"/>
        <v>4433360</v>
      </c>
      <c r="K22" s="93">
        <f t="shared" si="3"/>
        <v>4433360</v>
      </c>
      <c r="L22" s="93">
        <f t="shared" si="3"/>
        <v>4433360</v>
      </c>
      <c r="M22" s="310"/>
      <c r="N22" s="304"/>
      <c r="O22" s="304"/>
      <c r="P22" s="304"/>
      <c r="Q22" s="304"/>
      <c r="R22" s="304"/>
      <c r="S22" s="304"/>
      <c r="T22" s="304"/>
      <c r="U22" s="307"/>
    </row>
    <row r="23" spans="1:21" ht="13.5">
      <c r="A23" s="297"/>
      <c r="B23" s="331"/>
      <c r="C23" s="297"/>
      <c r="D23" s="92" t="s">
        <v>148</v>
      </c>
      <c r="E23" s="91">
        <f>F23+G23+H23+I23+J23+K23+L23</f>
        <v>0</v>
      </c>
      <c r="F23" s="93">
        <f aca="true" t="shared" si="4" ref="F23:L23">F11+F17</f>
        <v>0</v>
      </c>
      <c r="G23" s="93">
        <f t="shared" si="4"/>
        <v>0</v>
      </c>
      <c r="H23" s="93">
        <f t="shared" si="4"/>
        <v>0</v>
      </c>
      <c r="I23" s="93">
        <f t="shared" si="4"/>
        <v>0</v>
      </c>
      <c r="J23" s="93">
        <f t="shared" si="4"/>
        <v>0</v>
      </c>
      <c r="K23" s="93">
        <f t="shared" si="4"/>
        <v>0</v>
      </c>
      <c r="L23" s="93">
        <f t="shared" si="4"/>
        <v>0</v>
      </c>
      <c r="M23" s="310"/>
      <c r="N23" s="304"/>
      <c r="O23" s="304"/>
      <c r="P23" s="304"/>
      <c r="Q23" s="304"/>
      <c r="R23" s="304"/>
      <c r="S23" s="304"/>
      <c r="T23" s="304"/>
      <c r="U23" s="307"/>
    </row>
    <row r="24" spans="1:21" ht="13.5">
      <c r="A24" s="297"/>
      <c r="B24" s="331"/>
      <c r="C24" s="297"/>
      <c r="D24" s="92" t="s">
        <v>149</v>
      </c>
      <c r="E24" s="91">
        <f>F24+G24+H24+I24+J24+K24+L24</f>
        <v>0</v>
      </c>
      <c r="F24" s="93">
        <f>F12+F18</f>
        <v>0</v>
      </c>
      <c r="G24" s="93">
        <f aca="true" t="shared" si="5" ref="G24:L24">G12+G18</f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93">
        <f t="shared" si="5"/>
        <v>0</v>
      </c>
      <c r="M24" s="310"/>
      <c r="N24" s="304"/>
      <c r="O24" s="304"/>
      <c r="P24" s="304"/>
      <c r="Q24" s="304"/>
      <c r="R24" s="304"/>
      <c r="S24" s="304"/>
      <c r="T24" s="304"/>
      <c r="U24" s="307"/>
    </row>
    <row r="25" spans="1:21" ht="13.5">
      <c r="A25" s="297"/>
      <c r="B25" s="332"/>
      <c r="C25" s="297"/>
      <c r="D25" s="92" t="s">
        <v>151</v>
      </c>
      <c r="E25" s="91">
        <f>F25+G25+H25+I25+J25+K25+L25</f>
        <v>0</v>
      </c>
      <c r="F25" s="93">
        <f>F13+F19</f>
        <v>0</v>
      </c>
      <c r="G25" s="93">
        <f aca="true" t="shared" si="6" ref="G25:L25">G13+G19</f>
        <v>0</v>
      </c>
      <c r="H25" s="93">
        <f t="shared" si="6"/>
        <v>0</v>
      </c>
      <c r="I25" s="93">
        <f t="shared" si="6"/>
        <v>0</v>
      </c>
      <c r="J25" s="93">
        <f t="shared" si="6"/>
        <v>0</v>
      </c>
      <c r="K25" s="93">
        <f t="shared" si="6"/>
        <v>0</v>
      </c>
      <c r="L25" s="93">
        <f t="shared" si="6"/>
        <v>0</v>
      </c>
      <c r="M25" s="311"/>
      <c r="N25" s="305"/>
      <c r="O25" s="305"/>
      <c r="P25" s="305"/>
      <c r="Q25" s="305"/>
      <c r="R25" s="305"/>
      <c r="S25" s="305"/>
      <c r="T25" s="305"/>
      <c r="U25" s="308"/>
    </row>
    <row r="26" spans="1:21" ht="12.75">
      <c r="A26" s="84">
        <v>2</v>
      </c>
      <c r="B26" s="288" t="s">
        <v>72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90"/>
    </row>
    <row r="27" spans="1:21" ht="12.75" customHeight="1">
      <c r="A27" s="286" t="s">
        <v>208</v>
      </c>
      <c r="B27" s="353" t="s">
        <v>254</v>
      </c>
      <c r="C27" s="277" t="s">
        <v>132</v>
      </c>
      <c r="D27" s="85" t="s">
        <v>152</v>
      </c>
      <c r="E27" s="86">
        <f>E29+E30+E31+E32</f>
        <v>30695000</v>
      </c>
      <c r="F27" s="86">
        <f aca="true" t="shared" si="7" ref="F27:L27">F29+F30+F31+F32</f>
        <v>4265000</v>
      </c>
      <c r="G27" s="86">
        <f t="shared" si="7"/>
        <v>4405000</v>
      </c>
      <c r="H27" s="86">
        <f t="shared" si="7"/>
        <v>4405000</v>
      </c>
      <c r="I27" s="86">
        <f t="shared" si="7"/>
        <v>4405000</v>
      </c>
      <c r="J27" s="86">
        <f t="shared" si="7"/>
        <v>4405000</v>
      </c>
      <c r="K27" s="86">
        <f t="shared" si="7"/>
        <v>4405000</v>
      </c>
      <c r="L27" s="86">
        <f t="shared" si="7"/>
        <v>4405000</v>
      </c>
      <c r="M27" s="324" t="s">
        <v>25</v>
      </c>
      <c r="N27" s="269">
        <v>100</v>
      </c>
      <c r="O27" s="269">
        <v>100</v>
      </c>
      <c r="P27" s="269">
        <v>100</v>
      </c>
      <c r="Q27" s="269">
        <v>100</v>
      </c>
      <c r="R27" s="269">
        <v>100</v>
      </c>
      <c r="S27" s="269">
        <v>100</v>
      </c>
      <c r="T27" s="269">
        <v>100</v>
      </c>
      <c r="U27" s="324" t="s">
        <v>131</v>
      </c>
    </row>
    <row r="28" spans="1:21" ht="12.75">
      <c r="A28" s="286"/>
      <c r="B28" s="354"/>
      <c r="C28" s="278"/>
      <c r="D28" s="283" t="s">
        <v>177</v>
      </c>
      <c r="E28" s="284"/>
      <c r="F28" s="284"/>
      <c r="G28" s="284"/>
      <c r="H28" s="284"/>
      <c r="I28" s="284"/>
      <c r="J28" s="284"/>
      <c r="K28" s="284"/>
      <c r="L28" s="285"/>
      <c r="M28" s="325"/>
      <c r="N28" s="270"/>
      <c r="O28" s="270"/>
      <c r="P28" s="270"/>
      <c r="Q28" s="270"/>
      <c r="R28" s="270"/>
      <c r="S28" s="270"/>
      <c r="T28" s="270"/>
      <c r="U28" s="325"/>
    </row>
    <row r="29" spans="1:21" ht="12.75">
      <c r="A29" s="286"/>
      <c r="B29" s="354"/>
      <c r="C29" s="278"/>
      <c r="D29" s="87" t="s">
        <v>150</v>
      </c>
      <c r="E29" s="88">
        <f>F29+G29+H29+I29+J29+K29+L29</f>
        <v>0</v>
      </c>
      <c r="F29" s="88"/>
      <c r="G29" s="88"/>
      <c r="H29" s="88"/>
      <c r="I29" s="88"/>
      <c r="J29" s="88"/>
      <c r="K29" s="88"/>
      <c r="L29" s="88"/>
      <c r="M29" s="325"/>
      <c r="N29" s="270"/>
      <c r="O29" s="270"/>
      <c r="P29" s="270"/>
      <c r="Q29" s="270"/>
      <c r="R29" s="270"/>
      <c r="S29" s="270"/>
      <c r="T29" s="270"/>
      <c r="U29" s="325"/>
    </row>
    <row r="30" spans="1:21" ht="12.75">
      <c r="A30" s="286"/>
      <c r="B30" s="354"/>
      <c r="C30" s="278"/>
      <c r="D30" s="87" t="s">
        <v>148</v>
      </c>
      <c r="E30" s="88">
        <f>F30+G30+H30+I30+J30+K30+L30</f>
        <v>30695000</v>
      </c>
      <c r="F30" s="88">
        <v>4265000</v>
      </c>
      <c r="G30" s="88">
        <v>4405000</v>
      </c>
      <c r="H30" s="88">
        <v>4405000</v>
      </c>
      <c r="I30" s="88">
        <v>4405000</v>
      </c>
      <c r="J30" s="88">
        <v>4405000</v>
      </c>
      <c r="K30" s="88">
        <v>4405000</v>
      </c>
      <c r="L30" s="88">
        <v>4405000</v>
      </c>
      <c r="M30" s="325"/>
      <c r="N30" s="270"/>
      <c r="O30" s="270"/>
      <c r="P30" s="270"/>
      <c r="Q30" s="270"/>
      <c r="R30" s="270"/>
      <c r="S30" s="270"/>
      <c r="T30" s="270"/>
      <c r="U30" s="325"/>
    </row>
    <row r="31" spans="1:21" ht="12.75">
      <c r="A31" s="286"/>
      <c r="B31" s="354"/>
      <c r="C31" s="278"/>
      <c r="D31" s="87" t="s">
        <v>149</v>
      </c>
      <c r="E31" s="88">
        <f>F31+G31+H31+I31+J31+K31+L31</f>
        <v>0</v>
      </c>
      <c r="F31" s="88"/>
      <c r="G31" s="88"/>
      <c r="H31" s="88"/>
      <c r="I31" s="88"/>
      <c r="J31" s="88"/>
      <c r="K31" s="88"/>
      <c r="L31" s="88"/>
      <c r="M31" s="325"/>
      <c r="N31" s="270"/>
      <c r="O31" s="270"/>
      <c r="P31" s="270"/>
      <c r="Q31" s="270"/>
      <c r="R31" s="270"/>
      <c r="S31" s="270"/>
      <c r="T31" s="270"/>
      <c r="U31" s="325"/>
    </row>
    <row r="32" spans="1:21" ht="12.75">
      <c r="A32" s="286"/>
      <c r="B32" s="355"/>
      <c r="C32" s="279"/>
      <c r="D32" s="87" t="s">
        <v>151</v>
      </c>
      <c r="E32" s="88">
        <f>F32+G32+H32+I32+J32+K32+L32</f>
        <v>0</v>
      </c>
      <c r="F32" s="88"/>
      <c r="G32" s="88"/>
      <c r="H32" s="88"/>
      <c r="I32" s="88"/>
      <c r="J32" s="88"/>
      <c r="K32" s="88"/>
      <c r="L32" s="88"/>
      <c r="M32" s="326"/>
      <c r="N32" s="271"/>
      <c r="O32" s="271"/>
      <c r="P32" s="271"/>
      <c r="Q32" s="271"/>
      <c r="R32" s="271"/>
      <c r="S32" s="271"/>
      <c r="T32" s="271"/>
      <c r="U32" s="326"/>
    </row>
    <row r="33" spans="1:21" ht="12.75" customHeight="1">
      <c r="A33" s="286" t="s">
        <v>209</v>
      </c>
      <c r="B33" s="341" t="s">
        <v>255</v>
      </c>
      <c r="C33" s="277" t="s">
        <v>132</v>
      </c>
      <c r="D33" s="85" t="s">
        <v>152</v>
      </c>
      <c r="E33" s="86">
        <f>E35+E36+E37+E38</f>
        <v>1842400</v>
      </c>
      <c r="F33" s="86">
        <f aca="true" t="shared" si="8" ref="F33:L33">F35+F36+F37+F38</f>
        <v>131600</v>
      </c>
      <c r="G33" s="86">
        <f t="shared" si="8"/>
        <v>131600</v>
      </c>
      <c r="H33" s="86">
        <f t="shared" si="8"/>
        <v>263200</v>
      </c>
      <c r="I33" s="86">
        <f t="shared" si="8"/>
        <v>329000</v>
      </c>
      <c r="J33" s="86">
        <f t="shared" si="8"/>
        <v>329000</v>
      </c>
      <c r="K33" s="86">
        <f t="shared" si="8"/>
        <v>329000</v>
      </c>
      <c r="L33" s="86">
        <f t="shared" si="8"/>
        <v>329000</v>
      </c>
      <c r="M33" s="324" t="s">
        <v>24</v>
      </c>
      <c r="N33" s="269">
        <v>100</v>
      </c>
      <c r="O33" s="269">
        <v>100</v>
      </c>
      <c r="P33" s="269">
        <v>100</v>
      </c>
      <c r="Q33" s="269">
        <v>100</v>
      </c>
      <c r="R33" s="269">
        <v>100</v>
      </c>
      <c r="S33" s="269">
        <v>100</v>
      </c>
      <c r="T33" s="269">
        <v>100</v>
      </c>
      <c r="U33" s="324" t="s">
        <v>131</v>
      </c>
    </row>
    <row r="34" spans="1:21" ht="12.75">
      <c r="A34" s="286"/>
      <c r="B34" s="342"/>
      <c r="C34" s="278"/>
      <c r="D34" s="283" t="s">
        <v>177</v>
      </c>
      <c r="E34" s="284"/>
      <c r="F34" s="284"/>
      <c r="G34" s="284"/>
      <c r="H34" s="284"/>
      <c r="I34" s="284"/>
      <c r="J34" s="284"/>
      <c r="K34" s="284"/>
      <c r="L34" s="285"/>
      <c r="M34" s="325"/>
      <c r="N34" s="270"/>
      <c r="O34" s="270"/>
      <c r="P34" s="270"/>
      <c r="Q34" s="270"/>
      <c r="R34" s="270"/>
      <c r="S34" s="270"/>
      <c r="T34" s="270"/>
      <c r="U34" s="325"/>
    </row>
    <row r="35" spans="1:21" ht="12.75">
      <c r="A35" s="286"/>
      <c r="B35" s="342"/>
      <c r="C35" s="278"/>
      <c r="D35" s="87" t="s">
        <v>150</v>
      </c>
      <c r="E35" s="88">
        <f>F35+G35+H35+I35+J35+K35+L35</f>
        <v>0</v>
      </c>
      <c r="F35" s="89"/>
      <c r="G35" s="88"/>
      <c r="H35" s="88"/>
      <c r="I35" s="88"/>
      <c r="J35" s="88"/>
      <c r="K35" s="88"/>
      <c r="L35" s="88"/>
      <c r="M35" s="325"/>
      <c r="N35" s="270"/>
      <c r="O35" s="270"/>
      <c r="P35" s="270"/>
      <c r="Q35" s="270"/>
      <c r="R35" s="270"/>
      <c r="S35" s="270"/>
      <c r="T35" s="270"/>
      <c r="U35" s="325"/>
    </row>
    <row r="36" spans="1:21" ht="12.75">
      <c r="A36" s="286"/>
      <c r="B36" s="342"/>
      <c r="C36" s="278"/>
      <c r="D36" s="87" t="s">
        <v>148</v>
      </c>
      <c r="E36" s="88">
        <f>F36+G36+H36+I36+J36+K36+L36</f>
        <v>1842400</v>
      </c>
      <c r="F36" s="88">
        <v>131600</v>
      </c>
      <c r="G36" s="88">
        <f>263200-131600</f>
        <v>131600</v>
      </c>
      <c r="H36" s="88">
        <v>263200</v>
      </c>
      <c r="I36" s="88">
        <v>329000</v>
      </c>
      <c r="J36" s="88">
        <v>329000</v>
      </c>
      <c r="K36" s="88">
        <v>329000</v>
      </c>
      <c r="L36" s="88">
        <v>329000</v>
      </c>
      <c r="M36" s="325"/>
      <c r="N36" s="270"/>
      <c r="O36" s="270"/>
      <c r="P36" s="270"/>
      <c r="Q36" s="270"/>
      <c r="R36" s="270"/>
      <c r="S36" s="270"/>
      <c r="T36" s="270"/>
      <c r="U36" s="325"/>
    </row>
    <row r="37" spans="1:21" ht="12.75">
      <c r="A37" s="286"/>
      <c r="B37" s="342"/>
      <c r="C37" s="278"/>
      <c r="D37" s="87" t="s">
        <v>149</v>
      </c>
      <c r="E37" s="88">
        <f>F37+G37+H37+I37+J37+K37+L37</f>
        <v>0</v>
      </c>
      <c r="F37" s="89"/>
      <c r="G37" s="88"/>
      <c r="H37" s="88"/>
      <c r="I37" s="88"/>
      <c r="J37" s="88"/>
      <c r="K37" s="88"/>
      <c r="L37" s="88"/>
      <c r="M37" s="325"/>
      <c r="N37" s="270"/>
      <c r="O37" s="270"/>
      <c r="P37" s="270"/>
      <c r="Q37" s="270"/>
      <c r="R37" s="270"/>
      <c r="S37" s="270"/>
      <c r="T37" s="270"/>
      <c r="U37" s="325"/>
    </row>
    <row r="38" spans="1:21" ht="12.75">
      <c r="A38" s="286"/>
      <c r="B38" s="343"/>
      <c r="C38" s="279"/>
      <c r="D38" s="87" t="s">
        <v>151</v>
      </c>
      <c r="E38" s="88">
        <f>F38+G38+H38+I38+J38+K38+L38</f>
        <v>0</v>
      </c>
      <c r="F38" s="89"/>
      <c r="G38" s="88"/>
      <c r="H38" s="88"/>
      <c r="I38" s="88"/>
      <c r="J38" s="88"/>
      <c r="K38" s="88"/>
      <c r="L38" s="88"/>
      <c r="M38" s="326"/>
      <c r="N38" s="271"/>
      <c r="O38" s="271"/>
      <c r="P38" s="271"/>
      <c r="Q38" s="271"/>
      <c r="R38" s="271"/>
      <c r="S38" s="271"/>
      <c r="T38" s="271"/>
      <c r="U38" s="326"/>
    </row>
    <row r="39" spans="1:21" ht="12.75" customHeight="1">
      <c r="A39" s="286" t="s">
        <v>210</v>
      </c>
      <c r="B39" s="341" t="s">
        <v>256</v>
      </c>
      <c r="C39" s="277" t="s">
        <v>132</v>
      </c>
      <c r="D39" s="85" t="s">
        <v>152</v>
      </c>
      <c r="E39" s="86">
        <f>E41+E42+E43+E44</f>
        <v>12132200</v>
      </c>
      <c r="F39" s="86">
        <f aca="true" t="shared" si="9" ref="F39:L39">F41+F42+F43+F44</f>
        <v>1876300</v>
      </c>
      <c r="G39" s="86">
        <f t="shared" si="9"/>
        <v>1726200</v>
      </c>
      <c r="H39" s="86">
        <f t="shared" si="9"/>
        <v>1634900</v>
      </c>
      <c r="I39" s="86">
        <f t="shared" si="9"/>
        <v>1723700</v>
      </c>
      <c r="J39" s="86">
        <f t="shared" si="9"/>
        <v>1723700</v>
      </c>
      <c r="K39" s="86">
        <f t="shared" si="9"/>
        <v>1723700</v>
      </c>
      <c r="L39" s="86">
        <f t="shared" si="9"/>
        <v>1723700</v>
      </c>
      <c r="M39" s="324" t="s">
        <v>22</v>
      </c>
      <c r="N39" s="269">
        <v>100</v>
      </c>
      <c r="O39" s="269">
        <v>100</v>
      </c>
      <c r="P39" s="269">
        <v>100</v>
      </c>
      <c r="Q39" s="269">
        <v>100</v>
      </c>
      <c r="R39" s="269">
        <v>100</v>
      </c>
      <c r="S39" s="269">
        <v>100</v>
      </c>
      <c r="T39" s="269">
        <v>100</v>
      </c>
      <c r="U39" s="324" t="s">
        <v>131</v>
      </c>
    </row>
    <row r="40" spans="1:21" ht="12.75">
      <c r="A40" s="286"/>
      <c r="B40" s="342"/>
      <c r="C40" s="278"/>
      <c r="D40" s="283" t="s">
        <v>177</v>
      </c>
      <c r="E40" s="284"/>
      <c r="F40" s="284"/>
      <c r="G40" s="284"/>
      <c r="H40" s="284"/>
      <c r="I40" s="284"/>
      <c r="J40" s="284"/>
      <c r="K40" s="284"/>
      <c r="L40" s="285"/>
      <c r="M40" s="325"/>
      <c r="N40" s="270"/>
      <c r="O40" s="270"/>
      <c r="P40" s="270"/>
      <c r="Q40" s="270"/>
      <c r="R40" s="270"/>
      <c r="S40" s="270"/>
      <c r="T40" s="270"/>
      <c r="U40" s="325"/>
    </row>
    <row r="41" spans="1:21" ht="12.75">
      <c r="A41" s="286"/>
      <c r="B41" s="342"/>
      <c r="C41" s="278"/>
      <c r="D41" s="87" t="s">
        <v>150</v>
      </c>
      <c r="E41" s="88">
        <f>F41+G41+H41+I41+J41+K41+L41</f>
        <v>0</v>
      </c>
      <c r="F41" s="89"/>
      <c r="G41" s="89"/>
      <c r="H41" s="89"/>
      <c r="I41" s="89"/>
      <c r="J41" s="89"/>
      <c r="K41" s="89"/>
      <c r="L41" s="89"/>
      <c r="M41" s="325"/>
      <c r="N41" s="270"/>
      <c r="O41" s="270"/>
      <c r="P41" s="270"/>
      <c r="Q41" s="270"/>
      <c r="R41" s="270"/>
      <c r="S41" s="270"/>
      <c r="T41" s="270"/>
      <c r="U41" s="325"/>
    </row>
    <row r="42" spans="1:21" ht="12.75">
      <c r="A42" s="286"/>
      <c r="B42" s="342"/>
      <c r="C42" s="278"/>
      <c r="D42" s="87" t="s">
        <v>148</v>
      </c>
      <c r="E42" s="88">
        <f>F42+G42+H42+I42+J42+K42+L42</f>
        <v>12132200</v>
      </c>
      <c r="F42" s="89">
        <v>1876300</v>
      </c>
      <c r="G42" s="89">
        <f>1436100+290100</f>
        <v>1726200</v>
      </c>
      <c r="H42" s="89">
        <v>1634900</v>
      </c>
      <c r="I42" s="89">
        <v>1723700</v>
      </c>
      <c r="J42" s="89">
        <v>1723700</v>
      </c>
      <c r="K42" s="89">
        <v>1723700</v>
      </c>
      <c r="L42" s="89">
        <v>1723700</v>
      </c>
      <c r="M42" s="325"/>
      <c r="N42" s="270"/>
      <c r="O42" s="270"/>
      <c r="P42" s="270"/>
      <c r="Q42" s="270"/>
      <c r="R42" s="270"/>
      <c r="S42" s="270"/>
      <c r="T42" s="270"/>
      <c r="U42" s="325"/>
    </row>
    <row r="43" spans="1:21" ht="12.75">
      <c r="A43" s="286"/>
      <c r="B43" s="342"/>
      <c r="C43" s="278"/>
      <c r="D43" s="87" t="s">
        <v>149</v>
      </c>
      <c r="E43" s="88">
        <f>F43+G43+H43+I43+J43+K43+L43</f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325"/>
      <c r="N43" s="270"/>
      <c r="O43" s="270"/>
      <c r="P43" s="270"/>
      <c r="Q43" s="270"/>
      <c r="R43" s="270"/>
      <c r="S43" s="270"/>
      <c r="T43" s="270"/>
      <c r="U43" s="325"/>
    </row>
    <row r="44" spans="1:21" ht="12.75">
      <c r="A44" s="286"/>
      <c r="B44" s="343"/>
      <c r="C44" s="279"/>
      <c r="D44" s="87" t="s">
        <v>151</v>
      </c>
      <c r="E44" s="88">
        <f>F44+G44+H44+I44+J44+K44+L44</f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326"/>
      <c r="N44" s="271"/>
      <c r="O44" s="271"/>
      <c r="P44" s="271"/>
      <c r="Q44" s="271"/>
      <c r="R44" s="271"/>
      <c r="S44" s="271"/>
      <c r="T44" s="271"/>
      <c r="U44" s="326"/>
    </row>
    <row r="45" spans="1:21" ht="12.75" customHeight="1">
      <c r="A45" s="286" t="s">
        <v>232</v>
      </c>
      <c r="B45" s="341" t="s">
        <v>257</v>
      </c>
      <c r="C45" s="277" t="s">
        <v>132</v>
      </c>
      <c r="D45" s="85" t="s">
        <v>152</v>
      </c>
      <c r="E45" s="86">
        <f>E47+E48+E49+E50</f>
        <v>1046900</v>
      </c>
      <c r="F45" s="86">
        <f aca="true" t="shared" si="10" ref="F45:L45">F47+F48+F49+F50</f>
        <v>418700</v>
      </c>
      <c r="G45" s="86">
        <f t="shared" si="10"/>
        <v>209400</v>
      </c>
      <c r="H45" s="86">
        <f t="shared" si="10"/>
        <v>0</v>
      </c>
      <c r="I45" s="86">
        <f t="shared" si="10"/>
        <v>104700</v>
      </c>
      <c r="J45" s="86">
        <f t="shared" si="10"/>
        <v>104700</v>
      </c>
      <c r="K45" s="86">
        <f t="shared" si="10"/>
        <v>104700</v>
      </c>
      <c r="L45" s="86">
        <f t="shared" si="10"/>
        <v>104700</v>
      </c>
      <c r="M45" s="324" t="s">
        <v>75</v>
      </c>
      <c r="N45" s="269">
        <v>100</v>
      </c>
      <c r="O45" s="269">
        <v>100</v>
      </c>
      <c r="P45" s="269">
        <v>100</v>
      </c>
      <c r="Q45" s="269">
        <v>100</v>
      </c>
      <c r="R45" s="269">
        <v>100</v>
      </c>
      <c r="S45" s="269">
        <v>100</v>
      </c>
      <c r="T45" s="269">
        <v>100</v>
      </c>
      <c r="U45" s="324" t="s">
        <v>131</v>
      </c>
    </row>
    <row r="46" spans="1:21" ht="12.75">
      <c r="A46" s="286"/>
      <c r="B46" s="342"/>
      <c r="C46" s="278"/>
      <c r="D46" s="283" t="s">
        <v>177</v>
      </c>
      <c r="E46" s="284"/>
      <c r="F46" s="284"/>
      <c r="G46" s="284"/>
      <c r="H46" s="284"/>
      <c r="I46" s="284"/>
      <c r="J46" s="284"/>
      <c r="K46" s="284"/>
      <c r="L46" s="285"/>
      <c r="M46" s="325"/>
      <c r="N46" s="270"/>
      <c r="O46" s="270"/>
      <c r="P46" s="270"/>
      <c r="Q46" s="270"/>
      <c r="R46" s="270"/>
      <c r="S46" s="270"/>
      <c r="T46" s="270"/>
      <c r="U46" s="325"/>
    </row>
    <row r="47" spans="1:21" ht="12.75">
      <c r="A47" s="286"/>
      <c r="B47" s="342"/>
      <c r="C47" s="278"/>
      <c r="D47" s="87" t="s">
        <v>150</v>
      </c>
      <c r="E47" s="88">
        <f>F47+G47+H47+I47+J47+K47+L47</f>
        <v>0</v>
      </c>
      <c r="F47" s="89"/>
      <c r="G47" s="89"/>
      <c r="H47" s="89"/>
      <c r="I47" s="89"/>
      <c r="J47" s="89"/>
      <c r="K47" s="89"/>
      <c r="L47" s="89"/>
      <c r="M47" s="325"/>
      <c r="N47" s="270"/>
      <c r="O47" s="270"/>
      <c r="P47" s="270"/>
      <c r="Q47" s="270"/>
      <c r="R47" s="270"/>
      <c r="S47" s="270"/>
      <c r="T47" s="270"/>
      <c r="U47" s="325"/>
    </row>
    <row r="48" spans="1:21" ht="12.75">
      <c r="A48" s="286"/>
      <c r="B48" s="342"/>
      <c r="C48" s="278"/>
      <c r="D48" s="87" t="s">
        <v>148</v>
      </c>
      <c r="E48" s="88">
        <f>F48+G48+H48+I48+J48+K48+L48</f>
        <v>1046900</v>
      </c>
      <c r="F48" s="89">
        <v>418700</v>
      </c>
      <c r="G48" s="89">
        <v>209400</v>
      </c>
      <c r="H48" s="89">
        <v>0</v>
      </c>
      <c r="I48" s="89">
        <v>104700</v>
      </c>
      <c r="J48" s="89">
        <v>104700</v>
      </c>
      <c r="K48" s="89">
        <v>104700</v>
      </c>
      <c r="L48" s="89">
        <v>104700</v>
      </c>
      <c r="M48" s="325"/>
      <c r="N48" s="270"/>
      <c r="O48" s="270"/>
      <c r="P48" s="270"/>
      <c r="Q48" s="270"/>
      <c r="R48" s="270"/>
      <c r="S48" s="270"/>
      <c r="T48" s="270"/>
      <c r="U48" s="325"/>
    </row>
    <row r="49" spans="1:21" ht="12.75">
      <c r="A49" s="286"/>
      <c r="B49" s="342"/>
      <c r="C49" s="278"/>
      <c r="D49" s="87" t="s">
        <v>149</v>
      </c>
      <c r="E49" s="88">
        <f>F49+G49+H49+I49+J49+K49+L49</f>
        <v>0</v>
      </c>
      <c r="F49" s="89"/>
      <c r="G49" s="89"/>
      <c r="H49" s="89"/>
      <c r="I49" s="89"/>
      <c r="J49" s="89"/>
      <c r="K49" s="89"/>
      <c r="L49" s="89"/>
      <c r="M49" s="325"/>
      <c r="N49" s="270"/>
      <c r="O49" s="270"/>
      <c r="P49" s="270"/>
      <c r="Q49" s="270"/>
      <c r="R49" s="270"/>
      <c r="S49" s="270"/>
      <c r="T49" s="270"/>
      <c r="U49" s="325"/>
    </row>
    <row r="50" spans="1:21" ht="12.75">
      <c r="A50" s="286"/>
      <c r="B50" s="343"/>
      <c r="C50" s="279"/>
      <c r="D50" s="87" t="s">
        <v>151</v>
      </c>
      <c r="E50" s="88">
        <f>F50+G50+H50+I50+J50+K50+L50</f>
        <v>0</v>
      </c>
      <c r="F50" s="89"/>
      <c r="G50" s="89"/>
      <c r="H50" s="89"/>
      <c r="I50" s="89"/>
      <c r="J50" s="89"/>
      <c r="K50" s="89"/>
      <c r="L50" s="89"/>
      <c r="M50" s="326"/>
      <c r="N50" s="271"/>
      <c r="O50" s="271"/>
      <c r="P50" s="271"/>
      <c r="Q50" s="271"/>
      <c r="R50" s="271"/>
      <c r="S50" s="271"/>
      <c r="T50" s="271"/>
      <c r="U50" s="326"/>
    </row>
    <row r="51" spans="1:21" ht="12.75" customHeight="1">
      <c r="A51" s="286" t="s">
        <v>233</v>
      </c>
      <c r="B51" s="341" t="s">
        <v>258</v>
      </c>
      <c r="C51" s="277" t="s">
        <v>132</v>
      </c>
      <c r="D51" s="85" t="s">
        <v>152</v>
      </c>
      <c r="E51" s="86">
        <f>E53+E54+E55+E56</f>
        <v>3382200</v>
      </c>
      <c r="F51" s="86">
        <f aca="true" t="shared" si="11" ref="F51:L51">F53+F54+F55+F56</f>
        <v>409000</v>
      </c>
      <c r="G51" s="86">
        <f>G53+G54+G55+G56</f>
        <v>439200</v>
      </c>
      <c r="H51" s="86">
        <f t="shared" si="11"/>
        <v>506800</v>
      </c>
      <c r="I51" s="86">
        <f t="shared" si="11"/>
        <v>506800</v>
      </c>
      <c r="J51" s="86">
        <f t="shared" si="11"/>
        <v>506800</v>
      </c>
      <c r="K51" s="86">
        <f t="shared" si="11"/>
        <v>506800</v>
      </c>
      <c r="L51" s="86">
        <f t="shared" si="11"/>
        <v>506800</v>
      </c>
      <c r="M51" s="324" t="s">
        <v>23</v>
      </c>
      <c r="N51" s="269">
        <v>100</v>
      </c>
      <c r="O51" s="269">
        <v>100</v>
      </c>
      <c r="P51" s="269">
        <v>100</v>
      </c>
      <c r="Q51" s="269">
        <v>100</v>
      </c>
      <c r="R51" s="269">
        <v>100</v>
      </c>
      <c r="S51" s="269">
        <v>100</v>
      </c>
      <c r="T51" s="269">
        <v>100</v>
      </c>
      <c r="U51" s="324" t="s">
        <v>131</v>
      </c>
    </row>
    <row r="52" spans="1:21" ht="12.75">
      <c r="A52" s="286"/>
      <c r="B52" s="342"/>
      <c r="C52" s="278"/>
      <c r="D52" s="283" t="s">
        <v>177</v>
      </c>
      <c r="E52" s="284"/>
      <c r="F52" s="284"/>
      <c r="G52" s="284"/>
      <c r="H52" s="284"/>
      <c r="I52" s="284"/>
      <c r="J52" s="284"/>
      <c r="K52" s="284"/>
      <c r="L52" s="285"/>
      <c r="M52" s="325"/>
      <c r="N52" s="270"/>
      <c r="O52" s="270"/>
      <c r="P52" s="270"/>
      <c r="Q52" s="270"/>
      <c r="R52" s="270"/>
      <c r="S52" s="270"/>
      <c r="T52" s="270"/>
      <c r="U52" s="325"/>
    </row>
    <row r="53" spans="1:21" ht="12.75">
      <c r="A53" s="286"/>
      <c r="B53" s="342"/>
      <c r="C53" s="278"/>
      <c r="D53" s="87" t="s">
        <v>150</v>
      </c>
      <c r="E53" s="88">
        <f>F53+G53+H53+I53+J53+K53+L53</f>
        <v>0</v>
      </c>
      <c r="F53" s="89"/>
      <c r="G53" s="89"/>
      <c r="H53" s="89"/>
      <c r="I53" s="89"/>
      <c r="J53" s="89"/>
      <c r="K53" s="89"/>
      <c r="L53" s="89"/>
      <c r="M53" s="325"/>
      <c r="N53" s="270"/>
      <c r="O53" s="270"/>
      <c r="P53" s="270"/>
      <c r="Q53" s="270"/>
      <c r="R53" s="270"/>
      <c r="S53" s="270"/>
      <c r="T53" s="270"/>
      <c r="U53" s="325"/>
    </row>
    <row r="54" spans="1:21" ht="12.75">
      <c r="A54" s="286"/>
      <c r="B54" s="342"/>
      <c r="C54" s="278"/>
      <c r="D54" s="87" t="s">
        <v>148</v>
      </c>
      <c r="E54" s="88">
        <f>F54+G54+H54+I54+J54+K54+L54</f>
        <v>3382200</v>
      </c>
      <c r="F54" s="89">
        <v>409000</v>
      </c>
      <c r="G54" s="89">
        <f>506800-67600</f>
        <v>439200</v>
      </c>
      <c r="H54" s="89">
        <v>506800</v>
      </c>
      <c r="I54" s="89">
        <v>506800</v>
      </c>
      <c r="J54" s="89">
        <v>506800</v>
      </c>
      <c r="K54" s="89">
        <v>506800</v>
      </c>
      <c r="L54" s="89">
        <v>506800</v>
      </c>
      <c r="M54" s="325"/>
      <c r="N54" s="270"/>
      <c r="O54" s="270"/>
      <c r="P54" s="270"/>
      <c r="Q54" s="270"/>
      <c r="R54" s="270"/>
      <c r="S54" s="270"/>
      <c r="T54" s="270"/>
      <c r="U54" s="325"/>
    </row>
    <row r="55" spans="1:21" ht="12.75">
      <c r="A55" s="286"/>
      <c r="B55" s="342"/>
      <c r="C55" s="278"/>
      <c r="D55" s="87" t="s">
        <v>149</v>
      </c>
      <c r="E55" s="88">
        <f>F55+G55+H55+I55+J55+K55+L55</f>
        <v>0</v>
      </c>
      <c r="F55" s="89"/>
      <c r="G55" s="89"/>
      <c r="H55" s="89"/>
      <c r="I55" s="89"/>
      <c r="J55" s="89"/>
      <c r="K55" s="89"/>
      <c r="L55" s="89"/>
      <c r="M55" s="325"/>
      <c r="N55" s="270"/>
      <c r="O55" s="270"/>
      <c r="P55" s="270"/>
      <c r="Q55" s="270"/>
      <c r="R55" s="270"/>
      <c r="S55" s="270"/>
      <c r="T55" s="270"/>
      <c r="U55" s="325"/>
    </row>
    <row r="56" spans="1:21" ht="12.75">
      <c r="A56" s="286"/>
      <c r="B56" s="343"/>
      <c r="C56" s="279"/>
      <c r="D56" s="87" t="s">
        <v>151</v>
      </c>
      <c r="E56" s="88">
        <f>F56+G56+H56+I56+J56+K56+L56</f>
        <v>0</v>
      </c>
      <c r="F56" s="89"/>
      <c r="G56" s="89"/>
      <c r="H56" s="89"/>
      <c r="I56" s="89"/>
      <c r="J56" s="89"/>
      <c r="K56" s="89"/>
      <c r="L56" s="89"/>
      <c r="M56" s="326"/>
      <c r="N56" s="271"/>
      <c r="O56" s="271"/>
      <c r="P56" s="271"/>
      <c r="Q56" s="271"/>
      <c r="R56" s="271"/>
      <c r="S56" s="271"/>
      <c r="T56" s="271"/>
      <c r="U56" s="326"/>
    </row>
    <row r="57" spans="1:21" ht="12.75" customHeight="1">
      <c r="A57" s="286" t="s">
        <v>234</v>
      </c>
      <c r="B57" s="341" t="s">
        <v>259</v>
      </c>
      <c r="C57" s="277" t="s">
        <v>132</v>
      </c>
      <c r="D57" s="85" t="s">
        <v>152</v>
      </c>
      <c r="E57" s="86">
        <f>E59+E60+E61+E62</f>
        <v>183971200</v>
      </c>
      <c r="F57" s="86">
        <f aca="true" t="shared" si="12" ref="F57:L57">F59+F60+F61+F62</f>
        <v>23667600</v>
      </c>
      <c r="G57" s="86">
        <f t="shared" si="12"/>
        <v>25346100</v>
      </c>
      <c r="H57" s="86">
        <f t="shared" si="12"/>
        <v>26991500</v>
      </c>
      <c r="I57" s="86">
        <f t="shared" si="12"/>
        <v>26991500</v>
      </c>
      <c r="J57" s="86">
        <f t="shared" si="12"/>
        <v>26991500</v>
      </c>
      <c r="K57" s="86">
        <f t="shared" si="12"/>
        <v>26991500</v>
      </c>
      <c r="L57" s="86">
        <f t="shared" si="12"/>
        <v>26991500</v>
      </c>
      <c r="M57" s="324" t="s">
        <v>21</v>
      </c>
      <c r="N57" s="269">
        <v>100</v>
      </c>
      <c r="O57" s="269">
        <v>100</v>
      </c>
      <c r="P57" s="269">
        <v>100</v>
      </c>
      <c r="Q57" s="269">
        <v>100</v>
      </c>
      <c r="R57" s="269">
        <v>100</v>
      </c>
      <c r="S57" s="269">
        <v>100</v>
      </c>
      <c r="T57" s="269">
        <v>100</v>
      </c>
      <c r="U57" s="324" t="s">
        <v>131</v>
      </c>
    </row>
    <row r="58" spans="1:21" ht="12.75">
      <c r="A58" s="286"/>
      <c r="B58" s="342"/>
      <c r="C58" s="278"/>
      <c r="D58" s="283" t="s">
        <v>177</v>
      </c>
      <c r="E58" s="284"/>
      <c r="F58" s="284"/>
      <c r="G58" s="284"/>
      <c r="H58" s="284"/>
      <c r="I58" s="284"/>
      <c r="J58" s="284"/>
      <c r="K58" s="284"/>
      <c r="L58" s="285"/>
      <c r="M58" s="325"/>
      <c r="N58" s="270"/>
      <c r="O58" s="270"/>
      <c r="P58" s="270"/>
      <c r="Q58" s="270"/>
      <c r="R58" s="270"/>
      <c r="S58" s="270"/>
      <c r="T58" s="270"/>
      <c r="U58" s="325"/>
    </row>
    <row r="59" spans="1:21" ht="12.75">
      <c r="A59" s="286"/>
      <c r="B59" s="342"/>
      <c r="C59" s="278"/>
      <c r="D59" s="87" t="s">
        <v>150</v>
      </c>
      <c r="E59" s="88">
        <f>F59+G59+H59+I59+J59+K59+L59</f>
        <v>0</v>
      </c>
      <c r="F59" s="89"/>
      <c r="G59" s="89"/>
      <c r="H59" s="89"/>
      <c r="I59" s="89"/>
      <c r="J59" s="89"/>
      <c r="K59" s="89"/>
      <c r="L59" s="89"/>
      <c r="M59" s="325"/>
      <c r="N59" s="270"/>
      <c r="O59" s="270"/>
      <c r="P59" s="270"/>
      <c r="Q59" s="270"/>
      <c r="R59" s="270"/>
      <c r="S59" s="270"/>
      <c r="T59" s="270"/>
      <c r="U59" s="325"/>
    </row>
    <row r="60" spans="1:21" ht="12.75">
      <c r="A60" s="286"/>
      <c r="B60" s="342"/>
      <c r="C60" s="278"/>
      <c r="D60" s="87" t="s">
        <v>148</v>
      </c>
      <c r="E60" s="88">
        <f>F60+G60+H60+I60+J60+K60+L60</f>
        <v>183971200</v>
      </c>
      <c r="F60" s="89">
        <v>23667600</v>
      </c>
      <c r="G60" s="89">
        <f>24409300+936800</f>
        <v>25346100</v>
      </c>
      <c r="H60" s="89">
        <v>26991500</v>
      </c>
      <c r="I60" s="89">
        <v>26991500</v>
      </c>
      <c r="J60" s="89">
        <v>26991500</v>
      </c>
      <c r="K60" s="89">
        <v>26991500</v>
      </c>
      <c r="L60" s="89">
        <v>26991500</v>
      </c>
      <c r="M60" s="325"/>
      <c r="N60" s="270"/>
      <c r="O60" s="270"/>
      <c r="P60" s="270"/>
      <c r="Q60" s="270"/>
      <c r="R60" s="270"/>
      <c r="S60" s="270"/>
      <c r="T60" s="270"/>
      <c r="U60" s="325"/>
    </row>
    <row r="61" spans="1:21" ht="12.75">
      <c r="A61" s="286"/>
      <c r="B61" s="342"/>
      <c r="C61" s="278"/>
      <c r="D61" s="87" t="s">
        <v>149</v>
      </c>
      <c r="E61" s="88">
        <f>F61+G61+H61+I61+J61+K61+L61</f>
        <v>0</v>
      </c>
      <c r="F61" s="89"/>
      <c r="G61" s="89"/>
      <c r="H61" s="89"/>
      <c r="I61" s="89"/>
      <c r="J61" s="89"/>
      <c r="K61" s="89"/>
      <c r="L61" s="89"/>
      <c r="M61" s="325"/>
      <c r="N61" s="270"/>
      <c r="O61" s="270"/>
      <c r="P61" s="270"/>
      <c r="Q61" s="270"/>
      <c r="R61" s="270"/>
      <c r="S61" s="270"/>
      <c r="T61" s="270"/>
      <c r="U61" s="325"/>
    </row>
    <row r="62" spans="1:21" ht="12.75">
      <c r="A62" s="286"/>
      <c r="B62" s="343"/>
      <c r="C62" s="279"/>
      <c r="D62" s="87" t="s">
        <v>151</v>
      </c>
      <c r="E62" s="88">
        <f>F62+G62+H62+I62+J62+K62+L62</f>
        <v>0</v>
      </c>
      <c r="F62" s="89"/>
      <c r="G62" s="89"/>
      <c r="H62" s="89"/>
      <c r="I62" s="89"/>
      <c r="J62" s="89"/>
      <c r="K62" s="89"/>
      <c r="L62" s="89"/>
      <c r="M62" s="326"/>
      <c r="N62" s="271"/>
      <c r="O62" s="271"/>
      <c r="P62" s="271"/>
      <c r="Q62" s="271"/>
      <c r="R62" s="271"/>
      <c r="S62" s="271"/>
      <c r="T62" s="271"/>
      <c r="U62" s="326"/>
    </row>
    <row r="63" spans="1:21" ht="13.5">
      <c r="A63" s="297"/>
      <c r="B63" s="330" t="s">
        <v>235</v>
      </c>
      <c r="C63" s="297"/>
      <c r="D63" s="90" t="s">
        <v>152</v>
      </c>
      <c r="E63" s="91">
        <f aca="true" t="shared" si="13" ref="E63:L63">E65+E66+E67+E68</f>
        <v>233069900</v>
      </c>
      <c r="F63" s="91">
        <f t="shared" si="13"/>
        <v>30768200</v>
      </c>
      <c r="G63" s="91">
        <f t="shared" si="13"/>
        <v>32257500</v>
      </c>
      <c r="H63" s="91">
        <f t="shared" si="13"/>
        <v>33801400</v>
      </c>
      <c r="I63" s="91">
        <f t="shared" si="13"/>
        <v>34060700</v>
      </c>
      <c r="J63" s="91">
        <f t="shared" si="13"/>
        <v>34060700</v>
      </c>
      <c r="K63" s="91">
        <f t="shared" si="13"/>
        <v>34060700</v>
      </c>
      <c r="L63" s="91">
        <f t="shared" si="13"/>
        <v>34060700</v>
      </c>
      <c r="M63" s="309"/>
      <c r="N63" s="303"/>
      <c r="O63" s="303"/>
      <c r="P63" s="303"/>
      <c r="Q63" s="303"/>
      <c r="R63" s="303"/>
      <c r="S63" s="303"/>
      <c r="T63" s="303"/>
      <c r="U63" s="306"/>
    </row>
    <row r="64" spans="1:21" ht="12.75">
      <c r="A64" s="297"/>
      <c r="B64" s="331"/>
      <c r="C64" s="297"/>
      <c r="D64" s="312" t="s">
        <v>177</v>
      </c>
      <c r="E64" s="313"/>
      <c r="F64" s="313"/>
      <c r="G64" s="313"/>
      <c r="H64" s="313"/>
      <c r="I64" s="313"/>
      <c r="J64" s="313"/>
      <c r="K64" s="313"/>
      <c r="L64" s="314"/>
      <c r="M64" s="310"/>
      <c r="N64" s="304"/>
      <c r="O64" s="304"/>
      <c r="P64" s="304"/>
      <c r="Q64" s="304"/>
      <c r="R64" s="304"/>
      <c r="S64" s="304"/>
      <c r="T64" s="304"/>
      <c r="U64" s="307"/>
    </row>
    <row r="65" spans="1:21" ht="13.5">
      <c r="A65" s="297"/>
      <c r="B65" s="331"/>
      <c r="C65" s="297"/>
      <c r="D65" s="92" t="s">
        <v>150</v>
      </c>
      <c r="E65" s="91">
        <f>F65+G65+H65+I65+J65+K65+L65</f>
        <v>0</v>
      </c>
      <c r="F65" s="93">
        <f>F29+F35+F41+F47+F53+F59</f>
        <v>0</v>
      </c>
      <c r="G65" s="93">
        <f aca="true" t="shared" si="14" ref="G65:L65">G29+G35+G41+G47+G53+G59</f>
        <v>0</v>
      </c>
      <c r="H65" s="93">
        <f t="shared" si="14"/>
        <v>0</v>
      </c>
      <c r="I65" s="93">
        <f t="shared" si="14"/>
        <v>0</v>
      </c>
      <c r="J65" s="93">
        <f t="shared" si="14"/>
        <v>0</v>
      </c>
      <c r="K65" s="93">
        <f t="shared" si="14"/>
        <v>0</v>
      </c>
      <c r="L65" s="93">
        <f t="shared" si="14"/>
        <v>0</v>
      </c>
      <c r="M65" s="310"/>
      <c r="N65" s="304"/>
      <c r="O65" s="304"/>
      <c r="P65" s="304"/>
      <c r="Q65" s="304"/>
      <c r="R65" s="304"/>
      <c r="S65" s="304"/>
      <c r="T65" s="304"/>
      <c r="U65" s="307"/>
    </row>
    <row r="66" spans="1:21" ht="13.5">
      <c r="A66" s="297"/>
      <c r="B66" s="331"/>
      <c r="C66" s="297"/>
      <c r="D66" s="92" t="s">
        <v>148</v>
      </c>
      <c r="E66" s="91">
        <f>F66+G66+H66+I66+J66+K66+L66</f>
        <v>233069900</v>
      </c>
      <c r="F66" s="93">
        <f aca="true" t="shared" si="15" ref="F66:L68">F30+F36+F42+F48+F54+F60</f>
        <v>30768200</v>
      </c>
      <c r="G66" s="93">
        <f t="shared" si="15"/>
        <v>32257500</v>
      </c>
      <c r="H66" s="93">
        <f t="shared" si="15"/>
        <v>33801400</v>
      </c>
      <c r="I66" s="93">
        <f t="shared" si="15"/>
        <v>34060700</v>
      </c>
      <c r="J66" s="93">
        <f t="shared" si="15"/>
        <v>34060700</v>
      </c>
      <c r="K66" s="93">
        <f t="shared" si="15"/>
        <v>34060700</v>
      </c>
      <c r="L66" s="93">
        <f t="shared" si="15"/>
        <v>34060700</v>
      </c>
      <c r="M66" s="310"/>
      <c r="N66" s="304"/>
      <c r="O66" s="304"/>
      <c r="P66" s="304"/>
      <c r="Q66" s="304"/>
      <c r="R66" s="304"/>
      <c r="S66" s="304"/>
      <c r="T66" s="304"/>
      <c r="U66" s="307"/>
    </row>
    <row r="67" spans="1:21" ht="13.5">
      <c r="A67" s="297"/>
      <c r="B67" s="331"/>
      <c r="C67" s="297"/>
      <c r="D67" s="92" t="s">
        <v>149</v>
      </c>
      <c r="E67" s="91">
        <f>F67+G67+H67+I67+J67+K67+L67</f>
        <v>0</v>
      </c>
      <c r="F67" s="93">
        <f t="shared" si="15"/>
        <v>0</v>
      </c>
      <c r="G67" s="93">
        <f t="shared" si="15"/>
        <v>0</v>
      </c>
      <c r="H67" s="93">
        <f t="shared" si="15"/>
        <v>0</v>
      </c>
      <c r="I67" s="93">
        <f t="shared" si="15"/>
        <v>0</v>
      </c>
      <c r="J67" s="93">
        <f t="shared" si="15"/>
        <v>0</v>
      </c>
      <c r="K67" s="93">
        <f t="shared" si="15"/>
        <v>0</v>
      </c>
      <c r="L67" s="93">
        <f t="shared" si="15"/>
        <v>0</v>
      </c>
      <c r="M67" s="310"/>
      <c r="N67" s="304"/>
      <c r="O67" s="304"/>
      <c r="P67" s="304"/>
      <c r="Q67" s="304"/>
      <c r="R67" s="304"/>
      <c r="S67" s="304"/>
      <c r="T67" s="304"/>
      <c r="U67" s="307"/>
    </row>
    <row r="68" spans="1:21" ht="13.5">
      <c r="A68" s="297"/>
      <c r="B68" s="332"/>
      <c r="C68" s="297"/>
      <c r="D68" s="92" t="s">
        <v>151</v>
      </c>
      <c r="E68" s="91">
        <f>F68+G68+H68+I68+J68+K68+L68</f>
        <v>0</v>
      </c>
      <c r="F68" s="93">
        <f t="shared" si="15"/>
        <v>0</v>
      </c>
      <c r="G68" s="93">
        <f t="shared" si="15"/>
        <v>0</v>
      </c>
      <c r="H68" s="93">
        <f t="shared" si="15"/>
        <v>0</v>
      </c>
      <c r="I68" s="93">
        <f t="shared" si="15"/>
        <v>0</v>
      </c>
      <c r="J68" s="93">
        <f t="shared" si="15"/>
        <v>0</v>
      </c>
      <c r="K68" s="93">
        <f t="shared" si="15"/>
        <v>0</v>
      </c>
      <c r="L68" s="93">
        <f t="shared" si="15"/>
        <v>0</v>
      </c>
      <c r="M68" s="311"/>
      <c r="N68" s="305"/>
      <c r="O68" s="305"/>
      <c r="P68" s="305"/>
      <c r="Q68" s="305"/>
      <c r="R68" s="305"/>
      <c r="S68" s="305"/>
      <c r="T68" s="305"/>
      <c r="U68" s="308"/>
    </row>
    <row r="69" spans="1:21" ht="12.75">
      <c r="A69" s="84">
        <v>3</v>
      </c>
      <c r="B69" s="288" t="s">
        <v>73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90"/>
    </row>
    <row r="70" spans="1:21" ht="12.75" customHeight="1">
      <c r="A70" s="358" t="s">
        <v>316</v>
      </c>
      <c r="B70" s="341" t="s">
        <v>260</v>
      </c>
      <c r="C70" s="277" t="s">
        <v>132</v>
      </c>
      <c r="D70" s="85" t="s">
        <v>152</v>
      </c>
      <c r="E70" s="86">
        <f>E72+E73+E74+E75</f>
        <v>7225747.74</v>
      </c>
      <c r="F70" s="86">
        <f aca="true" t="shared" si="16" ref="F70:L70">F72+F73+F74+F75</f>
        <v>952526</v>
      </c>
      <c r="G70" s="86">
        <f t="shared" si="16"/>
        <v>1001606.84</v>
      </c>
      <c r="H70" s="86">
        <f t="shared" si="16"/>
        <v>1054322.98</v>
      </c>
      <c r="I70" s="86">
        <f t="shared" si="16"/>
        <v>1054322.98</v>
      </c>
      <c r="J70" s="86">
        <f t="shared" si="16"/>
        <v>1054322.98</v>
      </c>
      <c r="K70" s="86">
        <f t="shared" si="16"/>
        <v>1054322.98</v>
      </c>
      <c r="L70" s="86">
        <f t="shared" si="16"/>
        <v>1054322.98</v>
      </c>
      <c r="M70" s="324" t="s">
        <v>26</v>
      </c>
      <c r="N70" s="272">
        <v>1</v>
      </c>
      <c r="O70" s="272">
        <v>1</v>
      </c>
      <c r="P70" s="272">
        <v>1</v>
      </c>
      <c r="Q70" s="272">
        <v>1</v>
      </c>
      <c r="R70" s="272">
        <v>1</v>
      </c>
      <c r="S70" s="272">
        <v>1</v>
      </c>
      <c r="T70" s="272">
        <v>1</v>
      </c>
      <c r="U70" s="266" t="s">
        <v>100</v>
      </c>
    </row>
    <row r="71" spans="1:21" ht="12.75">
      <c r="A71" s="358"/>
      <c r="B71" s="342"/>
      <c r="C71" s="278"/>
      <c r="D71" s="283" t="s">
        <v>177</v>
      </c>
      <c r="E71" s="284"/>
      <c r="F71" s="284"/>
      <c r="G71" s="284"/>
      <c r="H71" s="284"/>
      <c r="I71" s="284"/>
      <c r="J71" s="284"/>
      <c r="K71" s="284"/>
      <c r="L71" s="285"/>
      <c r="M71" s="325"/>
      <c r="N71" s="273"/>
      <c r="O71" s="273"/>
      <c r="P71" s="273"/>
      <c r="Q71" s="273"/>
      <c r="R71" s="273"/>
      <c r="S71" s="273"/>
      <c r="T71" s="273"/>
      <c r="U71" s="267"/>
    </row>
    <row r="72" spans="1:21" ht="12.75">
      <c r="A72" s="358"/>
      <c r="B72" s="342"/>
      <c r="C72" s="278"/>
      <c r="D72" s="87" t="s">
        <v>150</v>
      </c>
      <c r="E72" s="88">
        <f>F72+G72+H72+I72+J72+K72+L72</f>
        <v>7225747.74</v>
      </c>
      <c r="F72" s="89">
        <v>952526</v>
      </c>
      <c r="G72" s="89">
        <f>1054322.98-52716.14</f>
        <v>1001606.84</v>
      </c>
      <c r="H72" s="89">
        <v>1054322.98</v>
      </c>
      <c r="I72" s="89">
        <v>1054322.98</v>
      </c>
      <c r="J72" s="89">
        <v>1054322.98</v>
      </c>
      <c r="K72" s="89">
        <v>1054322.98</v>
      </c>
      <c r="L72" s="89">
        <v>1054322.98</v>
      </c>
      <c r="M72" s="325"/>
      <c r="N72" s="273"/>
      <c r="O72" s="273"/>
      <c r="P72" s="273"/>
      <c r="Q72" s="273"/>
      <c r="R72" s="273"/>
      <c r="S72" s="273"/>
      <c r="T72" s="273"/>
      <c r="U72" s="267"/>
    </row>
    <row r="73" spans="1:21" ht="12.75">
      <c r="A73" s="358"/>
      <c r="B73" s="342"/>
      <c r="C73" s="278"/>
      <c r="D73" s="87" t="s">
        <v>148</v>
      </c>
      <c r="E73" s="88">
        <f>F73+G73+H73+I73+J73+K73+L73</f>
        <v>0</v>
      </c>
      <c r="F73" s="89"/>
      <c r="G73" s="89"/>
      <c r="H73" s="89"/>
      <c r="I73" s="89"/>
      <c r="J73" s="89"/>
      <c r="K73" s="89"/>
      <c r="L73" s="89"/>
      <c r="M73" s="325"/>
      <c r="N73" s="273"/>
      <c r="O73" s="273"/>
      <c r="P73" s="273"/>
      <c r="Q73" s="273"/>
      <c r="R73" s="273"/>
      <c r="S73" s="273"/>
      <c r="T73" s="273"/>
      <c r="U73" s="267"/>
    </row>
    <row r="74" spans="1:21" ht="12.75">
      <c r="A74" s="358"/>
      <c r="B74" s="342"/>
      <c r="C74" s="278"/>
      <c r="D74" s="87" t="s">
        <v>149</v>
      </c>
      <c r="E74" s="88">
        <f>F74+G74+H74+I74+J74+K74+L74</f>
        <v>0</v>
      </c>
      <c r="F74" s="89"/>
      <c r="G74" s="89"/>
      <c r="H74" s="89"/>
      <c r="I74" s="89"/>
      <c r="J74" s="89"/>
      <c r="K74" s="89"/>
      <c r="L74" s="89"/>
      <c r="M74" s="325"/>
      <c r="N74" s="273"/>
      <c r="O74" s="273"/>
      <c r="P74" s="273"/>
      <c r="Q74" s="273"/>
      <c r="R74" s="273"/>
      <c r="S74" s="273"/>
      <c r="T74" s="273"/>
      <c r="U74" s="267"/>
    </row>
    <row r="75" spans="1:21" ht="12.75">
      <c r="A75" s="358"/>
      <c r="B75" s="343"/>
      <c r="C75" s="279"/>
      <c r="D75" s="87" t="s">
        <v>151</v>
      </c>
      <c r="E75" s="88">
        <f>F75+G75+H75+I75+J75+K75+L75</f>
        <v>0</v>
      </c>
      <c r="F75" s="89"/>
      <c r="G75" s="89"/>
      <c r="H75" s="89"/>
      <c r="I75" s="89"/>
      <c r="J75" s="89"/>
      <c r="K75" s="89"/>
      <c r="L75" s="89"/>
      <c r="M75" s="326"/>
      <c r="N75" s="276"/>
      <c r="O75" s="276"/>
      <c r="P75" s="276"/>
      <c r="Q75" s="276"/>
      <c r="R75" s="276"/>
      <c r="S75" s="276"/>
      <c r="T75" s="276"/>
      <c r="U75" s="268"/>
    </row>
    <row r="76" spans="1:21" ht="13.5">
      <c r="A76" s="297"/>
      <c r="B76" s="330" t="s">
        <v>263</v>
      </c>
      <c r="C76" s="297"/>
      <c r="D76" s="90" t="s">
        <v>152</v>
      </c>
      <c r="E76" s="91">
        <f aca="true" t="shared" si="17" ref="E76:L76">E78+E79+E80+E81</f>
        <v>7225747.74</v>
      </c>
      <c r="F76" s="91">
        <f t="shared" si="17"/>
        <v>952526</v>
      </c>
      <c r="G76" s="91">
        <f t="shared" si="17"/>
        <v>1001606.84</v>
      </c>
      <c r="H76" s="91">
        <f t="shared" si="17"/>
        <v>1054322.98</v>
      </c>
      <c r="I76" s="91">
        <f t="shared" si="17"/>
        <v>1054322.98</v>
      </c>
      <c r="J76" s="91">
        <f t="shared" si="17"/>
        <v>1054322.98</v>
      </c>
      <c r="K76" s="91">
        <f t="shared" si="17"/>
        <v>1054322.98</v>
      </c>
      <c r="L76" s="91">
        <f t="shared" si="17"/>
        <v>1054322.98</v>
      </c>
      <c r="M76" s="309"/>
      <c r="N76" s="303"/>
      <c r="O76" s="303"/>
      <c r="P76" s="303"/>
      <c r="Q76" s="303"/>
      <c r="R76" s="303"/>
      <c r="S76" s="303"/>
      <c r="T76" s="303"/>
      <c r="U76" s="306"/>
    </row>
    <row r="77" spans="1:21" ht="12.75">
      <c r="A77" s="297"/>
      <c r="B77" s="331"/>
      <c r="C77" s="297"/>
      <c r="D77" s="312" t="s">
        <v>177</v>
      </c>
      <c r="E77" s="313"/>
      <c r="F77" s="313"/>
      <c r="G77" s="313"/>
      <c r="H77" s="313"/>
      <c r="I77" s="313"/>
      <c r="J77" s="313"/>
      <c r="K77" s="313"/>
      <c r="L77" s="314"/>
      <c r="M77" s="310"/>
      <c r="N77" s="304"/>
      <c r="O77" s="304"/>
      <c r="P77" s="304"/>
      <c r="Q77" s="304"/>
      <c r="R77" s="304"/>
      <c r="S77" s="304"/>
      <c r="T77" s="304"/>
      <c r="U77" s="307"/>
    </row>
    <row r="78" spans="1:21" ht="13.5">
      <c r="A78" s="297"/>
      <c r="B78" s="331"/>
      <c r="C78" s="297"/>
      <c r="D78" s="92" t="s">
        <v>150</v>
      </c>
      <c r="E78" s="91">
        <f>F78+G78+H78+I78+J78+K78+L78</f>
        <v>7225747.74</v>
      </c>
      <c r="F78" s="93">
        <f>F72</f>
        <v>952526</v>
      </c>
      <c r="G78" s="93">
        <f aca="true" t="shared" si="18" ref="G78:L78">G72</f>
        <v>1001606.84</v>
      </c>
      <c r="H78" s="93">
        <f t="shared" si="18"/>
        <v>1054322.98</v>
      </c>
      <c r="I78" s="93">
        <f t="shared" si="18"/>
        <v>1054322.98</v>
      </c>
      <c r="J78" s="93">
        <f t="shared" si="18"/>
        <v>1054322.98</v>
      </c>
      <c r="K78" s="93">
        <f t="shared" si="18"/>
        <v>1054322.98</v>
      </c>
      <c r="L78" s="93">
        <f t="shared" si="18"/>
        <v>1054322.98</v>
      </c>
      <c r="M78" s="310"/>
      <c r="N78" s="304"/>
      <c r="O78" s="304"/>
      <c r="P78" s="304"/>
      <c r="Q78" s="304"/>
      <c r="R78" s="304"/>
      <c r="S78" s="304"/>
      <c r="T78" s="304"/>
      <c r="U78" s="307"/>
    </row>
    <row r="79" spans="1:21" ht="13.5">
      <c r="A79" s="297"/>
      <c r="B79" s="331"/>
      <c r="C79" s="297"/>
      <c r="D79" s="92" t="s">
        <v>148</v>
      </c>
      <c r="E79" s="91">
        <f>F79+G79+H79+I79+J79+K79+L79</f>
        <v>0</v>
      </c>
      <c r="F79" s="93">
        <f aca="true" t="shared" si="19" ref="F79:L81">F73</f>
        <v>0</v>
      </c>
      <c r="G79" s="93">
        <f t="shared" si="19"/>
        <v>0</v>
      </c>
      <c r="H79" s="93">
        <f t="shared" si="19"/>
        <v>0</v>
      </c>
      <c r="I79" s="93">
        <f t="shared" si="19"/>
        <v>0</v>
      </c>
      <c r="J79" s="93">
        <f t="shared" si="19"/>
        <v>0</v>
      </c>
      <c r="K79" s="93">
        <f t="shared" si="19"/>
        <v>0</v>
      </c>
      <c r="L79" s="93">
        <f t="shared" si="19"/>
        <v>0</v>
      </c>
      <c r="M79" s="310"/>
      <c r="N79" s="304"/>
      <c r="O79" s="304"/>
      <c r="P79" s="304"/>
      <c r="Q79" s="304"/>
      <c r="R79" s="304"/>
      <c r="S79" s="304"/>
      <c r="T79" s="304"/>
      <c r="U79" s="307"/>
    </row>
    <row r="80" spans="1:21" ht="13.5">
      <c r="A80" s="297"/>
      <c r="B80" s="331"/>
      <c r="C80" s="297"/>
      <c r="D80" s="92" t="s">
        <v>149</v>
      </c>
      <c r="E80" s="91">
        <f>F80+G80+H80+I80+J80+K80+L80</f>
        <v>0</v>
      </c>
      <c r="F80" s="93">
        <f t="shared" si="19"/>
        <v>0</v>
      </c>
      <c r="G80" s="93">
        <f t="shared" si="19"/>
        <v>0</v>
      </c>
      <c r="H80" s="93">
        <f t="shared" si="19"/>
        <v>0</v>
      </c>
      <c r="I80" s="93">
        <f t="shared" si="19"/>
        <v>0</v>
      </c>
      <c r="J80" s="93">
        <f t="shared" si="19"/>
        <v>0</v>
      </c>
      <c r="K80" s="93">
        <f t="shared" si="19"/>
        <v>0</v>
      </c>
      <c r="L80" s="93">
        <f t="shared" si="19"/>
        <v>0</v>
      </c>
      <c r="M80" s="310"/>
      <c r="N80" s="304"/>
      <c r="O80" s="304"/>
      <c r="P80" s="304"/>
      <c r="Q80" s="304"/>
      <c r="R80" s="304"/>
      <c r="S80" s="304"/>
      <c r="T80" s="304"/>
      <c r="U80" s="307"/>
    </row>
    <row r="81" spans="1:21" ht="13.5">
      <c r="A81" s="297"/>
      <c r="B81" s="332"/>
      <c r="C81" s="297"/>
      <c r="D81" s="92" t="s">
        <v>151</v>
      </c>
      <c r="E81" s="91">
        <f>F81+G81+H81+I81+J81+K81+L81</f>
        <v>0</v>
      </c>
      <c r="F81" s="93">
        <f t="shared" si="19"/>
        <v>0</v>
      </c>
      <c r="G81" s="93">
        <f t="shared" si="19"/>
        <v>0</v>
      </c>
      <c r="H81" s="93">
        <f t="shared" si="19"/>
        <v>0</v>
      </c>
      <c r="I81" s="93">
        <f t="shared" si="19"/>
        <v>0</v>
      </c>
      <c r="J81" s="93">
        <f t="shared" si="19"/>
        <v>0</v>
      </c>
      <c r="K81" s="93">
        <f t="shared" si="19"/>
        <v>0</v>
      </c>
      <c r="L81" s="93">
        <f t="shared" si="19"/>
        <v>0</v>
      </c>
      <c r="M81" s="311"/>
      <c r="N81" s="305"/>
      <c r="O81" s="305"/>
      <c r="P81" s="305"/>
      <c r="Q81" s="305"/>
      <c r="R81" s="305"/>
      <c r="S81" s="305"/>
      <c r="T81" s="305"/>
      <c r="U81" s="308"/>
    </row>
    <row r="82" spans="1:21" ht="12.75">
      <c r="A82" s="84">
        <v>4</v>
      </c>
      <c r="B82" s="288" t="s">
        <v>71</v>
      </c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90"/>
    </row>
    <row r="83" spans="1:21" ht="12.75" customHeight="1">
      <c r="A83" s="358" t="s">
        <v>317</v>
      </c>
      <c r="B83" s="341" t="s">
        <v>261</v>
      </c>
      <c r="C83" s="277" t="s">
        <v>132</v>
      </c>
      <c r="D83" s="85" t="s">
        <v>152</v>
      </c>
      <c r="E83" s="86">
        <f>E85+E86+E87+E88</f>
        <v>12342660</v>
      </c>
      <c r="F83" s="86">
        <f aca="true" t="shared" si="20" ref="F83:L83">F85+F86+F87+F88</f>
        <v>1905052</v>
      </c>
      <c r="G83" s="86">
        <f t="shared" si="20"/>
        <v>2003208</v>
      </c>
      <c r="H83" s="86">
        <f t="shared" si="20"/>
        <v>2108480</v>
      </c>
      <c r="I83" s="86">
        <f t="shared" si="20"/>
        <v>2108640</v>
      </c>
      <c r="J83" s="86">
        <f t="shared" si="20"/>
        <v>2108640</v>
      </c>
      <c r="K83" s="86">
        <f t="shared" si="20"/>
        <v>1054320</v>
      </c>
      <c r="L83" s="86">
        <f t="shared" si="20"/>
        <v>1054320</v>
      </c>
      <c r="M83" s="324" t="s">
        <v>133</v>
      </c>
      <c r="N83" s="272">
        <v>1</v>
      </c>
      <c r="O83" s="272">
        <v>1</v>
      </c>
      <c r="P83" s="272">
        <v>1</v>
      </c>
      <c r="Q83" s="272">
        <v>1</v>
      </c>
      <c r="R83" s="272">
        <v>1</v>
      </c>
      <c r="S83" s="272">
        <v>1</v>
      </c>
      <c r="T83" s="272">
        <v>1</v>
      </c>
      <c r="U83" s="266" t="s">
        <v>100</v>
      </c>
    </row>
    <row r="84" spans="1:21" ht="12.75">
      <c r="A84" s="358"/>
      <c r="B84" s="342"/>
      <c r="C84" s="278"/>
      <c r="D84" s="283" t="s">
        <v>177</v>
      </c>
      <c r="E84" s="284"/>
      <c r="F84" s="284"/>
      <c r="G84" s="284"/>
      <c r="H84" s="284"/>
      <c r="I84" s="284"/>
      <c r="J84" s="284"/>
      <c r="K84" s="284"/>
      <c r="L84" s="285"/>
      <c r="M84" s="325"/>
      <c r="N84" s="273"/>
      <c r="O84" s="273"/>
      <c r="P84" s="273"/>
      <c r="Q84" s="273"/>
      <c r="R84" s="273"/>
      <c r="S84" s="273"/>
      <c r="T84" s="273"/>
      <c r="U84" s="267"/>
    </row>
    <row r="85" spans="1:21" ht="12.75">
      <c r="A85" s="358"/>
      <c r="B85" s="342"/>
      <c r="C85" s="278"/>
      <c r="D85" s="87" t="s">
        <v>150</v>
      </c>
      <c r="E85" s="88">
        <f>F85+G85+H85+I85+J85+K85+L85</f>
        <v>12342660</v>
      </c>
      <c r="F85" s="89">
        <v>1905052</v>
      </c>
      <c r="G85" s="89">
        <f>2108640-105432</f>
        <v>2003208</v>
      </c>
      <c r="H85" s="89">
        <v>2108480</v>
      </c>
      <c r="I85" s="89">
        <v>2108640</v>
      </c>
      <c r="J85" s="89">
        <v>2108640</v>
      </c>
      <c r="K85" s="89">
        <v>1054320</v>
      </c>
      <c r="L85" s="89">
        <v>1054320</v>
      </c>
      <c r="M85" s="325"/>
      <c r="N85" s="273"/>
      <c r="O85" s="273"/>
      <c r="P85" s="273"/>
      <c r="Q85" s="273"/>
      <c r="R85" s="273"/>
      <c r="S85" s="273"/>
      <c r="T85" s="273"/>
      <c r="U85" s="267"/>
    </row>
    <row r="86" spans="1:21" ht="12.75">
      <c r="A86" s="358"/>
      <c r="B86" s="342"/>
      <c r="C86" s="278"/>
      <c r="D86" s="87" t="s">
        <v>148</v>
      </c>
      <c r="E86" s="88">
        <f>F86+G86+H86+I86+J86+K86+L86</f>
        <v>0</v>
      </c>
      <c r="F86" s="89"/>
      <c r="G86" s="89"/>
      <c r="H86" s="89"/>
      <c r="I86" s="89"/>
      <c r="J86" s="89"/>
      <c r="K86" s="89"/>
      <c r="L86" s="89"/>
      <c r="M86" s="325"/>
      <c r="N86" s="273"/>
      <c r="O86" s="273"/>
      <c r="P86" s="273"/>
      <c r="Q86" s="273"/>
      <c r="R86" s="273"/>
      <c r="S86" s="273"/>
      <c r="T86" s="273"/>
      <c r="U86" s="267"/>
    </row>
    <row r="87" spans="1:21" ht="12.75">
      <c r="A87" s="358"/>
      <c r="B87" s="342"/>
      <c r="C87" s="278"/>
      <c r="D87" s="87" t="s">
        <v>149</v>
      </c>
      <c r="E87" s="88">
        <f>F87+G87+H87+I87+J87+K87+L87</f>
        <v>0</v>
      </c>
      <c r="F87" s="89"/>
      <c r="G87" s="89"/>
      <c r="H87" s="89"/>
      <c r="I87" s="89"/>
      <c r="J87" s="89"/>
      <c r="K87" s="89"/>
      <c r="L87" s="89"/>
      <c r="M87" s="325"/>
      <c r="N87" s="273"/>
      <c r="O87" s="273"/>
      <c r="P87" s="273"/>
      <c r="Q87" s="273"/>
      <c r="R87" s="273"/>
      <c r="S87" s="273"/>
      <c r="T87" s="273"/>
      <c r="U87" s="267"/>
    </row>
    <row r="88" spans="1:21" ht="12.75">
      <c r="A88" s="358"/>
      <c r="B88" s="343"/>
      <c r="C88" s="279"/>
      <c r="D88" s="87" t="s">
        <v>151</v>
      </c>
      <c r="E88" s="88">
        <f>F88+G88+H88+I88+J88+K88+L88</f>
        <v>0</v>
      </c>
      <c r="F88" s="89"/>
      <c r="G88" s="89"/>
      <c r="H88" s="89"/>
      <c r="I88" s="89"/>
      <c r="J88" s="89"/>
      <c r="K88" s="89"/>
      <c r="L88" s="89"/>
      <c r="M88" s="326"/>
      <c r="N88" s="276"/>
      <c r="O88" s="276"/>
      <c r="P88" s="276"/>
      <c r="Q88" s="276"/>
      <c r="R88" s="276"/>
      <c r="S88" s="276"/>
      <c r="T88" s="276"/>
      <c r="U88" s="268"/>
    </row>
    <row r="89" spans="1:21" ht="12.75" customHeight="1">
      <c r="A89" s="358" t="s">
        <v>318</v>
      </c>
      <c r="B89" s="341" t="s">
        <v>17</v>
      </c>
      <c r="C89" s="277" t="s">
        <v>132</v>
      </c>
      <c r="D89" s="85" t="s">
        <v>152</v>
      </c>
      <c r="E89" s="86">
        <f>E91+E92+E93+E94</f>
        <v>16559940</v>
      </c>
      <c r="F89" s="86">
        <f aca="true" t="shared" si="21" ref="F89:L89">F91+F92+F93+F94</f>
        <v>1905052</v>
      </c>
      <c r="G89" s="86">
        <f t="shared" si="21"/>
        <v>2003208</v>
      </c>
      <c r="H89" s="86">
        <f t="shared" si="21"/>
        <v>2108480</v>
      </c>
      <c r="I89" s="86">
        <f t="shared" si="21"/>
        <v>2108640</v>
      </c>
      <c r="J89" s="86">
        <f t="shared" si="21"/>
        <v>2108640</v>
      </c>
      <c r="K89" s="86">
        <f t="shared" si="21"/>
        <v>3162960</v>
      </c>
      <c r="L89" s="86">
        <f t="shared" si="21"/>
        <v>3162960</v>
      </c>
      <c r="M89" s="324" t="s">
        <v>76</v>
      </c>
      <c r="N89" s="272">
        <v>1</v>
      </c>
      <c r="O89" s="272">
        <v>1</v>
      </c>
      <c r="P89" s="272">
        <v>1</v>
      </c>
      <c r="Q89" s="272">
        <v>1</v>
      </c>
      <c r="R89" s="272">
        <v>1</v>
      </c>
      <c r="S89" s="272">
        <v>1</v>
      </c>
      <c r="T89" s="272">
        <v>1</v>
      </c>
      <c r="U89" s="266" t="s">
        <v>100</v>
      </c>
    </row>
    <row r="90" spans="1:21" ht="12.75">
      <c r="A90" s="358"/>
      <c r="B90" s="342"/>
      <c r="C90" s="278"/>
      <c r="D90" s="283" t="s">
        <v>177</v>
      </c>
      <c r="E90" s="284"/>
      <c r="F90" s="284"/>
      <c r="G90" s="284"/>
      <c r="H90" s="284"/>
      <c r="I90" s="284"/>
      <c r="J90" s="284"/>
      <c r="K90" s="284"/>
      <c r="L90" s="285"/>
      <c r="M90" s="325"/>
      <c r="N90" s="273"/>
      <c r="O90" s="273"/>
      <c r="P90" s="273"/>
      <c r="Q90" s="273"/>
      <c r="R90" s="273"/>
      <c r="S90" s="273"/>
      <c r="T90" s="273"/>
      <c r="U90" s="267"/>
    </row>
    <row r="91" spans="1:21" ht="12.75">
      <c r="A91" s="358"/>
      <c r="B91" s="342"/>
      <c r="C91" s="278"/>
      <c r="D91" s="87" t="s">
        <v>150</v>
      </c>
      <c r="E91" s="88">
        <f>F91+G91+H91+I91+J91+K91+L91</f>
        <v>16559940</v>
      </c>
      <c r="F91" s="89">
        <v>1905052</v>
      </c>
      <c r="G91" s="89">
        <f>2108640-105432</f>
        <v>2003208</v>
      </c>
      <c r="H91" s="89">
        <v>2108480</v>
      </c>
      <c r="I91" s="89">
        <v>2108640</v>
      </c>
      <c r="J91" s="89">
        <v>2108640</v>
      </c>
      <c r="K91" s="89">
        <v>3162960</v>
      </c>
      <c r="L91" s="89">
        <v>3162960</v>
      </c>
      <c r="M91" s="325"/>
      <c r="N91" s="273"/>
      <c r="O91" s="273"/>
      <c r="P91" s="273"/>
      <c r="Q91" s="273"/>
      <c r="R91" s="273"/>
      <c r="S91" s="273"/>
      <c r="T91" s="273"/>
      <c r="U91" s="267"/>
    </row>
    <row r="92" spans="1:21" ht="12.75">
      <c r="A92" s="358"/>
      <c r="B92" s="342"/>
      <c r="C92" s="278"/>
      <c r="D92" s="87" t="s">
        <v>148</v>
      </c>
      <c r="E92" s="88">
        <f>F92+G92+H92+I92+J92+K92+L92</f>
        <v>0</v>
      </c>
      <c r="F92" s="89"/>
      <c r="G92" s="89"/>
      <c r="H92" s="89"/>
      <c r="I92" s="89"/>
      <c r="J92" s="89"/>
      <c r="K92" s="89"/>
      <c r="L92" s="89"/>
      <c r="M92" s="325"/>
      <c r="N92" s="273"/>
      <c r="O92" s="273"/>
      <c r="P92" s="273"/>
      <c r="Q92" s="273"/>
      <c r="R92" s="273"/>
      <c r="S92" s="273"/>
      <c r="T92" s="273"/>
      <c r="U92" s="267"/>
    </row>
    <row r="93" spans="1:21" ht="12.75">
      <c r="A93" s="358"/>
      <c r="B93" s="342"/>
      <c r="C93" s="278"/>
      <c r="D93" s="87" t="s">
        <v>149</v>
      </c>
      <c r="E93" s="88">
        <f>F93+G93+H93+I93+J93+K93+L93</f>
        <v>0</v>
      </c>
      <c r="F93" s="89"/>
      <c r="G93" s="89"/>
      <c r="H93" s="89"/>
      <c r="I93" s="89"/>
      <c r="J93" s="89"/>
      <c r="K93" s="89"/>
      <c r="L93" s="89"/>
      <c r="M93" s="325"/>
      <c r="N93" s="273"/>
      <c r="O93" s="273"/>
      <c r="P93" s="273"/>
      <c r="Q93" s="273"/>
      <c r="R93" s="273"/>
      <c r="S93" s="273"/>
      <c r="T93" s="273"/>
      <c r="U93" s="267"/>
    </row>
    <row r="94" spans="1:21" ht="12.75">
      <c r="A94" s="358"/>
      <c r="B94" s="343"/>
      <c r="C94" s="279"/>
      <c r="D94" s="87" t="s">
        <v>151</v>
      </c>
      <c r="E94" s="88">
        <f>F94+G94+H94+I94+J94+K94+L94</f>
        <v>0</v>
      </c>
      <c r="F94" s="89"/>
      <c r="G94" s="89"/>
      <c r="H94" s="89"/>
      <c r="I94" s="89"/>
      <c r="J94" s="89"/>
      <c r="K94" s="89"/>
      <c r="L94" s="89"/>
      <c r="M94" s="326"/>
      <c r="N94" s="276"/>
      <c r="O94" s="276"/>
      <c r="P94" s="276"/>
      <c r="Q94" s="276"/>
      <c r="R94" s="276"/>
      <c r="S94" s="276"/>
      <c r="T94" s="276"/>
      <c r="U94" s="268"/>
    </row>
    <row r="95" spans="1:21" ht="12.75" customHeight="1">
      <c r="A95" s="358" t="s">
        <v>319</v>
      </c>
      <c r="B95" s="341" t="s">
        <v>262</v>
      </c>
      <c r="C95" s="277" t="s">
        <v>132</v>
      </c>
      <c r="D95" s="85" t="s">
        <v>152</v>
      </c>
      <c r="E95" s="86">
        <f>E97+E98+E99+E100</f>
        <v>14451460</v>
      </c>
      <c r="F95" s="86">
        <f aca="true" t="shared" si="22" ref="F95:L95">F97+F98+F99+F100</f>
        <v>1905052</v>
      </c>
      <c r="G95" s="86">
        <f t="shared" si="22"/>
        <v>2003208</v>
      </c>
      <c r="H95" s="86">
        <f t="shared" si="22"/>
        <v>2108640</v>
      </c>
      <c r="I95" s="86">
        <f t="shared" si="22"/>
        <v>2108640</v>
      </c>
      <c r="J95" s="86">
        <f t="shared" si="22"/>
        <v>2108640</v>
      </c>
      <c r="K95" s="86">
        <f t="shared" si="22"/>
        <v>2108640</v>
      </c>
      <c r="L95" s="86">
        <f t="shared" si="22"/>
        <v>2108640</v>
      </c>
      <c r="M95" s="324" t="s">
        <v>77</v>
      </c>
      <c r="N95" s="272">
        <v>1</v>
      </c>
      <c r="O95" s="272">
        <v>1</v>
      </c>
      <c r="P95" s="272">
        <v>1</v>
      </c>
      <c r="Q95" s="272">
        <v>1</v>
      </c>
      <c r="R95" s="272">
        <v>1</v>
      </c>
      <c r="S95" s="272">
        <v>1</v>
      </c>
      <c r="T95" s="272">
        <v>1</v>
      </c>
      <c r="U95" s="266" t="s">
        <v>100</v>
      </c>
    </row>
    <row r="96" spans="1:21" ht="12.75">
      <c r="A96" s="358"/>
      <c r="B96" s="342"/>
      <c r="C96" s="278"/>
      <c r="D96" s="283" t="s">
        <v>177</v>
      </c>
      <c r="E96" s="284"/>
      <c r="F96" s="284"/>
      <c r="G96" s="284"/>
      <c r="H96" s="284"/>
      <c r="I96" s="284"/>
      <c r="J96" s="284"/>
      <c r="K96" s="284"/>
      <c r="L96" s="285"/>
      <c r="M96" s="325"/>
      <c r="N96" s="273"/>
      <c r="O96" s="273"/>
      <c r="P96" s="273"/>
      <c r="Q96" s="273"/>
      <c r="R96" s="273"/>
      <c r="S96" s="273"/>
      <c r="T96" s="273"/>
      <c r="U96" s="267"/>
    </row>
    <row r="97" spans="1:21" ht="12.75">
      <c r="A97" s="358"/>
      <c r="B97" s="342"/>
      <c r="C97" s="278"/>
      <c r="D97" s="87" t="s">
        <v>150</v>
      </c>
      <c r="E97" s="88">
        <f>F97+G97+H97+I97+J97+K97+L97</f>
        <v>14451460</v>
      </c>
      <c r="F97" s="89">
        <v>1905052</v>
      </c>
      <c r="G97" s="89">
        <f>2108640-105432</f>
        <v>2003208</v>
      </c>
      <c r="H97" s="89">
        <v>2108640</v>
      </c>
      <c r="I97" s="89">
        <v>2108640</v>
      </c>
      <c r="J97" s="89">
        <v>2108640</v>
      </c>
      <c r="K97" s="89">
        <v>2108640</v>
      </c>
      <c r="L97" s="89">
        <v>2108640</v>
      </c>
      <c r="M97" s="325"/>
      <c r="N97" s="273"/>
      <c r="O97" s="273"/>
      <c r="P97" s="273"/>
      <c r="Q97" s="273"/>
      <c r="R97" s="273"/>
      <c r="S97" s="273"/>
      <c r="T97" s="273"/>
      <c r="U97" s="267"/>
    </row>
    <row r="98" spans="1:21" ht="12.75">
      <c r="A98" s="358"/>
      <c r="B98" s="342"/>
      <c r="C98" s="278"/>
      <c r="D98" s="87" t="s">
        <v>148</v>
      </c>
      <c r="E98" s="88">
        <f>F98+G98+H98+I98+J98+K98+L98</f>
        <v>0</v>
      </c>
      <c r="F98" s="89"/>
      <c r="G98" s="89"/>
      <c r="H98" s="89"/>
      <c r="I98" s="89"/>
      <c r="J98" s="89"/>
      <c r="K98" s="89"/>
      <c r="L98" s="89"/>
      <c r="M98" s="325"/>
      <c r="N98" s="273"/>
      <c r="O98" s="273"/>
      <c r="P98" s="273"/>
      <c r="Q98" s="273"/>
      <c r="R98" s="273"/>
      <c r="S98" s="273"/>
      <c r="T98" s="273"/>
      <c r="U98" s="267"/>
    </row>
    <row r="99" spans="1:21" ht="12.75">
      <c r="A99" s="358"/>
      <c r="B99" s="342"/>
      <c r="C99" s="278"/>
      <c r="D99" s="87" t="s">
        <v>149</v>
      </c>
      <c r="E99" s="88">
        <f>F99+G99+H99+I99+J99+K99+L99</f>
        <v>0</v>
      </c>
      <c r="F99" s="89"/>
      <c r="G99" s="89"/>
      <c r="H99" s="89"/>
      <c r="I99" s="89"/>
      <c r="J99" s="89"/>
      <c r="K99" s="89"/>
      <c r="L99" s="89"/>
      <c r="M99" s="325"/>
      <c r="N99" s="273"/>
      <c r="O99" s="273"/>
      <c r="P99" s="273"/>
      <c r="Q99" s="273"/>
      <c r="R99" s="273"/>
      <c r="S99" s="273"/>
      <c r="T99" s="273"/>
      <c r="U99" s="267"/>
    </row>
    <row r="100" spans="1:21" ht="12.75">
      <c r="A100" s="358"/>
      <c r="B100" s="343"/>
      <c r="C100" s="279"/>
      <c r="D100" s="87" t="s">
        <v>151</v>
      </c>
      <c r="E100" s="88">
        <f>F100+G100+H100+I100+J100+K100+L100</f>
        <v>0</v>
      </c>
      <c r="F100" s="89"/>
      <c r="G100" s="89"/>
      <c r="H100" s="89"/>
      <c r="I100" s="89"/>
      <c r="J100" s="89"/>
      <c r="K100" s="89"/>
      <c r="L100" s="89"/>
      <c r="M100" s="326"/>
      <c r="N100" s="276"/>
      <c r="O100" s="276"/>
      <c r="P100" s="276"/>
      <c r="Q100" s="276"/>
      <c r="R100" s="276"/>
      <c r="S100" s="276"/>
      <c r="T100" s="276"/>
      <c r="U100" s="268"/>
    </row>
    <row r="101" spans="1:21" ht="12.75" customHeight="1">
      <c r="A101" s="358" t="s">
        <v>320</v>
      </c>
      <c r="B101" s="341" t="s">
        <v>18</v>
      </c>
      <c r="C101" s="277" t="s">
        <v>132</v>
      </c>
      <c r="D101" s="85" t="s">
        <v>152</v>
      </c>
      <c r="E101" s="86">
        <f>E103+E104+E105+E106</f>
        <v>14138277</v>
      </c>
      <c r="F101" s="86">
        <f aca="true" t="shared" si="23" ref="F101:L101">F103+F104+F105+F106</f>
        <v>1951881</v>
      </c>
      <c r="G101" s="86">
        <f t="shared" si="23"/>
        <v>1945676</v>
      </c>
      <c r="H101" s="86">
        <f t="shared" si="23"/>
        <v>2048400</v>
      </c>
      <c r="I101" s="86">
        <f t="shared" si="23"/>
        <v>2048080</v>
      </c>
      <c r="J101" s="86">
        <f t="shared" si="23"/>
        <v>2048080</v>
      </c>
      <c r="K101" s="86">
        <f t="shared" si="23"/>
        <v>2048080</v>
      </c>
      <c r="L101" s="86">
        <f t="shared" si="23"/>
        <v>2048080</v>
      </c>
      <c r="M101" s="324" t="s">
        <v>134</v>
      </c>
      <c r="N101" s="272">
        <v>1</v>
      </c>
      <c r="O101" s="272">
        <v>1</v>
      </c>
      <c r="P101" s="272">
        <v>1</v>
      </c>
      <c r="Q101" s="272">
        <v>1</v>
      </c>
      <c r="R101" s="272">
        <v>1</v>
      </c>
      <c r="S101" s="272">
        <v>1</v>
      </c>
      <c r="T101" s="272">
        <v>1</v>
      </c>
      <c r="U101" s="266" t="s">
        <v>100</v>
      </c>
    </row>
    <row r="102" spans="1:21" ht="12.75">
      <c r="A102" s="358"/>
      <c r="B102" s="342"/>
      <c r="C102" s="278"/>
      <c r="D102" s="283" t="s">
        <v>177</v>
      </c>
      <c r="E102" s="284"/>
      <c r="F102" s="284"/>
      <c r="G102" s="284"/>
      <c r="H102" s="284"/>
      <c r="I102" s="284"/>
      <c r="J102" s="284"/>
      <c r="K102" s="284"/>
      <c r="L102" s="285"/>
      <c r="M102" s="325"/>
      <c r="N102" s="273"/>
      <c r="O102" s="273"/>
      <c r="P102" s="273"/>
      <c r="Q102" s="273"/>
      <c r="R102" s="273"/>
      <c r="S102" s="273"/>
      <c r="T102" s="273"/>
      <c r="U102" s="267"/>
    </row>
    <row r="103" spans="1:21" ht="12.75">
      <c r="A103" s="358"/>
      <c r="B103" s="342"/>
      <c r="C103" s="278"/>
      <c r="D103" s="87" t="s">
        <v>150</v>
      </c>
      <c r="E103" s="88">
        <f>F103+G103+H103+I103+J103+K103+L103</f>
        <v>14138277</v>
      </c>
      <c r="F103" s="89">
        <v>1951881</v>
      </c>
      <c r="G103" s="89">
        <f>2048080-102404</f>
        <v>1945676</v>
      </c>
      <c r="H103" s="89">
        <v>2048400</v>
      </c>
      <c r="I103" s="89">
        <v>2048080</v>
      </c>
      <c r="J103" s="89">
        <v>2048080</v>
      </c>
      <c r="K103" s="89">
        <v>2048080</v>
      </c>
      <c r="L103" s="89">
        <v>2048080</v>
      </c>
      <c r="M103" s="325"/>
      <c r="N103" s="273"/>
      <c r="O103" s="273"/>
      <c r="P103" s="273"/>
      <c r="Q103" s="273"/>
      <c r="R103" s="273"/>
      <c r="S103" s="273"/>
      <c r="T103" s="273"/>
      <c r="U103" s="267"/>
    </row>
    <row r="104" spans="1:21" ht="12.75">
      <c r="A104" s="358"/>
      <c r="B104" s="342"/>
      <c r="C104" s="278"/>
      <c r="D104" s="87" t="s">
        <v>148</v>
      </c>
      <c r="E104" s="88">
        <f>F104+G104+H104+I104+J104+K104+L104</f>
        <v>0</v>
      </c>
      <c r="F104" s="89"/>
      <c r="G104" s="89"/>
      <c r="H104" s="89"/>
      <c r="I104" s="89"/>
      <c r="J104" s="89"/>
      <c r="K104" s="89"/>
      <c r="L104" s="89"/>
      <c r="M104" s="325"/>
      <c r="N104" s="273"/>
      <c r="O104" s="273"/>
      <c r="P104" s="273"/>
      <c r="Q104" s="273"/>
      <c r="R104" s="273"/>
      <c r="S104" s="273"/>
      <c r="T104" s="273"/>
      <c r="U104" s="267"/>
    </row>
    <row r="105" spans="1:21" ht="12.75">
      <c r="A105" s="358"/>
      <c r="B105" s="342"/>
      <c r="C105" s="278"/>
      <c r="D105" s="87" t="s">
        <v>149</v>
      </c>
      <c r="E105" s="88">
        <f>F105+G105+H105+I105+J105+K105+L105</f>
        <v>0</v>
      </c>
      <c r="F105" s="89"/>
      <c r="G105" s="89"/>
      <c r="H105" s="89"/>
      <c r="I105" s="89"/>
      <c r="J105" s="89"/>
      <c r="K105" s="89"/>
      <c r="L105" s="89"/>
      <c r="M105" s="325"/>
      <c r="N105" s="273"/>
      <c r="O105" s="273"/>
      <c r="P105" s="273"/>
      <c r="Q105" s="273"/>
      <c r="R105" s="273"/>
      <c r="S105" s="273"/>
      <c r="T105" s="273"/>
      <c r="U105" s="267"/>
    </row>
    <row r="106" spans="1:21" ht="12.75">
      <c r="A106" s="358"/>
      <c r="B106" s="343"/>
      <c r="C106" s="279"/>
      <c r="D106" s="87" t="s">
        <v>151</v>
      </c>
      <c r="E106" s="88">
        <f>F106+G106+H106+I106+J106+K106+L106</f>
        <v>0</v>
      </c>
      <c r="F106" s="89"/>
      <c r="G106" s="89"/>
      <c r="H106" s="89"/>
      <c r="I106" s="89"/>
      <c r="J106" s="89"/>
      <c r="K106" s="89"/>
      <c r="L106" s="89"/>
      <c r="M106" s="326"/>
      <c r="N106" s="276"/>
      <c r="O106" s="276"/>
      <c r="P106" s="276"/>
      <c r="Q106" s="276"/>
      <c r="R106" s="276"/>
      <c r="S106" s="276"/>
      <c r="T106" s="276"/>
      <c r="U106" s="268"/>
    </row>
    <row r="107" spans="1:21" ht="13.5">
      <c r="A107" s="297"/>
      <c r="B107" s="330" t="s">
        <v>264</v>
      </c>
      <c r="C107" s="297"/>
      <c r="D107" s="90" t="s">
        <v>152</v>
      </c>
      <c r="E107" s="91">
        <f>E109+E110+E111+E112</f>
        <v>57492337</v>
      </c>
      <c r="F107" s="91">
        <f>F109+F110+F111+F112</f>
        <v>7667037</v>
      </c>
      <c r="G107" s="91">
        <f aca="true" t="shared" si="24" ref="G107:L107">G109+G110+G111+G112</f>
        <v>7955300</v>
      </c>
      <c r="H107" s="91">
        <f t="shared" si="24"/>
        <v>8374000</v>
      </c>
      <c r="I107" s="91">
        <f t="shared" si="24"/>
        <v>8374000</v>
      </c>
      <c r="J107" s="91">
        <f t="shared" si="24"/>
        <v>8374000</v>
      </c>
      <c r="K107" s="91">
        <f t="shared" si="24"/>
        <v>8374000</v>
      </c>
      <c r="L107" s="91">
        <f t="shared" si="24"/>
        <v>8374000</v>
      </c>
      <c r="M107" s="309"/>
      <c r="N107" s="303"/>
      <c r="O107" s="303"/>
      <c r="P107" s="303"/>
      <c r="Q107" s="303"/>
      <c r="R107" s="303"/>
      <c r="S107" s="303"/>
      <c r="T107" s="303"/>
      <c r="U107" s="306"/>
    </row>
    <row r="108" spans="1:21" ht="12.75">
      <c r="A108" s="297"/>
      <c r="B108" s="331"/>
      <c r="C108" s="297"/>
      <c r="D108" s="312" t="s">
        <v>177</v>
      </c>
      <c r="E108" s="313"/>
      <c r="F108" s="313"/>
      <c r="G108" s="313"/>
      <c r="H108" s="313"/>
      <c r="I108" s="313"/>
      <c r="J108" s="313"/>
      <c r="K108" s="313"/>
      <c r="L108" s="314"/>
      <c r="M108" s="310"/>
      <c r="N108" s="304"/>
      <c r="O108" s="304"/>
      <c r="P108" s="304"/>
      <c r="Q108" s="304"/>
      <c r="R108" s="304"/>
      <c r="S108" s="304"/>
      <c r="T108" s="304"/>
      <c r="U108" s="307"/>
    </row>
    <row r="109" spans="1:21" ht="13.5">
      <c r="A109" s="297"/>
      <c r="B109" s="331"/>
      <c r="C109" s="297"/>
      <c r="D109" s="92" t="s">
        <v>150</v>
      </c>
      <c r="E109" s="91">
        <f>SUM(F109:L109)</f>
        <v>57492337</v>
      </c>
      <c r="F109" s="93">
        <f>F85+F91+F97+F103</f>
        <v>7667037</v>
      </c>
      <c r="G109" s="93">
        <f aca="true" t="shared" si="25" ref="G109:L109">G85+G91+G97+G103</f>
        <v>7955300</v>
      </c>
      <c r="H109" s="93">
        <f t="shared" si="25"/>
        <v>8374000</v>
      </c>
      <c r="I109" s="93">
        <f t="shared" si="25"/>
        <v>8374000</v>
      </c>
      <c r="J109" s="93">
        <f t="shared" si="25"/>
        <v>8374000</v>
      </c>
      <c r="K109" s="93">
        <f t="shared" si="25"/>
        <v>8374000</v>
      </c>
      <c r="L109" s="93">
        <f t="shared" si="25"/>
        <v>8374000</v>
      </c>
      <c r="M109" s="310"/>
      <c r="N109" s="304"/>
      <c r="O109" s="304"/>
      <c r="P109" s="304"/>
      <c r="Q109" s="304"/>
      <c r="R109" s="304"/>
      <c r="S109" s="304"/>
      <c r="T109" s="304"/>
      <c r="U109" s="307"/>
    </row>
    <row r="110" spans="1:21" ht="13.5">
      <c r="A110" s="297"/>
      <c r="B110" s="331"/>
      <c r="C110" s="297"/>
      <c r="D110" s="92" t="s">
        <v>148</v>
      </c>
      <c r="E110" s="91">
        <f>SUM(F110:L110)</f>
        <v>0</v>
      </c>
      <c r="F110" s="93">
        <f>F86+F92+F98+F104</f>
        <v>0</v>
      </c>
      <c r="G110" s="93">
        <f aca="true" t="shared" si="26" ref="G110:L110">G86+G92+G98+G104</f>
        <v>0</v>
      </c>
      <c r="H110" s="93">
        <f t="shared" si="26"/>
        <v>0</v>
      </c>
      <c r="I110" s="93">
        <f t="shared" si="26"/>
        <v>0</v>
      </c>
      <c r="J110" s="93">
        <f t="shared" si="26"/>
        <v>0</v>
      </c>
      <c r="K110" s="93">
        <f t="shared" si="26"/>
        <v>0</v>
      </c>
      <c r="L110" s="93">
        <f t="shared" si="26"/>
        <v>0</v>
      </c>
      <c r="M110" s="310"/>
      <c r="N110" s="304"/>
      <c r="O110" s="304"/>
      <c r="P110" s="304"/>
      <c r="Q110" s="304"/>
      <c r="R110" s="304"/>
      <c r="S110" s="304"/>
      <c r="T110" s="304"/>
      <c r="U110" s="307"/>
    </row>
    <row r="111" spans="1:21" ht="13.5">
      <c r="A111" s="297"/>
      <c r="B111" s="331"/>
      <c r="C111" s="297"/>
      <c r="D111" s="92" t="s">
        <v>149</v>
      </c>
      <c r="E111" s="91">
        <f>SUM(F111:L111)</f>
        <v>0</v>
      </c>
      <c r="F111" s="93">
        <f>F87+F93+F99+F105</f>
        <v>0</v>
      </c>
      <c r="G111" s="93">
        <f aca="true" t="shared" si="27" ref="G111:L111">G87+G93+G99+G105</f>
        <v>0</v>
      </c>
      <c r="H111" s="93">
        <f t="shared" si="27"/>
        <v>0</v>
      </c>
      <c r="I111" s="93">
        <f t="shared" si="27"/>
        <v>0</v>
      </c>
      <c r="J111" s="93">
        <f t="shared" si="27"/>
        <v>0</v>
      </c>
      <c r="K111" s="93">
        <f t="shared" si="27"/>
        <v>0</v>
      </c>
      <c r="L111" s="93">
        <f t="shared" si="27"/>
        <v>0</v>
      </c>
      <c r="M111" s="310"/>
      <c r="N111" s="304"/>
      <c r="O111" s="304"/>
      <c r="P111" s="304"/>
      <c r="Q111" s="304"/>
      <c r="R111" s="304"/>
      <c r="S111" s="304"/>
      <c r="T111" s="304"/>
      <c r="U111" s="307"/>
    </row>
    <row r="112" spans="1:21" ht="13.5">
      <c r="A112" s="297"/>
      <c r="B112" s="332"/>
      <c r="C112" s="297"/>
      <c r="D112" s="92" t="s">
        <v>151</v>
      </c>
      <c r="E112" s="91">
        <f>SUM(F112:L112)</f>
        <v>0</v>
      </c>
      <c r="F112" s="93">
        <f>F88+F94+F100+F106</f>
        <v>0</v>
      </c>
      <c r="G112" s="93">
        <f aca="true" t="shared" si="28" ref="G112:L112">G88+G94+G100+G106</f>
        <v>0</v>
      </c>
      <c r="H112" s="93">
        <f t="shared" si="28"/>
        <v>0</v>
      </c>
      <c r="I112" s="93">
        <f t="shared" si="28"/>
        <v>0</v>
      </c>
      <c r="J112" s="93">
        <f t="shared" si="28"/>
        <v>0</v>
      </c>
      <c r="K112" s="93">
        <f t="shared" si="28"/>
        <v>0</v>
      </c>
      <c r="L112" s="93">
        <f t="shared" si="28"/>
        <v>0</v>
      </c>
      <c r="M112" s="311"/>
      <c r="N112" s="305"/>
      <c r="O112" s="305"/>
      <c r="P112" s="305"/>
      <c r="Q112" s="305"/>
      <c r="R112" s="305"/>
      <c r="S112" s="305"/>
      <c r="T112" s="305"/>
      <c r="U112" s="308"/>
    </row>
    <row r="113" spans="1:21" ht="13.5">
      <c r="A113" s="297"/>
      <c r="B113" s="330" t="s">
        <v>140</v>
      </c>
      <c r="C113" s="297"/>
      <c r="D113" s="90" t="s">
        <v>152</v>
      </c>
      <c r="E113" s="91">
        <f aca="true" t="shared" si="29" ref="E113:L113">E115+E116+E117+E118</f>
        <v>328070226.74</v>
      </c>
      <c r="F113" s="91">
        <f t="shared" si="29"/>
        <v>43291513</v>
      </c>
      <c r="G113" s="91">
        <f t="shared" si="29"/>
        <v>45426098.84</v>
      </c>
      <c r="H113" s="91">
        <f t="shared" si="29"/>
        <v>47663082.980000004</v>
      </c>
      <c r="I113" s="91">
        <f t="shared" si="29"/>
        <v>47922382.980000004</v>
      </c>
      <c r="J113" s="91">
        <f t="shared" si="29"/>
        <v>47922382.980000004</v>
      </c>
      <c r="K113" s="91">
        <f t="shared" si="29"/>
        <v>47922382.980000004</v>
      </c>
      <c r="L113" s="91">
        <f t="shared" si="29"/>
        <v>47922382.980000004</v>
      </c>
      <c r="M113" s="309"/>
      <c r="N113" s="303"/>
      <c r="O113" s="303"/>
      <c r="P113" s="303"/>
      <c r="Q113" s="303"/>
      <c r="R113" s="303"/>
      <c r="S113" s="303"/>
      <c r="T113" s="303"/>
      <c r="U113" s="306"/>
    </row>
    <row r="114" spans="1:21" ht="12.75">
      <c r="A114" s="297"/>
      <c r="B114" s="331"/>
      <c r="C114" s="297"/>
      <c r="D114" s="312" t="s">
        <v>177</v>
      </c>
      <c r="E114" s="313"/>
      <c r="F114" s="313"/>
      <c r="G114" s="313"/>
      <c r="H114" s="313"/>
      <c r="I114" s="313"/>
      <c r="J114" s="313"/>
      <c r="K114" s="313"/>
      <c r="L114" s="314"/>
      <c r="M114" s="310"/>
      <c r="N114" s="304"/>
      <c r="O114" s="304"/>
      <c r="P114" s="304"/>
      <c r="Q114" s="304"/>
      <c r="R114" s="304"/>
      <c r="S114" s="304"/>
      <c r="T114" s="304"/>
      <c r="U114" s="307"/>
    </row>
    <row r="115" spans="1:21" ht="13.5">
      <c r="A115" s="297"/>
      <c r="B115" s="331"/>
      <c r="C115" s="297"/>
      <c r="D115" s="92" t="s">
        <v>150</v>
      </c>
      <c r="E115" s="91">
        <f>SUM(F115:L115)</f>
        <v>95000326.74000001</v>
      </c>
      <c r="F115" s="93">
        <f aca="true" t="shared" si="30" ref="F115:L118">F22+F65+F78+F109</f>
        <v>12523313</v>
      </c>
      <c r="G115" s="93">
        <f t="shared" si="30"/>
        <v>13168598.84</v>
      </c>
      <c r="H115" s="93">
        <f t="shared" si="30"/>
        <v>13861682.98</v>
      </c>
      <c r="I115" s="93">
        <f t="shared" si="30"/>
        <v>13861682.98</v>
      </c>
      <c r="J115" s="93">
        <f t="shared" si="30"/>
        <v>13861682.98</v>
      </c>
      <c r="K115" s="93">
        <f t="shared" si="30"/>
        <v>13861682.98</v>
      </c>
      <c r="L115" s="93">
        <f t="shared" si="30"/>
        <v>13861682.98</v>
      </c>
      <c r="M115" s="310"/>
      <c r="N115" s="304"/>
      <c r="O115" s="304"/>
      <c r="P115" s="304"/>
      <c r="Q115" s="304"/>
      <c r="R115" s="304"/>
      <c r="S115" s="304"/>
      <c r="T115" s="304"/>
      <c r="U115" s="307"/>
    </row>
    <row r="116" spans="1:21" ht="13.5">
      <c r="A116" s="297"/>
      <c r="B116" s="331"/>
      <c r="C116" s="297"/>
      <c r="D116" s="92" t="s">
        <v>148</v>
      </c>
      <c r="E116" s="91">
        <f>SUM(F116:L116)</f>
        <v>233069900</v>
      </c>
      <c r="F116" s="93">
        <f t="shared" si="30"/>
        <v>30768200</v>
      </c>
      <c r="G116" s="93">
        <f t="shared" si="30"/>
        <v>32257500</v>
      </c>
      <c r="H116" s="93">
        <f t="shared" si="30"/>
        <v>33801400</v>
      </c>
      <c r="I116" s="93">
        <f t="shared" si="30"/>
        <v>34060700</v>
      </c>
      <c r="J116" s="93">
        <f t="shared" si="30"/>
        <v>34060700</v>
      </c>
      <c r="K116" s="93">
        <f t="shared" si="30"/>
        <v>34060700</v>
      </c>
      <c r="L116" s="93">
        <f t="shared" si="30"/>
        <v>34060700</v>
      </c>
      <c r="M116" s="310"/>
      <c r="N116" s="304"/>
      <c r="O116" s="304"/>
      <c r="P116" s="304"/>
      <c r="Q116" s="304"/>
      <c r="R116" s="304"/>
      <c r="S116" s="304"/>
      <c r="T116" s="304"/>
      <c r="U116" s="307"/>
    </row>
    <row r="117" spans="1:21" ht="13.5">
      <c r="A117" s="297"/>
      <c r="B117" s="331"/>
      <c r="C117" s="297"/>
      <c r="D117" s="92" t="s">
        <v>149</v>
      </c>
      <c r="E117" s="91">
        <f>SUM(F117:L117)</f>
        <v>0</v>
      </c>
      <c r="F117" s="93">
        <f t="shared" si="30"/>
        <v>0</v>
      </c>
      <c r="G117" s="93">
        <f t="shared" si="30"/>
        <v>0</v>
      </c>
      <c r="H117" s="93">
        <f t="shared" si="30"/>
        <v>0</v>
      </c>
      <c r="I117" s="93">
        <f t="shared" si="30"/>
        <v>0</v>
      </c>
      <c r="J117" s="93">
        <f t="shared" si="30"/>
        <v>0</v>
      </c>
      <c r="K117" s="93">
        <f t="shared" si="30"/>
        <v>0</v>
      </c>
      <c r="L117" s="93">
        <f t="shared" si="30"/>
        <v>0</v>
      </c>
      <c r="M117" s="310"/>
      <c r="N117" s="304"/>
      <c r="O117" s="304"/>
      <c r="P117" s="304"/>
      <c r="Q117" s="304"/>
      <c r="R117" s="304"/>
      <c r="S117" s="304"/>
      <c r="T117" s="304"/>
      <c r="U117" s="307"/>
    </row>
    <row r="118" spans="1:21" ht="13.5">
      <c r="A118" s="297"/>
      <c r="B118" s="332"/>
      <c r="C118" s="297"/>
      <c r="D118" s="92" t="s">
        <v>151</v>
      </c>
      <c r="E118" s="91">
        <f>SUM(F118:L118)</f>
        <v>0</v>
      </c>
      <c r="F118" s="93">
        <f t="shared" si="30"/>
        <v>0</v>
      </c>
      <c r="G118" s="93">
        <f t="shared" si="30"/>
        <v>0</v>
      </c>
      <c r="H118" s="93">
        <f t="shared" si="30"/>
        <v>0</v>
      </c>
      <c r="I118" s="93">
        <f t="shared" si="30"/>
        <v>0</v>
      </c>
      <c r="J118" s="93">
        <f t="shared" si="30"/>
        <v>0</v>
      </c>
      <c r="K118" s="93">
        <f t="shared" si="30"/>
        <v>0</v>
      </c>
      <c r="L118" s="93">
        <f t="shared" si="30"/>
        <v>0</v>
      </c>
      <c r="M118" s="311"/>
      <c r="N118" s="305"/>
      <c r="O118" s="305"/>
      <c r="P118" s="305"/>
      <c r="Q118" s="305"/>
      <c r="R118" s="305"/>
      <c r="S118" s="305"/>
      <c r="T118" s="305"/>
      <c r="U118" s="308"/>
    </row>
    <row r="120" spans="6:7" ht="12.75">
      <c r="F120" s="94"/>
      <c r="G120" s="94"/>
    </row>
    <row r="121" spans="5:7" ht="12.75">
      <c r="E121" s="130"/>
      <c r="F121" s="94"/>
      <c r="G121" s="131"/>
    </row>
    <row r="122" spans="5:7" ht="12.75">
      <c r="E122" s="96"/>
      <c r="F122" s="94"/>
      <c r="G122" s="94"/>
    </row>
    <row r="123" spans="5:7" ht="12.75">
      <c r="E123" s="96"/>
      <c r="F123" s="94"/>
      <c r="G123" s="94"/>
    </row>
    <row r="124" spans="6:7" ht="12.75">
      <c r="F124" s="94"/>
      <c r="G124" s="94"/>
    </row>
    <row r="125" spans="6:7" ht="12.75">
      <c r="F125" s="94"/>
      <c r="G125" s="94"/>
    </row>
    <row r="126" spans="6:7" ht="12.75">
      <c r="F126" s="94"/>
      <c r="G126" s="94"/>
    </row>
    <row r="127" spans="6:7" ht="12.75">
      <c r="F127" s="94"/>
      <c r="G127" s="94"/>
    </row>
    <row r="128" spans="6:7" ht="12.75">
      <c r="F128" s="94"/>
      <c r="G128" s="94"/>
    </row>
  </sheetData>
  <sheetProtection/>
  <mergeCells count="247">
    <mergeCell ref="R20:R25"/>
    <mergeCell ref="S20:S25"/>
    <mergeCell ref="T20:T25"/>
    <mergeCell ref="R76:R81"/>
    <mergeCell ref="S76:S81"/>
    <mergeCell ref="T76:T81"/>
    <mergeCell ref="S70:S75"/>
    <mergeCell ref="T70:T75"/>
    <mergeCell ref="B69:U69"/>
    <mergeCell ref="P70:P75"/>
    <mergeCell ref="U76:U81"/>
    <mergeCell ref="D77:L77"/>
    <mergeCell ref="U57:U62"/>
    <mergeCell ref="M57:M62"/>
    <mergeCell ref="N57:N62"/>
    <mergeCell ref="O57:O62"/>
    <mergeCell ref="T57:T62"/>
    <mergeCell ref="D58:L58"/>
    <mergeCell ref="O76:O81"/>
    <mergeCell ref="P76:P81"/>
    <mergeCell ref="C57:C62"/>
    <mergeCell ref="R63:R68"/>
    <mergeCell ref="S63:S68"/>
    <mergeCell ref="Q57:Q62"/>
    <mergeCell ref="R57:R62"/>
    <mergeCell ref="S57:S62"/>
    <mergeCell ref="P63:P68"/>
    <mergeCell ref="Q63:Q68"/>
    <mergeCell ref="Q76:Q81"/>
    <mergeCell ref="A20:A25"/>
    <mergeCell ref="B20:B25"/>
    <mergeCell ref="C20:C25"/>
    <mergeCell ref="M20:M25"/>
    <mergeCell ref="N20:N25"/>
    <mergeCell ref="P20:P25"/>
    <mergeCell ref="P57:P62"/>
    <mergeCell ref="A57:A62"/>
    <mergeCell ref="B57:B62"/>
    <mergeCell ref="U101:U106"/>
    <mergeCell ref="D102:L102"/>
    <mergeCell ref="A76:A81"/>
    <mergeCell ref="B76:B81"/>
    <mergeCell ref="C76:C81"/>
    <mergeCell ref="M76:M81"/>
    <mergeCell ref="N76:N81"/>
    <mergeCell ref="B82:U82"/>
    <mergeCell ref="A101:A106"/>
    <mergeCell ref="B101:B106"/>
    <mergeCell ref="S95:S100"/>
    <mergeCell ref="T95:T100"/>
    <mergeCell ref="Q95:Q100"/>
    <mergeCell ref="P101:P106"/>
    <mergeCell ref="Q101:Q106"/>
    <mergeCell ref="R101:R106"/>
    <mergeCell ref="S101:S106"/>
    <mergeCell ref="T101:T106"/>
    <mergeCell ref="Q107:Q112"/>
    <mergeCell ref="R107:R112"/>
    <mergeCell ref="M101:M106"/>
    <mergeCell ref="N101:N106"/>
    <mergeCell ref="O101:O106"/>
    <mergeCell ref="R95:R100"/>
    <mergeCell ref="A113:A118"/>
    <mergeCell ref="B113:B118"/>
    <mergeCell ref="C113:C118"/>
    <mergeCell ref="M113:M118"/>
    <mergeCell ref="R113:R118"/>
    <mergeCell ref="S113:S118"/>
    <mergeCell ref="N113:N118"/>
    <mergeCell ref="O113:O118"/>
    <mergeCell ref="P113:P118"/>
    <mergeCell ref="U107:U112"/>
    <mergeCell ref="D108:L108"/>
    <mergeCell ref="S107:S112"/>
    <mergeCell ref="U113:U118"/>
    <mergeCell ref="D114:L114"/>
    <mergeCell ref="Q113:Q118"/>
    <mergeCell ref="T107:T112"/>
    <mergeCell ref="O107:O112"/>
    <mergeCell ref="P107:P112"/>
    <mergeCell ref="T113:T118"/>
    <mergeCell ref="D96:L96"/>
    <mergeCell ref="A107:A112"/>
    <mergeCell ref="B107:B112"/>
    <mergeCell ref="C107:C112"/>
    <mergeCell ref="M107:M112"/>
    <mergeCell ref="N107:N112"/>
    <mergeCell ref="C101:C106"/>
    <mergeCell ref="U89:U94"/>
    <mergeCell ref="D90:L90"/>
    <mergeCell ref="A95:A100"/>
    <mergeCell ref="B95:B100"/>
    <mergeCell ref="C95:C100"/>
    <mergeCell ref="M95:M100"/>
    <mergeCell ref="N95:N100"/>
    <mergeCell ref="O95:O100"/>
    <mergeCell ref="P95:P100"/>
    <mergeCell ref="U95:U100"/>
    <mergeCell ref="S83:S88"/>
    <mergeCell ref="T83:T88"/>
    <mergeCell ref="O89:O94"/>
    <mergeCell ref="P89:P94"/>
    <mergeCell ref="Q89:Q94"/>
    <mergeCell ref="R89:R94"/>
    <mergeCell ref="U83:U88"/>
    <mergeCell ref="D84:L84"/>
    <mergeCell ref="A89:A94"/>
    <mergeCell ref="B89:B94"/>
    <mergeCell ref="C89:C94"/>
    <mergeCell ref="M89:M94"/>
    <mergeCell ref="N89:N94"/>
    <mergeCell ref="S89:S94"/>
    <mergeCell ref="T89:T94"/>
    <mergeCell ref="R83:R88"/>
    <mergeCell ref="U70:U75"/>
    <mergeCell ref="D71:L71"/>
    <mergeCell ref="A83:A88"/>
    <mergeCell ref="B83:B88"/>
    <mergeCell ref="C83:C88"/>
    <mergeCell ref="M83:M88"/>
    <mergeCell ref="N83:N88"/>
    <mergeCell ref="O83:O88"/>
    <mergeCell ref="P83:P88"/>
    <mergeCell ref="Q83:Q88"/>
    <mergeCell ref="A70:A75"/>
    <mergeCell ref="B70:B75"/>
    <mergeCell ref="C70:C75"/>
    <mergeCell ref="M70:M75"/>
    <mergeCell ref="N70:N75"/>
    <mergeCell ref="O70:O75"/>
    <mergeCell ref="U63:U68"/>
    <mergeCell ref="A63:A68"/>
    <mergeCell ref="B63:B68"/>
    <mergeCell ref="C63:C68"/>
    <mergeCell ref="M63:M68"/>
    <mergeCell ref="N63:N68"/>
    <mergeCell ref="O63:O68"/>
    <mergeCell ref="D64:L64"/>
    <mergeCell ref="T63:T68"/>
    <mergeCell ref="N51:N56"/>
    <mergeCell ref="O51:O56"/>
    <mergeCell ref="D52:L52"/>
    <mergeCell ref="P51:P56"/>
    <mergeCell ref="A51:A56"/>
    <mergeCell ref="B51:B56"/>
    <mergeCell ref="C51:C56"/>
    <mergeCell ref="M51:M56"/>
    <mergeCell ref="U51:U56"/>
    <mergeCell ref="Q51:Q56"/>
    <mergeCell ref="R51:R56"/>
    <mergeCell ref="S51:S56"/>
    <mergeCell ref="T45:T50"/>
    <mergeCell ref="U45:U50"/>
    <mergeCell ref="T51:T56"/>
    <mergeCell ref="A45:A50"/>
    <mergeCell ref="B45:B50"/>
    <mergeCell ref="C45:C50"/>
    <mergeCell ref="M45:M50"/>
    <mergeCell ref="N45:N50"/>
    <mergeCell ref="O45:O50"/>
    <mergeCell ref="D46:L46"/>
    <mergeCell ref="U39:U44"/>
    <mergeCell ref="A39:A44"/>
    <mergeCell ref="B39:B44"/>
    <mergeCell ref="C39:C44"/>
    <mergeCell ref="M39:M44"/>
    <mergeCell ref="N39:N44"/>
    <mergeCell ref="O39:O44"/>
    <mergeCell ref="D40:L40"/>
    <mergeCell ref="P39:P44"/>
    <mergeCell ref="S33:S38"/>
    <mergeCell ref="T39:T44"/>
    <mergeCell ref="R39:R44"/>
    <mergeCell ref="S39:S44"/>
    <mergeCell ref="T33:T38"/>
    <mergeCell ref="P45:P50"/>
    <mergeCell ref="Q45:Q50"/>
    <mergeCell ref="R45:R50"/>
    <mergeCell ref="S45:S50"/>
    <mergeCell ref="M27:M32"/>
    <mergeCell ref="N27:N32"/>
    <mergeCell ref="U33:U38"/>
    <mergeCell ref="A33:A38"/>
    <mergeCell ref="B33:B38"/>
    <mergeCell ref="C33:C38"/>
    <mergeCell ref="M33:M38"/>
    <mergeCell ref="N33:N38"/>
    <mergeCell ref="O33:O38"/>
    <mergeCell ref="D34:L34"/>
    <mergeCell ref="U8:U13"/>
    <mergeCell ref="D9:L9"/>
    <mergeCell ref="A27:A32"/>
    <mergeCell ref="B27:B32"/>
    <mergeCell ref="C27:C32"/>
    <mergeCell ref="U27:U32"/>
    <mergeCell ref="D28:L28"/>
    <mergeCell ref="U20:U25"/>
    <mergeCell ref="D21:L21"/>
    <mergeCell ref="O20:O25"/>
    <mergeCell ref="A14:A19"/>
    <mergeCell ref="B14:B19"/>
    <mergeCell ref="C14:C19"/>
    <mergeCell ref="M14:M19"/>
    <mergeCell ref="N14:N19"/>
    <mergeCell ref="S14:S19"/>
    <mergeCell ref="D15:L15"/>
    <mergeCell ref="O14:O19"/>
    <mergeCell ref="P14:P19"/>
    <mergeCell ref="Q14:Q19"/>
    <mergeCell ref="B6:U6"/>
    <mergeCell ref="B7:U7"/>
    <mergeCell ref="A8:A13"/>
    <mergeCell ref="B8:B13"/>
    <mergeCell ref="C8:C13"/>
    <mergeCell ref="M8:M13"/>
    <mergeCell ref="N8:N13"/>
    <mergeCell ref="O8:O13"/>
    <mergeCell ref="S8:S13"/>
    <mergeCell ref="T8:T13"/>
    <mergeCell ref="A2:U2"/>
    <mergeCell ref="A3:A4"/>
    <mergeCell ref="B3:B4"/>
    <mergeCell ref="C3:C4"/>
    <mergeCell ref="D3:D4"/>
    <mergeCell ref="E3:L3"/>
    <mergeCell ref="M3:T3"/>
    <mergeCell ref="U3:U4"/>
    <mergeCell ref="Q70:Q75"/>
    <mergeCell ref="R70:R75"/>
    <mergeCell ref="P8:P13"/>
    <mergeCell ref="Q8:Q13"/>
    <mergeCell ref="T14:T19"/>
    <mergeCell ref="R8:R13"/>
    <mergeCell ref="P33:P38"/>
    <mergeCell ref="Q33:Q38"/>
    <mergeCell ref="Q39:Q44"/>
    <mergeCell ref="R33:R38"/>
    <mergeCell ref="U14:U19"/>
    <mergeCell ref="R14:R19"/>
    <mergeCell ref="O27:O32"/>
    <mergeCell ref="P27:P32"/>
    <mergeCell ref="Q27:Q32"/>
    <mergeCell ref="R27:R32"/>
    <mergeCell ref="S27:S32"/>
    <mergeCell ref="T27:T32"/>
    <mergeCell ref="Q20:Q25"/>
    <mergeCell ref="B26:U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6.57421875" style="152" customWidth="1"/>
    <col min="2" max="2" width="36.8515625" style="142" customWidth="1"/>
    <col min="3" max="3" width="7.421875" style="142" customWidth="1"/>
    <col min="4" max="7" width="9.140625" style="142" customWidth="1"/>
    <col min="8" max="8" width="10.421875" style="142" bestFit="1" customWidth="1"/>
    <col min="9" max="11" width="9.140625" style="142" customWidth="1"/>
    <col min="12" max="12" width="10.421875" style="142" bestFit="1" customWidth="1"/>
    <col min="13" max="16384" width="9.140625" style="142" customWidth="1"/>
  </cols>
  <sheetData>
    <row r="1" spans="1:11" s="139" customFormat="1" ht="15">
      <c r="A1" s="136"/>
      <c r="B1" s="137"/>
      <c r="C1" s="137"/>
      <c r="D1" s="137"/>
      <c r="E1" s="137"/>
      <c r="F1" s="137"/>
      <c r="G1" s="137"/>
      <c r="H1" s="137"/>
      <c r="I1" s="138"/>
      <c r="J1" s="138"/>
      <c r="K1" s="7" t="s">
        <v>266</v>
      </c>
    </row>
    <row r="2" spans="1:12" s="140" customFormat="1" ht="36" customHeight="1">
      <c r="A2" s="360" t="s">
        <v>135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4" spans="1:12" ht="15">
      <c r="A4" s="361" t="s">
        <v>156</v>
      </c>
      <c r="B4" s="361" t="s">
        <v>160</v>
      </c>
      <c r="C4" s="361" t="s">
        <v>157</v>
      </c>
      <c r="D4" s="363" t="s">
        <v>159</v>
      </c>
      <c r="E4" s="364"/>
      <c r="F4" s="364"/>
      <c r="G4" s="364"/>
      <c r="H4" s="364"/>
      <c r="I4" s="364"/>
      <c r="J4" s="364"/>
      <c r="K4" s="364"/>
      <c r="L4" s="365"/>
    </row>
    <row r="5" spans="1:12" ht="25.5" customHeight="1">
      <c r="A5" s="361"/>
      <c r="B5" s="361"/>
      <c r="C5" s="361"/>
      <c r="D5" s="362" t="s">
        <v>118</v>
      </c>
      <c r="E5" s="362" t="s">
        <v>119</v>
      </c>
      <c r="F5" s="366" t="s">
        <v>43</v>
      </c>
      <c r="G5" s="367"/>
      <c r="H5" s="367"/>
      <c r="I5" s="367"/>
      <c r="J5" s="367"/>
      <c r="K5" s="367"/>
      <c r="L5" s="368"/>
    </row>
    <row r="6" spans="1:12" ht="15">
      <c r="A6" s="362"/>
      <c r="B6" s="361"/>
      <c r="C6" s="362"/>
      <c r="D6" s="369"/>
      <c r="E6" s="369"/>
      <c r="F6" s="143">
        <v>2014</v>
      </c>
      <c r="G6" s="143">
        <v>2015</v>
      </c>
      <c r="H6" s="143">
        <v>2016</v>
      </c>
      <c r="I6" s="143">
        <v>2017</v>
      </c>
      <c r="J6" s="143">
        <v>2018</v>
      </c>
      <c r="K6" s="143">
        <v>2019</v>
      </c>
      <c r="L6" s="143">
        <v>2020</v>
      </c>
    </row>
    <row r="7" spans="1:12" s="144" customFormat="1" ht="15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</row>
    <row r="8" spans="1:12" s="145" customFormat="1" ht="15">
      <c r="A8" s="141"/>
      <c r="B8" s="359" t="s">
        <v>265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pans="1:12" ht="60">
      <c r="A9" s="141">
        <v>1</v>
      </c>
      <c r="B9" s="214" t="s">
        <v>353</v>
      </c>
      <c r="C9" s="146" t="s">
        <v>158</v>
      </c>
      <c r="D9" s="146">
        <v>28.9</v>
      </c>
      <c r="E9" s="146">
        <v>14</v>
      </c>
      <c r="F9" s="146">
        <v>26.9</v>
      </c>
      <c r="G9" s="209">
        <v>30</v>
      </c>
      <c r="H9" s="209">
        <v>30</v>
      </c>
      <c r="I9" s="209">
        <v>30</v>
      </c>
      <c r="J9" s="209">
        <v>30</v>
      </c>
      <c r="K9" s="209">
        <v>30</v>
      </c>
      <c r="L9" s="209">
        <v>30</v>
      </c>
    </row>
    <row r="10" spans="1:12" ht="75">
      <c r="A10" s="141">
        <v>2</v>
      </c>
      <c r="B10" s="214" t="s">
        <v>326</v>
      </c>
      <c r="C10" s="146" t="s">
        <v>158</v>
      </c>
      <c r="D10" s="146">
        <v>80.3</v>
      </c>
      <c r="E10" s="146">
        <v>87.9</v>
      </c>
      <c r="F10" s="211">
        <v>90</v>
      </c>
      <c r="G10" s="211">
        <v>95</v>
      </c>
      <c r="H10" s="211">
        <v>97</v>
      </c>
      <c r="I10" s="211">
        <v>98</v>
      </c>
      <c r="J10" s="211">
        <v>99</v>
      </c>
      <c r="K10" s="211">
        <v>100</v>
      </c>
      <c r="L10" s="211">
        <v>100</v>
      </c>
    </row>
    <row r="11" spans="1:12" ht="60">
      <c r="A11" s="141">
        <v>3</v>
      </c>
      <c r="B11" s="214" t="s">
        <v>354</v>
      </c>
      <c r="C11" s="146" t="s">
        <v>158</v>
      </c>
      <c r="D11" s="146">
        <v>20</v>
      </c>
      <c r="E11" s="146">
        <v>46</v>
      </c>
      <c r="F11" s="141">
        <v>47</v>
      </c>
      <c r="G11" s="141">
        <v>50</v>
      </c>
      <c r="H11" s="141">
        <v>50</v>
      </c>
      <c r="I11" s="141">
        <v>50</v>
      </c>
      <c r="J11" s="141">
        <v>50</v>
      </c>
      <c r="K11" s="141">
        <v>50</v>
      </c>
      <c r="L11" s="141">
        <v>50</v>
      </c>
    </row>
    <row r="12" spans="1:12" s="145" customFormat="1" ht="15">
      <c r="A12" s="141"/>
      <c r="B12" s="359" t="s">
        <v>321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2" s="150" customFormat="1" ht="90">
      <c r="A13" s="147" t="s">
        <v>192</v>
      </c>
      <c r="B13" s="148" t="s">
        <v>324</v>
      </c>
      <c r="C13" s="149" t="s">
        <v>325</v>
      </c>
      <c r="D13" s="149">
        <v>1</v>
      </c>
      <c r="E13" s="149">
        <v>1</v>
      </c>
      <c r="F13" s="149">
        <v>1</v>
      </c>
      <c r="G13" s="149">
        <v>1</v>
      </c>
      <c r="H13" s="149">
        <v>1</v>
      </c>
      <c r="I13" s="149">
        <v>1</v>
      </c>
      <c r="J13" s="149">
        <v>1</v>
      </c>
      <c r="K13" s="149">
        <v>1</v>
      </c>
      <c r="L13" s="149">
        <v>1</v>
      </c>
    </row>
    <row r="14" ht="15">
      <c r="A14" s="151"/>
    </row>
    <row r="15" spans="1:2" ht="15">
      <c r="A15" s="151"/>
      <c r="B15" s="215"/>
    </row>
  </sheetData>
  <sheetProtection/>
  <mergeCells count="10">
    <mergeCell ref="B8:L8"/>
    <mergeCell ref="B12:L12"/>
    <mergeCell ref="A2:L2"/>
    <mergeCell ref="A4:A6"/>
    <mergeCell ref="B4:B6"/>
    <mergeCell ref="C4:C6"/>
    <mergeCell ref="D4:L4"/>
    <mergeCell ref="F5:L5"/>
    <mergeCell ref="E5:E6"/>
    <mergeCell ref="D5:D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115" zoomScalePageLayoutView="0" workbookViewId="0" topLeftCell="A1">
      <selection activeCell="D17" sqref="D17"/>
    </sheetView>
  </sheetViews>
  <sheetFormatPr defaultColWidth="9.140625" defaultRowHeight="15"/>
  <cols>
    <col min="1" max="1" width="35.421875" style="59" customWidth="1"/>
    <col min="2" max="2" width="18.28125" style="59" customWidth="1"/>
    <col min="3" max="3" width="15.421875" style="59" customWidth="1"/>
    <col min="4" max="4" width="15.8515625" style="59" customWidth="1"/>
    <col min="5" max="5" width="12.7109375" style="59" customWidth="1"/>
    <col min="6" max="9" width="12.28125" style="59" bestFit="1" customWidth="1"/>
    <col min="10" max="16384" width="9.140625" style="59" customWidth="1"/>
  </cols>
  <sheetData>
    <row r="1" spans="5:10" ht="18.75" customHeight="1">
      <c r="E1" s="60"/>
      <c r="G1" s="61"/>
      <c r="H1" s="61"/>
      <c r="I1" s="54" t="s">
        <v>267</v>
      </c>
      <c r="J1" s="61"/>
    </row>
    <row r="3" spans="1:9" ht="36.75" customHeight="1">
      <c r="A3" s="244" t="s">
        <v>136</v>
      </c>
      <c r="B3" s="244"/>
      <c r="C3" s="244"/>
      <c r="D3" s="244"/>
      <c r="E3" s="244"/>
      <c r="F3" s="244"/>
      <c r="G3" s="244"/>
      <c r="H3" s="244"/>
      <c r="I3" s="244"/>
    </row>
    <row r="4" spans="1:9" ht="30" customHeight="1">
      <c r="A4" s="233" t="s">
        <v>163</v>
      </c>
      <c r="B4" s="235" t="s">
        <v>164</v>
      </c>
      <c r="C4" s="237" t="s">
        <v>165</v>
      </c>
      <c r="D4" s="237"/>
      <c r="E4" s="237"/>
      <c r="F4" s="237"/>
      <c r="G4" s="237"/>
      <c r="H4" s="237"/>
      <c r="I4" s="237"/>
    </row>
    <row r="5" spans="1:9" ht="16.5" customHeight="1">
      <c r="A5" s="234"/>
      <c r="B5" s="236"/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12">
        <v>2020</v>
      </c>
    </row>
    <row r="6" spans="1:9" ht="16.5" customHeight="1">
      <c r="A6" s="133">
        <v>1</v>
      </c>
      <c r="B6" s="134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53">
        <v>9</v>
      </c>
    </row>
    <row r="7" spans="1:9" ht="19.5" customHeight="1">
      <c r="A7" s="62" t="s">
        <v>137</v>
      </c>
      <c r="B7" s="63">
        <f>B9+B10+B11+B12</f>
        <v>167133517.68</v>
      </c>
      <c r="C7" s="63">
        <f aca="true" t="shared" si="0" ref="C7:I7">C9+C10+C11+C12</f>
        <v>23456977</v>
      </c>
      <c r="D7" s="63">
        <f t="shared" si="0"/>
        <v>22429933.68</v>
      </c>
      <c r="E7" s="63">
        <f t="shared" si="0"/>
        <v>24040163</v>
      </c>
      <c r="F7" s="63">
        <f t="shared" si="0"/>
        <v>24301611</v>
      </c>
      <c r="G7" s="63">
        <f t="shared" si="0"/>
        <v>24301611</v>
      </c>
      <c r="H7" s="63">
        <f t="shared" si="0"/>
        <v>24301611</v>
      </c>
      <c r="I7" s="63">
        <f t="shared" si="0"/>
        <v>24301611</v>
      </c>
    </row>
    <row r="8" spans="1:9" ht="16.5" customHeight="1">
      <c r="A8" s="316" t="s">
        <v>166</v>
      </c>
      <c r="B8" s="317"/>
      <c r="C8" s="317"/>
      <c r="D8" s="317"/>
      <c r="E8" s="317"/>
      <c r="F8" s="317"/>
      <c r="G8" s="317"/>
      <c r="H8" s="317"/>
      <c r="I8" s="318"/>
    </row>
    <row r="9" spans="1:9" ht="16.5" customHeight="1">
      <c r="A9" s="14" t="s">
        <v>167</v>
      </c>
      <c r="B9" s="63">
        <f>C9+D9+E9+F9+G9+H9+I9</f>
        <v>166701517.68</v>
      </c>
      <c r="C9" s="16">
        <f>C16</f>
        <v>23399977</v>
      </c>
      <c r="D9" s="16">
        <f aca="true" t="shared" si="1" ref="D9:I9">D16</f>
        <v>22369933.68</v>
      </c>
      <c r="E9" s="16">
        <f t="shared" si="1"/>
        <v>23977163</v>
      </c>
      <c r="F9" s="16">
        <f t="shared" si="1"/>
        <v>24238611</v>
      </c>
      <c r="G9" s="16">
        <f t="shared" si="1"/>
        <v>24238611</v>
      </c>
      <c r="H9" s="16">
        <f t="shared" si="1"/>
        <v>24238611</v>
      </c>
      <c r="I9" s="16">
        <f t="shared" si="1"/>
        <v>24238611</v>
      </c>
    </row>
    <row r="10" spans="1:9" ht="16.5" customHeight="1">
      <c r="A10" s="14" t="s">
        <v>47</v>
      </c>
      <c r="B10" s="63">
        <f>C10+D10+E10+F10+G10+H10+I10</f>
        <v>0</v>
      </c>
      <c r="C10" s="16">
        <f aca="true" t="shared" si="2" ref="C10:I12">C17</f>
        <v>0</v>
      </c>
      <c r="D10" s="16">
        <f t="shared" si="2"/>
        <v>0</v>
      </c>
      <c r="E10" s="16">
        <f t="shared" si="2"/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</row>
    <row r="11" spans="1:9" ht="16.5" customHeight="1">
      <c r="A11" s="14" t="s">
        <v>48</v>
      </c>
      <c r="B11" s="63">
        <f>C11+D11+E11+F11+G11+H11+I11</f>
        <v>0</v>
      </c>
      <c r="C11" s="16">
        <f t="shared" si="2"/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</row>
    <row r="12" spans="1:9" ht="16.5" customHeight="1">
      <c r="A12" s="14" t="s">
        <v>170</v>
      </c>
      <c r="B12" s="63">
        <f>C12+D12+E12+F12+G12+H12+I12</f>
        <v>432000</v>
      </c>
      <c r="C12" s="16">
        <f t="shared" si="2"/>
        <v>57000</v>
      </c>
      <c r="D12" s="16">
        <f t="shared" si="2"/>
        <v>60000</v>
      </c>
      <c r="E12" s="16">
        <f t="shared" si="2"/>
        <v>63000</v>
      </c>
      <c r="F12" s="16">
        <f t="shared" si="2"/>
        <v>63000</v>
      </c>
      <c r="G12" s="16">
        <f t="shared" si="2"/>
        <v>63000</v>
      </c>
      <c r="H12" s="16">
        <f t="shared" si="2"/>
        <v>63000</v>
      </c>
      <c r="I12" s="16">
        <f t="shared" si="2"/>
        <v>63000</v>
      </c>
    </row>
    <row r="13" spans="1:9" ht="16.5" customHeight="1">
      <c r="A13" s="241" t="s">
        <v>171</v>
      </c>
      <c r="B13" s="242"/>
      <c r="C13" s="242"/>
      <c r="D13" s="242"/>
      <c r="E13" s="242"/>
      <c r="F13" s="242"/>
      <c r="G13" s="242"/>
      <c r="H13" s="242"/>
      <c r="I13" s="243"/>
    </row>
    <row r="14" spans="1:9" ht="39.75" customHeight="1">
      <c r="A14" s="64" t="s">
        <v>178</v>
      </c>
      <c r="B14" s="63">
        <f>B16+B17+B18+B19</f>
        <v>167133517.68</v>
      </c>
      <c r="C14" s="63">
        <f>C16+C17+C18+C19</f>
        <v>23456977</v>
      </c>
      <c r="D14" s="63">
        <f aca="true" t="shared" si="3" ref="D14:I14">D16+D17+D18+D19</f>
        <v>22429933.68</v>
      </c>
      <c r="E14" s="63">
        <f t="shared" si="3"/>
        <v>24040163</v>
      </c>
      <c r="F14" s="63">
        <f t="shared" si="3"/>
        <v>24301611</v>
      </c>
      <c r="G14" s="63">
        <f t="shared" si="3"/>
        <v>24301611</v>
      </c>
      <c r="H14" s="63">
        <f t="shared" si="3"/>
        <v>24301611</v>
      </c>
      <c r="I14" s="63">
        <f t="shared" si="3"/>
        <v>24301611</v>
      </c>
    </row>
    <row r="15" spans="1:9" ht="16.5" customHeight="1">
      <c r="A15" s="316" t="s">
        <v>166</v>
      </c>
      <c r="B15" s="317"/>
      <c r="C15" s="317"/>
      <c r="D15" s="317"/>
      <c r="E15" s="317"/>
      <c r="F15" s="317"/>
      <c r="G15" s="317"/>
      <c r="H15" s="317"/>
      <c r="I15" s="318"/>
    </row>
    <row r="16" spans="1:9" ht="16.5" customHeight="1">
      <c r="A16" s="14" t="s">
        <v>167</v>
      </c>
      <c r="B16" s="63">
        <f>C16+D16+E16+F16+G16+H16+I16</f>
        <v>166701517.68</v>
      </c>
      <c r="C16" s="16">
        <f>'таб 3(4)'!F34</f>
        <v>23399977</v>
      </c>
      <c r="D16" s="16">
        <f>+'таб 3(4)'!G40</f>
        <v>22369933.68</v>
      </c>
      <c r="E16" s="16">
        <v>23977163</v>
      </c>
      <c r="F16" s="16">
        <v>24238611</v>
      </c>
      <c r="G16" s="16">
        <v>24238611</v>
      </c>
      <c r="H16" s="16">
        <v>24238611</v>
      </c>
      <c r="I16" s="16">
        <v>24238611</v>
      </c>
    </row>
    <row r="17" spans="1:9" ht="16.5" customHeight="1">
      <c r="A17" s="14" t="s">
        <v>47</v>
      </c>
      <c r="B17" s="63">
        <f>C17+D17+E17+F17+G17+H17+I17</f>
        <v>0</v>
      </c>
      <c r="C17" s="16">
        <f aca="true" t="shared" si="4" ref="C17:I18">C24</f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</row>
    <row r="18" spans="1:9" ht="16.5" customHeight="1">
      <c r="A18" s="14" t="s">
        <v>48</v>
      </c>
      <c r="B18" s="63">
        <f>C18+D18+E18+F18+G18+H18+I18</f>
        <v>0</v>
      </c>
      <c r="C18" s="16">
        <f t="shared" si="4"/>
        <v>0</v>
      </c>
      <c r="D18" s="16">
        <f t="shared" si="4"/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ht="16.5" customHeight="1">
      <c r="A19" s="14" t="s">
        <v>170</v>
      </c>
      <c r="B19" s="63">
        <f>C19+D19+E19+F19+G19+H19+I19</f>
        <v>432000</v>
      </c>
      <c r="C19" s="16">
        <v>57000</v>
      </c>
      <c r="D19" s="16">
        <v>60000</v>
      </c>
      <c r="E19" s="16">
        <v>63000</v>
      </c>
      <c r="F19" s="16">
        <v>63000</v>
      </c>
      <c r="G19" s="16">
        <v>63000</v>
      </c>
      <c r="H19" s="16">
        <v>63000</v>
      </c>
      <c r="I19" s="16">
        <v>63000</v>
      </c>
    </row>
    <row r="20" spans="1:9" ht="25.5">
      <c r="A20" s="19" t="s">
        <v>172</v>
      </c>
      <c r="B20" s="63">
        <f>C20+D20+E20+F20+G20+H20+I20</f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1811023622047245" right="0.11811023622047245" top="0.11811023622047245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:G16384"/>
    </sheetView>
  </sheetViews>
  <sheetFormatPr defaultColWidth="9.140625" defaultRowHeight="15"/>
  <cols>
    <col min="1" max="1" width="6.140625" style="82" bestFit="1" customWidth="1"/>
    <col min="2" max="2" width="48.421875" style="82" customWidth="1"/>
    <col min="3" max="3" width="10.8515625" style="82" customWidth="1"/>
    <col min="4" max="4" width="10.00390625" style="82" customWidth="1"/>
    <col min="5" max="5" width="14.00390625" style="82" customWidth="1"/>
    <col min="6" max="6" width="12.8515625" style="82" customWidth="1"/>
    <col min="7" max="12" width="12.8515625" style="82" bestFit="1" customWidth="1"/>
    <col min="13" max="13" width="25.421875" style="82" customWidth="1"/>
    <col min="14" max="20" width="4.421875" style="82" bestFit="1" customWidth="1"/>
    <col min="21" max="21" width="16.00390625" style="82" customWidth="1"/>
    <col min="22" max="16384" width="9.140625" style="82" customWidth="1"/>
  </cols>
  <sheetData>
    <row r="1" spans="20:21" s="52" customFormat="1" ht="12.75">
      <c r="T1" s="61"/>
      <c r="U1" s="61" t="s">
        <v>268</v>
      </c>
    </row>
    <row r="2" spans="1:21" s="52" customFormat="1" ht="47.25" customHeight="1">
      <c r="A2" s="300" t="s">
        <v>138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31.5" customHeight="1">
      <c r="A3" s="296" t="s">
        <v>161</v>
      </c>
      <c r="B3" s="237" t="s">
        <v>173</v>
      </c>
      <c r="C3" s="237" t="s">
        <v>174</v>
      </c>
      <c r="D3" s="237" t="s">
        <v>163</v>
      </c>
      <c r="E3" s="237" t="s">
        <v>175</v>
      </c>
      <c r="F3" s="237"/>
      <c r="G3" s="237"/>
      <c r="H3" s="237"/>
      <c r="I3" s="237"/>
      <c r="J3" s="237"/>
      <c r="K3" s="237"/>
      <c r="L3" s="237"/>
      <c r="M3" s="296" t="s">
        <v>64</v>
      </c>
      <c r="N3" s="296"/>
      <c r="O3" s="296"/>
      <c r="P3" s="296"/>
      <c r="Q3" s="296"/>
      <c r="R3" s="296"/>
      <c r="S3" s="296"/>
      <c r="T3" s="296"/>
      <c r="U3" s="294" t="s">
        <v>176</v>
      </c>
    </row>
    <row r="4" spans="1:21" ht="33" customHeight="1">
      <c r="A4" s="296"/>
      <c r="B4" s="237"/>
      <c r="C4" s="237"/>
      <c r="D4" s="237"/>
      <c r="E4" s="83" t="s">
        <v>152</v>
      </c>
      <c r="F4" s="177" t="s">
        <v>141</v>
      </c>
      <c r="G4" s="177" t="s">
        <v>142</v>
      </c>
      <c r="H4" s="177" t="s">
        <v>143</v>
      </c>
      <c r="I4" s="177" t="s">
        <v>144</v>
      </c>
      <c r="J4" s="177" t="s">
        <v>145</v>
      </c>
      <c r="K4" s="177" t="s">
        <v>146</v>
      </c>
      <c r="L4" s="177" t="s">
        <v>147</v>
      </c>
      <c r="M4" s="12" t="s">
        <v>162</v>
      </c>
      <c r="N4" s="177" t="s">
        <v>141</v>
      </c>
      <c r="O4" s="177" t="s">
        <v>142</v>
      </c>
      <c r="P4" s="177" t="s">
        <v>143</v>
      </c>
      <c r="Q4" s="177" t="s">
        <v>144</v>
      </c>
      <c r="R4" s="177" t="s">
        <v>145</v>
      </c>
      <c r="S4" s="177" t="s">
        <v>146</v>
      </c>
      <c r="T4" s="177" t="s">
        <v>147</v>
      </c>
      <c r="U4" s="295"/>
    </row>
    <row r="5" spans="1:21" ht="12.7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</row>
    <row r="6" spans="1:21" ht="12.75">
      <c r="A6" s="84"/>
      <c r="B6" s="288" t="s">
        <v>269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21" ht="12.75">
      <c r="A7" s="84">
        <v>1</v>
      </c>
      <c r="B7" s="288" t="s">
        <v>321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6.5" customHeight="1">
      <c r="A8" s="286" t="s">
        <v>192</v>
      </c>
      <c r="B8" s="353" t="s">
        <v>322</v>
      </c>
      <c r="C8" s="277" t="s">
        <v>132</v>
      </c>
      <c r="D8" s="85" t="s">
        <v>152</v>
      </c>
      <c r="E8" s="86">
        <f>E10+E11+E12+E13</f>
        <v>162491229.16</v>
      </c>
      <c r="F8" s="86">
        <f aca="true" t="shared" si="0" ref="F8:L8">F10+F11+F12+F13</f>
        <v>22989063</v>
      </c>
      <c r="G8" s="86">
        <f t="shared" si="0"/>
        <v>21802529.16</v>
      </c>
      <c r="H8" s="86">
        <f t="shared" si="0"/>
        <v>23351393</v>
      </c>
      <c r="I8" s="86">
        <f t="shared" si="0"/>
        <v>23587061</v>
      </c>
      <c r="J8" s="86">
        <f t="shared" si="0"/>
        <v>23587061</v>
      </c>
      <c r="K8" s="86">
        <f t="shared" si="0"/>
        <v>23587061</v>
      </c>
      <c r="L8" s="86">
        <f t="shared" si="0"/>
        <v>23587061</v>
      </c>
      <c r="M8" s="324" t="s">
        <v>7</v>
      </c>
      <c r="N8" s="372">
        <v>35</v>
      </c>
      <c r="O8" s="372">
        <v>35</v>
      </c>
      <c r="P8" s="372">
        <v>35</v>
      </c>
      <c r="Q8" s="372">
        <v>35</v>
      </c>
      <c r="R8" s="372">
        <v>35</v>
      </c>
      <c r="S8" s="372">
        <v>35</v>
      </c>
      <c r="T8" s="372">
        <v>35</v>
      </c>
      <c r="U8" s="324" t="s">
        <v>99</v>
      </c>
    </row>
    <row r="9" spans="1:21" ht="16.5" customHeight="1">
      <c r="A9" s="286"/>
      <c r="B9" s="354"/>
      <c r="C9" s="278"/>
      <c r="D9" s="283" t="s">
        <v>177</v>
      </c>
      <c r="E9" s="284"/>
      <c r="F9" s="284"/>
      <c r="G9" s="284"/>
      <c r="H9" s="284"/>
      <c r="I9" s="284"/>
      <c r="J9" s="284"/>
      <c r="K9" s="284"/>
      <c r="L9" s="285"/>
      <c r="M9" s="370"/>
      <c r="N9" s="373"/>
      <c r="O9" s="373"/>
      <c r="P9" s="373"/>
      <c r="Q9" s="373"/>
      <c r="R9" s="373"/>
      <c r="S9" s="373"/>
      <c r="T9" s="373"/>
      <c r="U9" s="325"/>
    </row>
    <row r="10" spans="1:21" ht="12.75">
      <c r="A10" s="286"/>
      <c r="B10" s="354"/>
      <c r="C10" s="278"/>
      <c r="D10" s="87" t="s">
        <v>150</v>
      </c>
      <c r="E10" s="88">
        <f>F10+G10+H10+I10+J10+K10+L10</f>
        <v>162491229.16</v>
      </c>
      <c r="F10" s="88">
        <f>23429063-440000</f>
        <v>22989063</v>
      </c>
      <c r="G10" s="88">
        <f>23106624-1228579.22+0.38-75516</f>
        <v>21802529.16</v>
      </c>
      <c r="H10" s="88">
        <v>23351393</v>
      </c>
      <c r="I10" s="88">
        <v>23587061</v>
      </c>
      <c r="J10" s="88">
        <v>23587061</v>
      </c>
      <c r="K10" s="88">
        <v>23587061</v>
      </c>
      <c r="L10" s="88">
        <v>23587061</v>
      </c>
      <c r="M10" s="370"/>
      <c r="N10" s="373"/>
      <c r="O10" s="373"/>
      <c r="P10" s="373"/>
      <c r="Q10" s="373"/>
      <c r="R10" s="373"/>
      <c r="S10" s="373"/>
      <c r="T10" s="373"/>
      <c r="U10" s="325"/>
    </row>
    <row r="11" spans="1:21" ht="12.75">
      <c r="A11" s="286"/>
      <c r="B11" s="354"/>
      <c r="C11" s="278"/>
      <c r="D11" s="87" t="s">
        <v>148</v>
      </c>
      <c r="E11" s="88">
        <f>F11+G11+H11+I11+J11+K11+L11</f>
        <v>0</v>
      </c>
      <c r="F11" s="88"/>
      <c r="G11" s="88"/>
      <c r="H11" s="88"/>
      <c r="I11" s="88"/>
      <c r="J11" s="88"/>
      <c r="K11" s="88"/>
      <c r="L11" s="88"/>
      <c r="M11" s="370"/>
      <c r="N11" s="373"/>
      <c r="O11" s="373"/>
      <c r="P11" s="373"/>
      <c r="Q11" s="373"/>
      <c r="R11" s="373"/>
      <c r="S11" s="373"/>
      <c r="T11" s="373"/>
      <c r="U11" s="325"/>
    </row>
    <row r="12" spans="1:21" ht="12.75" customHeight="1">
      <c r="A12" s="286"/>
      <c r="B12" s="354"/>
      <c r="C12" s="278"/>
      <c r="D12" s="87" t="s">
        <v>149</v>
      </c>
      <c r="E12" s="88">
        <f>F12+G12+H12+I12+J12+K12+L12</f>
        <v>0</v>
      </c>
      <c r="F12" s="88"/>
      <c r="G12" s="88"/>
      <c r="H12" s="88"/>
      <c r="I12" s="88"/>
      <c r="J12" s="88"/>
      <c r="K12" s="88"/>
      <c r="L12" s="88"/>
      <c r="M12" s="370"/>
      <c r="N12" s="373"/>
      <c r="O12" s="373"/>
      <c r="P12" s="373"/>
      <c r="Q12" s="373"/>
      <c r="R12" s="373"/>
      <c r="S12" s="373"/>
      <c r="T12" s="373"/>
      <c r="U12" s="325"/>
    </row>
    <row r="13" spans="1:21" ht="25.5" customHeight="1">
      <c r="A13" s="286"/>
      <c r="B13" s="355"/>
      <c r="C13" s="279"/>
      <c r="D13" s="87" t="s">
        <v>151</v>
      </c>
      <c r="E13" s="88">
        <f>F13+G13+H13+I13+J13+K13+L13</f>
        <v>0</v>
      </c>
      <c r="F13" s="88"/>
      <c r="G13" s="88"/>
      <c r="H13" s="88"/>
      <c r="I13" s="88"/>
      <c r="J13" s="88"/>
      <c r="K13" s="88"/>
      <c r="L13" s="88"/>
      <c r="M13" s="371"/>
      <c r="N13" s="374"/>
      <c r="O13" s="374"/>
      <c r="P13" s="374"/>
      <c r="Q13" s="374"/>
      <c r="R13" s="374"/>
      <c r="S13" s="374"/>
      <c r="T13" s="374"/>
      <c r="U13" s="326"/>
    </row>
    <row r="14" spans="1:21" ht="24" customHeight="1">
      <c r="A14" s="286" t="s">
        <v>193</v>
      </c>
      <c r="B14" s="353" t="s">
        <v>323</v>
      </c>
      <c r="C14" s="277" t="s">
        <v>132</v>
      </c>
      <c r="D14" s="85" t="s">
        <v>152</v>
      </c>
      <c r="E14" s="86">
        <f>E16+E17+E18+E19</f>
        <v>3415963.52</v>
      </c>
      <c r="F14" s="86">
        <f aca="true" t="shared" si="1" ref="F14:L14">F16+F17+F18+F19</f>
        <v>410914</v>
      </c>
      <c r="G14" s="86">
        <f t="shared" si="1"/>
        <v>440579.52</v>
      </c>
      <c r="H14" s="86">
        <f t="shared" si="1"/>
        <v>492270</v>
      </c>
      <c r="I14" s="86">
        <f t="shared" si="1"/>
        <v>518050</v>
      </c>
      <c r="J14" s="86">
        <f t="shared" si="1"/>
        <v>518050</v>
      </c>
      <c r="K14" s="86">
        <f t="shared" si="1"/>
        <v>518050</v>
      </c>
      <c r="L14" s="86">
        <f t="shared" si="1"/>
        <v>518050</v>
      </c>
      <c r="M14" s="324" t="s">
        <v>12</v>
      </c>
      <c r="N14" s="272">
        <v>1</v>
      </c>
      <c r="O14" s="272">
        <v>1</v>
      </c>
      <c r="P14" s="272">
        <v>1</v>
      </c>
      <c r="Q14" s="272">
        <v>1</v>
      </c>
      <c r="R14" s="272">
        <v>1</v>
      </c>
      <c r="S14" s="272">
        <v>1</v>
      </c>
      <c r="T14" s="272">
        <v>1</v>
      </c>
      <c r="U14" s="324" t="s">
        <v>99</v>
      </c>
    </row>
    <row r="15" spans="1:21" ht="16.5" customHeight="1">
      <c r="A15" s="286"/>
      <c r="B15" s="354"/>
      <c r="C15" s="278"/>
      <c r="D15" s="283" t="s">
        <v>177</v>
      </c>
      <c r="E15" s="284"/>
      <c r="F15" s="284"/>
      <c r="G15" s="284"/>
      <c r="H15" s="284"/>
      <c r="I15" s="284"/>
      <c r="J15" s="284"/>
      <c r="K15" s="284"/>
      <c r="L15" s="285"/>
      <c r="M15" s="325"/>
      <c r="N15" s="273"/>
      <c r="O15" s="273"/>
      <c r="P15" s="273"/>
      <c r="Q15" s="273"/>
      <c r="R15" s="273"/>
      <c r="S15" s="273"/>
      <c r="T15" s="273"/>
      <c r="U15" s="325"/>
    </row>
    <row r="16" spans="1:21" ht="18" customHeight="1">
      <c r="A16" s="286"/>
      <c r="B16" s="354"/>
      <c r="C16" s="278"/>
      <c r="D16" s="87" t="s">
        <v>150</v>
      </c>
      <c r="E16" s="88">
        <f>F16+G16+H16+I16+J16+K16+L16</f>
        <v>3415963.52</v>
      </c>
      <c r="F16" s="88">
        <v>410914</v>
      </c>
      <c r="G16" s="88">
        <f>465321-24741.1-0.38</f>
        <v>440579.52</v>
      </c>
      <c r="H16" s="88">
        <v>492270</v>
      </c>
      <c r="I16" s="88">
        <v>518050</v>
      </c>
      <c r="J16" s="88">
        <v>518050</v>
      </c>
      <c r="K16" s="88">
        <v>518050</v>
      </c>
      <c r="L16" s="88">
        <v>518050</v>
      </c>
      <c r="M16" s="325"/>
      <c r="N16" s="273"/>
      <c r="O16" s="273"/>
      <c r="P16" s="273"/>
      <c r="Q16" s="273"/>
      <c r="R16" s="273"/>
      <c r="S16" s="273"/>
      <c r="T16" s="273"/>
      <c r="U16" s="325"/>
    </row>
    <row r="17" spans="1:21" ht="12.75" customHeight="1">
      <c r="A17" s="286"/>
      <c r="B17" s="354"/>
      <c r="C17" s="278"/>
      <c r="D17" s="87" t="s">
        <v>148</v>
      </c>
      <c r="E17" s="88">
        <f>F17+G17+H17+I17+J17+K17+L17</f>
        <v>0</v>
      </c>
      <c r="F17" s="88"/>
      <c r="G17" s="88"/>
      <c r="H17" s="88"/>
      <c r="I17" s="88"/>
      <c r="J17" s="88"/>
      <c r="K17" s="88"/>
      <c r="L17" s="88"/>
      <c r="M17" s="325"/>
      <c r="N17" s="273"/>
      <c r="O17" s="273"/>
      <c r="P17" s="273"/>
      <c r="Q17" s="273"/>
      <c r="R17" s="273"/>
      <c r="S17" s="273"/>
      <c r="T17" s="273"/>
      <c r="U17" s="325"/>
    </row>
    <row r="18" spans="1:21" ht="12.75" customHeight="1">
      <c r="A18" s="286"/>
      <c r="B18" s="354"/>
      <c r="C18" s="278"/>
      <c r="D18" s="87" t="s">
        <v>149</v>
      </c>
      <c r="E18" s="88">
        <f>F18+G18+H18+I18+J18+K18+L18</f>
        <v>0</v>
      </c>
      <c r="F18" s="88"/>
      <c r="G18" s="88"/>
      <c r="H18" s="88"/>
      <c r="I18" s="88"/>
      <c r="J18" s="88"/>
      <c r="K18" s="88"/>
      <c r="L18" s="88"/>
      <c r="M18" s="325"/>
      <c r="N18" s="273"/>
      <c r="O18" s="273"/>
      <c r="P18" s="273"/>
      <c r="Q18" s="273"/>
      <c r="R18" s="273"/>
      <c r="S18" s="273"/>
      <c r="T18" s="273"/>
      <c r="U18" s="325"/>
    </row>
    <row r="19" spans="1:21" ht="24" customHeight="1">
      <c r="A19" s="286"/>
      <c r="B19" s="355"/>
      <c r="C19" s="279"/>
      <c r="D19" s="87" t="s">
        <v>151</v>
      </c>
      <c r="E19" s="88">
        <f>F19+G19+H19+I19+J19+K19+L19</f>
        <v>0</v>
      </c>
      <c r="F19" s="88"/>
      <c r="G19" s="88"/>
      <c r="H19" s="88"/>
      <c r="I19" s="88"/>
      <c r="J19" s="88"/>
      <c r="K19" s="88"/>
      <c r="L19" s="88"/>
      <c r="M19" s="326"/>
      <c r="N19" s="276"/>
      <c r="O19" s="276"/>
      <c r="P19" s="276"/>
      <c r="Q19" s="276"/>
      <c r="R19" s="276"/>
      <c r="S19" s="276"/>
      <c r="T19" s="276"/>
      <c r="U19" s="326"/>
    </row>
    <row r="20" spans="1:21" ht="19.5" customHeight="1">
      <c r="A20" s="375" t="s">
        <v>155</v>
      </c>
      <c r="B20" s="287" t="s">
        <v>315</v>
      </c>
      <c r="C20" s="277" t="s">
        <v>132</v>
      </c>
      <c r="D20" s="85" t="s">
        <v>152</v>
      </c>
      <c r="E20" s="86">
        <f>E22+E23+E24+E25</f>
        <v>794325</v>
      </c>
      <c r="F20" s="86">
        <f aca="true" t="shared" si="2" ref="F20:L20">F22+F23+F24+F25</f>
        <v>0</v>
      </c>
      <c r="G20" s="86">
        <f t="shared" si="2"/>
        <v>126825</v>
      </c>
      <c r="H20" s="86">
        <f t="shared" si="2"/>
        <v>133500</v>
      </c>
      <c r="I20" s="86">
        <f t="shared" si="2"/>
        <v>133500</v>
      </c>
      <c r="J20" s="86">
        <f t="shared" si="2"/>
        <v>133500</v>
      </c>
      <c r="K20" s="86">
        <f t="shared" si="2"/>
        <v>133500</v>
      </c>
      <c r="L20" s="86">
        <f t="shared" si="2"/>
        <v>133500</v>
      </c>
      <c r="M20" s="324" t="s">
        <v>338</v>
      </c>
      <c r="N20" s="272">
        <v>1</v>
      </c>
      <c r="O20" s="272">
        <v>1</v>
      </c>
      <c r="P20" s="272">
        <v>1</v>
      </c>
      <c r="Q20" s="272">
        <v>1</v>
      </c>
      <c r="R20" s="272">
        <v>1</v>
      </c>
      <c r="S20" s="272">
        <v>1</v>
      </c>
      <c r="T20" s="272">
        <v>1</v>
      </c>
      <c r="U20" s="324" t="s">
        <v>99</v>
      </c>
    </row>
    <row r="21" spans="1:21" ht="16.5" customHeight="1">
      <c r="A21" s="375"/>
      <c r="B21" s="287"/>
      <c r="C21" s="278"/>
      <c r="D21" s="283" t="s">
        <v>177</v>
      </c>
      <c r="E21" s="284"/>
      <c r="F21" s="284"/>
      <c r="G21" s="284"/>
      <c r="H21" s="284"/>
      <c r="I21" s="284"/>
      <c r="J21" s="284"/>
      <c r="K21" s="284"/>
      <c r="L21" s="285"/>
      <c r="M21" s="325"/>
      <c r="N21" s="273"/>
      <c r="O21" s="273"/>
      <c r="P21" s="273"/>
      <c r="Q21" s="273"/>
      <c r="R21" s="273"/>
      <c r="S21" s="273"/>
      <c r="T21" s="273"/>
      <c r="U21" s="325"/>
    </row>
    <row r="22" spans="1:21" ht="23.25" customHeight="1">
      <c r="A22" s="375"/>
      <c r="B22" s="287"/>
      <c r="C22" s="278"/>
      <c r="D22" s="87" t="s">
        <v>150</v>
      </c>
      <c r="E22" s="88">
        <f>F22+G22+H22+I22+J22+K22+L22</f>
        <v>794325</v>
      </c>
      <c r="F22" s="88"/>
      <c r="G22" s="88">
        <f>133500-6675</f>
        <v>126825</v>
      </c>
      <c r="H22" s="88">
        <v>133500</v>
      </c>
      <c r="I22" s="88">
        <v>133500</v>
      </c>
      <c r="J22" s="88">
        <v>133500</v>
      </c>
      <c r="K22" s="88">
        <v>133500</v>
      </c>
      <c r="L22" s="88">
        <v>133500</v>
      </c>
      <c r="M22" s="325"/>
      <c r="N22" s="273"/>
      <c r="O22" s="273"/>
      <c r="P22" s="273"/>
      <c r="Q22" s="273"/>
      <c r="R22" s="273"/>
      <c r="S22" s="273"/>
      <c r="T22" s="273"/>
      <c r="U22" s="325"/>
    </row>
    <row r="23" spans="1:21" ht="12.75">
      <c r="A23" s="375"/>
      <c r="B23" s="287"/>
      <c r="C23" s="278"/>
      <c r="D23" s="87" t="s">
        <v>148</v>
      </c>
      <c r="E23" s="88">
        <f>F23+G23+H23+I23+J23+K23+L23</f>
        <v>0</v>
      </c>
      <c r="F23" s="88"/>
      <c r="G23" s="88"/>
      <c r="H23" s="88"/>
      <c r="I23" s="88"/>
      <c r="J23" s="88"/>
      <c r="K23" s="88"/>
      <c r="L23" s="88"/>
      <c r="M23" s="325"/>
      <c r="N23" s="273"/>
      <c r="O23" s="273"/>
      <c r="P23" s="273"/>
      <c r="Q23" s="273"/>
      <c r="R23" s="273"/>
      <c r="S23" s="273"/>
      <c r="T23" s="273"/>
      <c r="U23" s="325"/>
    </row>
    <row r="24" spans="1:21" ht="12.75">
      <c r="A24" s="375"/>
      <c r="B24" s="287"/>
      <c r="C24" s="278"/>
      <c r="D24" s="87" t="s">
        <v>149</v>
      </c>
      <c r="E24" s="88">
        <f>F24+G24+H24+I24+J24+K24+L24</f>
        <v>0</v>
      </c>
      <c r="F24" s="88"/>
      <c r="G24" s="88"/>
      <c r="H24" s="88"/>
      <c r="I24" s="88"/>
      <c r="J24" s="88"/>
      <c r="K24" s="88"/>
      <c r="L24" s="88"/>
      <c r="M24" s="325"/>
      <c r="N24" s="273"/>
      <c r="O24" s="273"/>
      <c r="P24" s="273"/>
      <c r="Q24" s="273"/>
      <c r="R24" s="273"/>
      <c r="S24" s="273"/>
      <c r="T24" s="273"/>
      <c r="U24" s="325"/>
    </row>
    <row r="25" spans="1:21" ht="12.75">
      <c r="A25" s="375"/>
      <c r="B25" s="287"/>
      <c r="C25" s="279"/>
      <c r="D25" s="87" t="s">
        <v>151</v>
      </c>
      <c r="E25" s="88">
        <f>F25+G25+H25+I25+J25+K25+L25</f>
        <v>0</v>
      </c>
      <c r="F25" s="88"/>
      <c r="G25" s="88"/>
      <c r="H25" s="88"/>
      <c r="I25" s="88"/>
      <c r="J25" s="88"/>
      <c r="K25" s="88"/>
      <c r="L25" s="88"/>
      <c r="M25" s="326"/>
      <c r="N25" s="276"/>
      <c r="O25" s="276"/>
      <c r="P25" s="276"/>
      <c r="Q25" s="276"/>
      <c r="R25" s="276"/>
      <c r="S25" s="276"/>
      <c r="T25" s="276"/>
      <c r="U25" s="326"/>
    </row>
    <row r="26" spans="1:21" ht="15" customHeight="1">
      <c r="A26" s="286" t="s">
        <v>203</v>
      </c>
      <c r="B26" s="353" t="s">
        <v>186</v>
      </c>
      <c r="C26" s="277" t="s">
        <v>132</v>
      </c>
      <c r="D26" s="85" t="s">
        <v>152</v>
      </c>
      <c r="E26" s="86">
        <f>E28+E29+E30+E31</f>
        <v>432000</v>
      </c>
      <c r="F26" s="86">
        <f aca="true" t="shared" si="3" ref="F26:L26">F28+F29+F30+F31</f>
        <v>57000</v>
      </c>
      <c r="G26" s="86">
        <f t="shared" si="3"/>
        <v>60000</v>
      </c>
      <c r="H26" s="86">
        <f t="shared" si="3"/>
        <v>63000</v>
      </c>
      <c r="I26" s="86">
        <f t="shared" si="3"/>
        <v>63000</v>
      </c>
      <c r="J26" s="86">
        <f t="shared" si="3"/>
        <v>63000</v>
      </c>
      <c r="K26" s="86">
        <f t="shared" si="3"/>
        <v>63000</v>
      </c>
      <c r="L26" s="86">
        <f t="shared" si="3"/>
        <v>63000</v>
      </c>
      <c r="M26" s="324" t="s">
        <v>88</v>
      </c>
      <c r="N26" s="272">
        <v>1</v>
      </c>
      <c r="O26" s="272">
        <v>1</v>
      </c>
      <c r="P26" s="272">
        <v>1</v>
      </c>
      <c r="Q26" s="272">
        <v>1</v>
      </c>
      <c r="R26" s="272">
        <v>1</v>
      </c>
      <c r="S26" s="272">
        <v>1</v>
      </c>
      <c r="T26" s="272">
        <v>1</v>
      </c>
      <c r="U26" s="324" t="s">
        <v>99</v>
      </c>
    </row>
    <row r="27" spans="1:21" ht="16.5" customHeight="1">
      <c r="A27" s="286"/>
      <c r="B27" s="354"/>
      <c r="C27" s="278"/>
      <c r="D27" s="283" t="s">
        <v>177</v>
      </c>
      <c r="E27" s="284"/>
      <c r="F27" s="284"/>
      <c r="G27" s="284"/>
      <c r="H27" s="284"/>
      <c r="I27" s="284"/>
      <c r="J27" s="284"/>
      <c r="K27" s="284"/>
      <c r="L27" s="285"/>
      <c r="M27" s="325"/>
      <c r="N27" s="273"/>
      <c r="O27" s="273"/>
      <c r="P27" s="273"/>
      <c r="Q27" s="273"/>
      <c r="R27" s="273"/>
      <c r="S27" s="273"/>
      <c r="T27" s="273"/>
      <c r="U27" s="325"/>
    </row>
    <row r="28" spans="1:21" ht="12.75" customHeight="1">
      <c r="A28" s="286"/>
      <c r="B28" s="354"/>
      <c r="C28" s="278"/>
      <c r="D28" s="87" t="s">
        <v>150</v>
      </c>
      <c r="E28" s="88">
        <f>F28+G28+H28+I28+J28+K28+L28</f>
        <v>0</v>
      </c>
      <c r="F28" s="88"/>
      <c r="G28" s="88"/>
      <c r="H28" s="88"/>
      <c r="I28" s="88"/>
      <c r="J28" s="88"/>
      <c r="K28" s="88"/>
      <c r="L28" s="88"/>
      <c r="M28" s="325"/>
      <c r="N28" s="273"/>
      <c r="O28" s="273"/>
      <c r="P28" s="273"/>
      <c r="Q28" s="273"/>
      <c r="R28" s="273"/>
      <c r="S28" s="273"/>
      <c r="T28" s="273"/>
      <c r="U28" s="325"/>
    </row>
    <row r="29" spans="1:21" ht="12.75" customHeight="1">
      <c r="A29" s="286"/>
      <c r="B29" s="354"/>
      <c r="C29" s="278"/>
      <c r="D29" s="87" t="s">
        <v>148</v>
      </c>
      <c r="E29" s="88">
        <f>F29+G29+H29+I29+J29+K29+L29</f>
        <v>0</v>
      </c>
      <c r="F29" s="88"/>
      <c r="G29" s="88"/>
      <c r="H29" s="88"/>
      <c r="I29" s="88"/>
      <c r="J29" s="88"/>
      <c r="K29" s="88"/>
      <c r="L29" s="88"/>
      <c r="M29" s="325"/>
      <c r="N29" s="273"/>
      <c r="O29" s="273"/>
      <c r="P29" s="273"/>
      <c r="Q29" s="273"/>
      <c r="R29" s="273"/>
      <c r="S29" s="273"/>
      <c r="T29" s="273"/>
      <c r="U29" s="325"/>
    </row>
    <row r="30" spans="1:21" ht="12.75" customHeight="1">
      <c r="A30" s="286"/>
      <c r="B30" s="354"/>
      <c r="C30" s="278"/>
      <c r="D30" s="87" t="s">
        <v>149</v>
      </c>
      <c r="E30" s="88">
        <f>F30+G30+H30+I30+J30+K30+L30</f>
        <v>0</v>
      </c>
      <c r="F30" s="88"/>
      <c r="G30" s="88"/>
      <c r="H30" s="88"/>
      <c r="I30" s="88"/>
      <c r="J30" s="88"/>
      <c r="K30" s="88"/>
      <c r="L30" s="88"/>
      <c r="M30" s="325"/>
      <c r="N30" s="273"/>
      <c r="O30" s="273"/>
      <c r="P30" s="273"/>
      <c r="Q30" s="273"/>
      <c r="R30" s="273"/>
      <c r="S30" s="273"/>
      <c r="T30" s="273"/>
      <c r="U30" s="325"/>
    </row>
    <row r="31" spans="1:21" ht="12.75" customHeight="1">
      <c r="A31" s="286"/>
      <c r="B31" s="355"/>
      <c r="C31" s="279"/>
      <c r="D31" s="87" t="s">
        <v>151</v>
      </c>
      <c r="E31" s="88">
        <f>F31+G31+H31+I31+J31+K31+L31</f>
        <v>432000</v>
      </c>
      <c r="F31" s="88">
        <v>57000</v>
      </c>
      <c r="G31" s="88">
        <v>60000</v>
      </c>
      <c r="H31" s="16">
        <v>63000</v>
      </c>
      <c r="I31" s="16">
        <v>63000</v>
      </c>
      <c r="J31" s="16">
        <v>63000</v>
      </c>
      <c r="K31" s="16">
        <v>63000</v>
      </c>
      <c r="L31" s="16">
        <v>63000</v>
      </c>
      <c r="M31" s="326"/>
      <c r="N31" s="276"/>
      <c r="O31" s="276"/>
      <c r="P31" s="276"/>
      <c r="Q31" s="276"/>
      <c r="R31" s="276"/>
      <c r="S31" s="276"/>
      <c r="T31" s="276"/>
      <c r="U31" s="326"/>
    </row>
    <row r="32" spans="1:21" ht="13.5" customHeight="1">
      <c r="A32" s="297"/>
      <c r="B32" s="330" t="s">
        <v>236</v>
      </c>
      <c r="C32" s="297"/>
      <c r="D32" s="90" t="s">
        <v>152</v>
      </c>
      <c r="E32" s="91">
        <f aca="true" t="shared" si="4" ref="E32:L32">E34+E35+E36+E37</f>
        <v>167133517.68</v>
      </c>
      <c r="F32" s="91">
        <f t="shared" si="4"/>
        <v>23456977</v>
      </c>
      <c r="G32" s="91">
        <f t="shared" si="4"/>
        <v>22429933.68</v>
      </c>
      <c r="H32" s="91">
        <f t="shared" si="4"/>
        <v>24040163</v>
      </c>
      <c r="I32" s="91">
        <f t="shared" si="4"/>
        <v>24301611</v>
      </c>
      <c r="J32" s="91">
        <f t="shared" si="4"/>
        <v>24301611</v>
      </c>
      <c r="K32" s="91">
        <f t="shared" si="4"/>
        <v>24301611</v>
      </c>
      <c r="L32" s="91">
        <f t="shared" si="4"/>
        <v>24301611</v>
      </c>
      <c r="M32" s="309"/>
      <c r="N32" s="303"/>
      <c r="O32" s="303"/>
      <c r="P32" s="303"/>
      <c r="Q32" s="303"/>
      <c r="R32" s="303"/>
      <c r="S32" s="303"/>
      <c r="T32" s="303"/>
      <c r="U32" s="306"/>
    </row>
    <row r="33" spans="1:21" ht="12.75" customHeight="1">
      <c r="A33" s="297"/>
      <c r="B33" s="331"/>
      <c r="C33" s="297"/>
      <c r="D33" s="312" t="s">
        <v>177</v>
      </c>
      <c r="E33" s="313"/>
      <c r="F33" s="313"/>
      <c r="G33" s="313"/>
      <c r="H33" s="313"/>
      <c r="I33" s="313"/>
      <c r="J33" s="313"/>
      <c r="K33" s="313"/>
      <c r="L33" s="314"/>
      <c r="M33" s="310"/>
      <c r="N33" s="304"/>
      <c r="O33" s="304"/>
      <c r="P33" s="304"/>
      <c r="Q33" s="304"/>
      <c r="R33" s="304"/>
      <c r="S33" s="304"/>
      <c r="T33" s="304"/>
      <c r="U33" s="307"/>
    </row>
    <row r="34" spans="1:21" ht="13.5" customHeight="1">
      <c r="A34" s="297"/>
      <c r="B34" s="331"/>
      <c r="C34" s="297"/>
      <c r="D34" s="92" t="s">
        <v>150</v>
      </c>
      <c r="E34" s="91">
        <f>F34+G34+H34+I34+J34+K34+L34</f>
        <v>166701517.68</v>
      </c>
      <c r="F34" s="93">
        <f>F10+F16+F28</f>
        <v>23399977</v>
      </c>
      <c r="G34" s="93">
        <f aca="true" t="shared" si="5" ref="G34:L34">G10+G16+G28+G22</f>
        <v>22369933.68</v>
      </c>
      <c r="H34" s="93">
        <f t="shared" si="5"/>
        <v>23977163</v>
      </c>
      <c r="I34" s="93">
        <f t="shared" si="5"/>
        <v>24238611</v>
      </c>
      <c r="J34" s="93">
        <f t="shared" si="5"/>
        <v>24238611</v>
      </c>
      <c r="K34" s="93">
        <f t="shared" si="5"/>
        <v>24238611</v>
      </c>
      <c r="L34" s="93">
        <f t="shared" si="5"/>
        <v>24238611</v>
      </c>
      <c r="M34" s="310"/>
      <c r="N34" s="304"/>
      <c r="O34" s="304"/>
      <c r="P34" s="304"/>
      <c r="Q34" s="304"/>
      <c r="R34" s="304"/>
      <c r="S34" s="304"/>
      <c r="T34" s="304"/>
      <c r="U34" s="307"/>
    </row>
    <row r="35" spans="1:21" ht="13.5" customHeight="1">
      <c r="A35" s="297"/>
      <c r="B35" s="331"/>
      <c r="C35" s="297"/>
      <c r="D35" s="92" t="s">
        <v>148</v>
      </c>
      <c r="E35" s="91">
        <f>F35+G35+H35+I35+J35+K35+L35</f>
        <v>0</v>
      </c>
      <c r="F35" s="93">
        <f>F11+F17+F29</f>
        <v>0</v>
      </c>
      <c r="G35" s="93">
        <f aca="true" t="shared" si="6" ref="G35:L37">G11+G17+G29</f>
        <v>0</v>
      </c>
      <c r="H35" s="93">
        <f t="shared" si="6"/>
        <v>0</v>
      </c>
      <c r="I35" s="93">
        <f t="shared" si="6"/>
        <v>0</v>
      </c>
      <c r="J35" s="93">
        <f t="shared" si="6"/>
        <v>0</v>
      </c>
      <c r="K35" s="93">
        <f t="shared" si="6"/>
        <v>0</v>
      </c>
      <c r="L35" s="93">
        <f t="shared" si="6"/>
        <v>0</v>
      </c>
      <c r="M35" s="310"/>
      <c r="N35" s="304"/>
      <c r="O35" s="304"/>
      <c r="P35" s="304"/>
      <c r="Q35" s="304"/>
      <c r="R35" s="304"/>
      <c r="S35" s="304"/>
      <c r="T35" s="304"/>
      <c r="U35" s="307"/>
    </row>
    <row r="36" spans="1:21" ht="13.5" customHeight="1">
      <c r="A36" s="297"/>
      <c r="B36" s="331"/>
      <c r="C36" s="297"/>
      <c r="D36" s="92" t="s">
        <v>149</v>
      </c>
      <c r="E36" s="91">
        <f>F36+G36+H36+I36+J36+K36+L36</f>
        <v>0</v>
      </c>
      <c r="F36" s="93">
        <f>F12+F18+F30</f>
        <v>0</v>
      </c>
      <c r="G36" s="93">
        <f t="shared" si="6"/>
        <v>0</v>
      </c>
      <c r="H36" s="93">
        <f t="shared" si="6"/>
        <v>0</v>
      </c>
      <c r="I36" s="93">
        <f t="shared" si="6"/>
        <v>0</v>
      </c>
      <c r="J36" s="93">
        <f t="shared" si="6"/>
        <v>0</v>
      </c>
      <c r="K36" s="93">
        <f t="shared" si="6"/>
        <v>0</v>
      </c>
      <c r="L36" s="93">
        <f t="shared" si="6"/>
        <v>0</v>
      </c>
      <c r="M36" s="310"/>
      <c r="N36" s="304"/>
      <c r="O36" s="304"/>
      <c r="P36" s="304"/>
      <c r="Q36" s="304"/>
      <c r="R36" s="304"/>
      <c r="S36" s="304"/>
      <c r="T36" s="304"/>
      <c r="U36" s="307"/>
    </row>
    <row r="37" spans="1:21" ht="13.5" customHeight="1">
      <c r="A37" s="297"/>
      <c r="B37" s="332"/>
      <c r="C37" s="297"/>
      <c r="D37" s="92" t="s">
        <v>151</v>
      </c>
      <c r="E37" s="91">
        <f>F37+G37+H37+I37+J37+K37+L37</f>
        <v>432000</v>
      </c>
      <c r="F37" s="93">
        <f>F13+F19+F31</f>
        <v>57000</v>
      </c>
      <c r="G37" s="93">
        <f t="shared" si="6"/>
        <v>60000</v>
      </c>
      <c r="H37" s="93">
        <f t="shared" si="6"/>
        <v>63000</v>
      </c>
      <c r="I37" s="93">
        <f t="shared" si="6"/>
        <v>63000</v>
      </c>
      <c r="J37" s="93">
        <f t="shared" si="6"/>
        <v>63000</v>
      </c>
      <c r="K37" s="93">
        <f t="shared" si="6"/>
        <v>63000</v>
      </c>
      <c r="L37" s="93">
        <f t="shared" si="6"/>
        <v>63000</v>
      </c>
      <c r="M37" s="311"/>
      <c r="N37" s="305"/>
      <c r="O37" s="305"/>
      <c r="P37" s="305"/>
      <c r="Q37" s="305"/>
      <c r="R37" s="305"/>
      <c r="S37" s="305"/>
      <c r="T37" s="305"/>
      <c r="U37" s="308"/>
    </row>
    <row r="38" spans="1:21" ht="13.5" customHeight="1">
      <c r="A38" s="297"/>
      <c r="B38" s="330" t="s">
        <v>139</v>
      </c>
      <c r="C38" s="297"/>
      <c r="D38" s="90" t="s">
        <v>152</v>
      </c>
      <c r="E38" s="91">
        <f aca="true" t="shared" si="7" ref="E38:L38">E40+E41+E42+E43</f>
        <v>167133517.68</v>
      </c>
      <c r="F38" s="91">
        <f t="shared" si="7"/>
        <v>23456977</v>
      </c>
      <c r="G38" s="91">
        <f t="shared" si="7"/>
        <v>22429933.68</v>
      </c>
      <c r="H38" s="91">
        <f t="shared" si="7"/>
        <v>24040163</v>
      </c>
      <c r="I38" s="91">
        <f t="shared" si="7"/>
        <v>24301611</v>
      </c>
      <c r="J38" s="91">
        <f t="shared" si="7"/>
        <v>24301611</v>
      </c>
      <c r="K38" s="91">
        <f t="shared" si="7"/>
        <v>24301611</v>
      </c>
      <c r="L38" s="91">
        <f t="shared" si="7"/>
        <v>24301611</v>
      </c>
      <c r="M38" s="309"/>
      <c r="N38" s="303"/>
      <c r="O38" s="303"/>
      <c r="P38" s="303"/>
      <c r="Q38" s="303"/>
      <c r="R38" s="303"/>
      <c r="S38" s="303"/>
      <c r="T38" s="303"/>
      <c r="U38" s="306"/>
    </row>
    <row r="39" spans="1:21" ht="12.75" customHeight="1">
      <c r="A39" s="297"/>
      <c r="B39" s="331"/>
      <c r="C39" s="297"/>
      <c r="D39" s="312" t="s">
        <v>177</v>
      </c>
      <c r="E39" s="313"/>
      <c r="F39" s="313"/>
      <c r="G39" s="313"/>
      <c r="H39" s="313"/>
      <c r="I39" s="313"/>
      <c r="J39" s="313"/>
      <c r="K39" s="313"/>
      <c r="L39" s="314"/>
      <c r="M39" s="310"/>
      <c r="N39" s="304"/>
      <c r="O39" s="304"/>
      <c r="P39" s="304"/>
      <c r="Q39" s="304"/>
      <c r="R39" s="304"/>
      <c r="S39" s="304"/>
      <c r="T39" s="304"/>
      <c r="U39" s="307"/>
    </row>
    <row r="40" spans="1:21" ht="13.5" customHeight="1">
      <c r="A40" s="297"/>
      <c r="B40" s="331"/>
      <c r="C40" s="297"/>
      <c r="D40" s="92" t="s">
        <v>150</v>
      </c>
      <c r="E40" s="91">
        <f>F40+G40+H40+I40+J40+K40+L40</f>
        <v>166701517.68</v>
      </c>
      <c r="F40" s="93">
        <f>F34</f>
        <v>23399977</v>
      </c>
      <c r="G40" s="93">
        <f aca="true" t="shared" si="8" ref="G40:L40">G34</f>
        <v>22369933.68</v>
      </c>
      <c r="H40" s="93">
        <f t="shared" si="8"/>
        <v>23977163</v>
      </c>
      <c r="I40" s="93">
        <f t="shared" si="8"/>
        <v>24238611</v>
      </c>
      <c r="J40" s="93">
        <f t="shared" si="8"/>
        <v>24238611</v>
      </c>
      <c r="K40" s="93">
        <f t="shared" si="8"/>
        <v>24238611</v>
      </c>
      <c r="L40" s="93">
        <f t="shared" si="8"/>
        <v>24238611</v>
      </c>
      <c r="M40" s="310"/>
      <c r="N40" s="304"/>
      <c r="O40" s="304"/>
      <c r="P40" s="304"/>
      <c r="Q40" s="304"/>
      <c r="R40" s="304"/>
      <c r="S40" s="304"/>
      <c r="T40" s="304"/>
      <c r="U40" s="307"/>
    </row>
    <row r="41" spans="1:21" ht="13.5" customHeight="1">
      <c r="A41" s="297"/>
      <c r="B41" s="331"/>
      <c r="C41" s="297"/>
      <c r="D41" s="92" t="s">
        <v>148</v>
      </c>
      <c r="E41" s="91">
        <f>F41+G41+H41+I41+J41+K41+L41</f>
        <v>0</v>
      </c>
      <c r="F41" s="93">
        <f aca="true" t="shared" si="9" ref="F41:L43">F35</f>
        <v>0</v>
      </c>
      <c r="G41" s="93">
        <f t="shared" si="9"/>
        <v>0</v>
      </c>
      <c r="H41" s="93">
        <f t="shared" si="9"/>
        <v>0</v>
      </c>
      <c r="I41" s="93">
        <f t="shared" si="9"/>
        <v>0</v>
      </c>
      <c r="J41" s="93">
        <f t="shared" si="9"/>
        <v>0</v>
      </c>
      <c r="K41" s="93">
        <f t="shared" si="9"/>
        <v>0</v>
      </c>
      <c r="L41" s="93">
        <f t="shared" si="9"/>
        <v>0</v>
      </c>
      <c r="M41" s="310"/>
      <c r="N41" s="304"/>
      <c r="O41" s="304"/>
      <c r="P41" s="304"/>
      <c r="Q41" s="304"/>
      <c r="R41" s="304"/>
      <c r="S41" s="304"/>
      <c r="T41" s="304"/>
      <c r="U41" s="307"/>
    </row>
    <row r="42" spans="1:21" ht="13.5" customHeight="1">
      <c r="A42" s="297"/>
      <c r="B42" s="331"/>
      <c r="C42" s="297"/>
      <c r="D42" s="92" t="s">
        <v>149</v>
      </c>
      <c r="E42" s="91">
        <f>F42+G42+H42+I42+J42+K42+L42</f>
        <v>0</v>
      </c>
      <c r="F42" s="93">
        <f t="shared" si="9"/>
        <v>0</v>
      </c>
      <c r="G42" s="93">
        <f t="shared" si="9"/>
        <v>0</v>
      </c>
      <c r="H42" s="93">
        <f t="shared" si="9"/>
        <v>0</v>
      </c>
      <c r="I42" s="93">
        <f t="shared" si="9"/>
        <v>0</v>
      </c>
      <c r="J42" s="93">
        <f t="shared" si="9"/>
        <v>0</v>
      </c>
      <c r="K42" s="93">
        <f t="shared" si="9"/>
        <v>0</v>
      </c>
      <c r="L42" s="93">
        <f t="shared" si="9"/>
        <v>0</v>
      </c>
      <c r="M42" s="310"/>
      <c r="N42" s="304"/>
      <c r="O42" s="304"/>
      <c r="P42" s="304"/>
      <c r="Q42" s="304"/>
      <c r="R42" s="304"/>
      <c r="S42" s="304"/>
      <c r="T42" s="304"/>
      <c r="U42" s="307"/>
    </row>
    <row r="43" spans="1:21" ht="13.5" customHeight="1">
      <c r="A43" s="297"/>
      <c r="B43" s="332"/>
      <c r="C43" s="297"/>
      <c r="D43" s="92" t="s">
        <v>151</v>
      </c>
      <c r="E43" s="91">
        <f>F43+G43+H43+I43+J43+K43+L43</f>
        <v>432000</v>
      </c>
      <c r="F43" s="93">
        <f t="shared" si="9"/>
        <v>57000</v>
      </c>
      <c r="G43" s="93">
        <f t="shared" si="9"/>
        <v>60000</v>
      </c>
      <c r="H43" s="93">
        <f t="shared" si="9"/>
        <v>63000</v>
      </c>
      <c r="I43" s="93">
        <f t="shared" si="9"/>
        <v>63000</v>
      </c>
      <c r="J43" s="93">
        <f t="shared" si="9"/>
        <v>63000</v>
      </c>
      <c r="K43" s="93">
        <f t="shared" si="9"/>
        <v>63000</v>
      </c>
      <c r="L43" s="93">
        <f t="shared" si="9"/>
        <v>63000</v>
      </c>
      <c r="M43" s="311"/>
      <c r="N43" s="305"/>
      <c r="O43" s="305"/>
      <c r="P43" s="305"/>
      <c r="Q43" s="305"/>
      <c r="R43" s="305"/>
      <c r="S43" s="305"/>
      <c r="T43" s="305"/>
      <c r="U43" s="308"/>
    </row>
    <row r="47" ht="12.75">
      <c r="G47" s="95"/>
    </row>
  </sheetData>
  <sheetProtection/>
  <mergeCells count="88">
    <mergeCell ref="U38:U43"/>
    <mergeCell ref="D39:L39"/>
    <mergeCell ref="P38:P43"/>
    <mergeCell ref="Q38:Q43"/>
    <mergeCell ref="O38:O43"/>
    <mergeCell ref="R38:R43"/>
    <mergeCell ref="S38:S43"/>
    <mergeCell ref="T38:T43"/>
    <mergeCell ref="U32:U37"/>
    <mergeCell ref="A38:A43"/>
    <mergeCell ref="B38:B43"/>
    <mergeCell ref="C38:C43"/>
    <mergeCell ref="M38:M43"/>
    <mergeCell ref="N38:N43"/>
    <mergeCell ref="Q32:Q37"/>
    <mergeCell ref="R32:R37"/>
    <mergeCell ref="S32:S37"/>
    <mergeCell ref="T32:T37"/>
    <mergeCell ref="U20:U25"/>
    <mergeCell ref="D21:L21"/>
    <mergeCell ref="A32:A37"/>
    <mergeCell ref="B32:B37"/>
    <mergeCell ref="C32:C37"/>
    <mergeCell ref="M32:M37"/>
    <mergeCell ref="N32:N37"/>
    <mergeCell ref="O32:O37"/>
    <mergeCell ref="D33:L33"/>
    <mergeCell ref="P32:P37"/>
    <mergeCell ref="S26:S31"/>
    <mergeCell ref="T26:T31"/>
    <mergeCell ref="O20:O25"/>
    <mergeCell ref="P20:P25"/>
    <mergeCell ref="Q20:Q25"/>
    <mergeCell ref="R20:R25"/>
    <mergeCell ref="U26:U31"/>
    <mergeCell ref="D27:L27"/>
    <mergeCell ref="A20:A25"/>
    <mergeCell ref="B20:B25"/>
    <mergeCell ref="C20:C25"/>
    <mergeCell ref="M20:M25"/>
    <mergeCell ref="N20:N25"/>
    <mergeCell ref="S20:S25"/>
    <mergeCell ref="T20:T25"/>
    <mergeCell ref="R26:R31"/>
    <mergeCell ref="U14:U19"/>
    <mergeCell ref="D15:L15"/>
    <mergeCell ref="A26:A31"/>
    <mergeCell ref="B26:B31"/>
    <mergeCell ref="C26:C31"/>
    <mergeCell ref="M26:M31"/>
    <mergeCell ref="N26:N31"/>
    <mergeCell ref="O26:O31"/>
    <mergeCell ref="P26:P31"/>
    <mergeCell ref="Q26:Q31"/>
    <mergeCell ref="S8:S13"/>
    <mergeCell ref="T8:T13"/>
    <mergeCell ref="O14:O19"/>
    <mergeCell ref="P14:P19"/>
    <mergeCell ref="Q14:Q19"/>
    <mergeCell ref="R14:R19"/>
    <mergeCell ref="U8:U13"/>
    <mergeCell ref="D9:L9"/>
    <mergeCell ref="A14:A19"/>
    <mergeCell ref="B14:B19"/>
    <mergeCell ref="C14:C19"/>
    <mergeCell ref="M14:M19"/>
    <mergeCell ref="N14:N19"/>
    <mergeCell ref="S14:S19"/>
    <mergeCell ref="T14:T19"/>
    <mergeCell ref="R8:R13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D5" sqref="D5:D6"/>
    </sheetView>
  </sheetViews>
  <sheetFormatPr defaultColWidth="9.140625" defaultRowHeight="15"/>
  <cols>
    <col min="1" max="1" width="6.57421875" style="158" customWidth="1"/>
    <col min="2" max="2" width="43.00390625" style="157" customWidth="1"/>
    <col min="3" max="3" width="7.421875" style="157" customWidth="1"/>
    <col min="4" max="4" width="11.421875" style="157" customWidth="1"/>
    <col min="5" max="7" width="9.140625" style="157" customWidth="1"/>
    <col min="8" max="8" width="10.421875" style="157" bestFit="1" customWidth="1"/>
    <col min="9" max="11" width="9.140625" style="157" customWidth="1"/>
    <col min="12" max="12" width="10.421875" style="157" bestFit="1" customWidth="1"/>
    <col min="13" max="16384" width="9.140625" style="157" customWidth="1"/>
  </cols>
  <sheetData>
    <row r="1" spans="1:11" ht="33.75" customHeight="1">
      <c r="A1" s="155"/>
      <c r="B1" s="65"/>
      <c r="C1" s="65"/>
      <c r="D1" s="65"/>
      <c r="E1" s="65"/>
      <c r="F1" s="65"/>
      <c r="G1" s="65"/>
      <c r="H1" s="65"/>
      <c r="I1" s="156"/>
      <c r="J1" s="156"/>
      <c r="K1" s="8" t="s">
        <v>276</v>
      </c>
    </row>
    <row r="2" spans="1:12" ht="41.25" customHeight="1">
      <c r="A2" s="244" t="s">
        <v>27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4" spans="1:12" ht="21" customHeight="1">
      <c r="A4" s="377" t="s">
        <v>156</v>
      </c>
      <c r="B4" s="377" t="s">
        <v>160</v>
      </c>
      <c r="C4" s="377" t="s">
        <v>157</v>
      </c>
      <c r="D4" s="379" t="s">
        <v>159</v>
      </c>
      <c r="E4" s="380"/>
      <c r="F4" s="380"/>
      <c r="G4" s="380"/>
      <c r="H4" s="380"/>
      <c r="I4" s="380"/>
      <c r="J4" s="380"/>
      <c r="K4" s="380"/>
      <c r="L4" s="381"/>
    </row>
    <row r="5" spans="1:12" ht="25.5" customHeight="1">
      <c r="A5" s="377"/>
      <c r="B5" s="377"/>
      <c r="C5" s="377"/>
      <c r="D5" s="378" t="s">
        <v>118</v>
      </c>
      <c r="E5" s="378" t="s">
        <v>119</v>
      </c>
      <c r="F5" s="382" t="s">
        <v>43</v>
      </c>
      <c r="G5" s="383"/>
      <c r="H5" s="383"/>
      <c r="I5" s="383"/>
      <c r="J5" s="383"/>
      <c r="K5" s="383"/>
      <c r="L5" s="384"/>
    </row>
    <row r="6" spans="1:12" ht="19.5" customHeight="1">
      <c r="A6" s="378"/>
      <c r="B6" s="377"/>
      <c r="C6" s="378"/>
      <c r="D6" s="385"/>
      <c r="E6" s="385"/>
      <c r="F6" s="160">
        <v>2014</v>
      </c>
      <c r="G6" s="160">
        <v>2015</v>
      </c>
      <c r="H6" s="160">
        <v>2016</v>
      </c>
      <c r="I6" s="160">
        <v>2017</v>
      </c>
      <c r="J6" s="160">
        <v>2018</v>
      </c>
      <c r="K6" s="160">
        <v>2019</v>
      </c>
      <c r="L6" s="160">
        <v>2020</v>
      </c>
    </row>
    <row r="7" spans="1:12" ht="19.5" customHeight="1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  <c r="K7" s="166">
        <v>11</v>
      </c>
      <c r="L7" s="166">
        <v>12</v>
      </c>
    </row>
    <row r="8" spans="1:12" ht="39" customHeight="1">
      <c r="A8" s="159"/>
      <c r="B8" s="376" t="s">
        <v>28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</row>
    <row r="9" spans="1:12" ht="76.5" customHeight="1">
      <c r="A9" s="159">
        <v>1</v>
      </c>
      <c r="B9" s="161" t="s">
        <v>270</v>
      </c>
      <c r="C9" s="159" t="s">
        <v>158</v>
      </c>
      <c r="D9" s="159">
        <v>100</v>
      </c>
      <c r="E9" s="159">
        <v>100</v>
      </c>
      <c r="F9" s="159">
        <v>100</v>
      </c>
      <c r="G9" s="159">
        <v>100</v>
      </c>
      <c r="H9" s="159">
        <v>100</v>
      </c>
      <c r="I9" s="159">
        <v>100</v>
      </c>
      <c r="J9" s="159">
        <v>100</v>
      </c>
      <c r="K9" s="159">
        <v>100</v>
      </c>
      <c r="L9" s="159">
        <v>100</v>
      </c>
    </row>
    <row r="10" spans="1:12" ht="44.25" customHeight="1">
      <c r="A10" s="159"/>
      <c r="B10" s="376" t="s">
        <v>29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</row>
    <row r="11" spans="1:12" s="164" customFormat="1" ht="59.25" customHeight="1">
      <c r="A11" s="162" t="s">
        <v>192</v>
      </c>
      <c r="B11" s="163" t="s">
        <v>271</v>
      </c>
      <c r="C11" s="159" t="s">
        <v>158</v>
      </c>
      <c r="D11" s="167">
        <v>97</v>
      </c>
      <c r="E11" s="167">
        <v>100</v>
      </c>
      <c r="F11" s="167">
        <v>100</v>
      </c>
      <c r="G11" s="167">
        <v>100</v>
      </c>
      <c r="H11" s="167">
        <v>100</v>
      </c>
      <c r="I11" s="167">
        <v>100</v>
      </c>
      <c r="J11" s="167">
        <v>100</v>
      </c>
      <c r="K11" s="167">
        <v>100</v>
      </c>
      <c r="L11" s="167">
        <v>100</v>
      </c>
    </row>
    <row r="12" ht="15.75">
      <c r="A12" s="165"/>
    </row>
    <row r="13" ht="15.75">
      <c r="A13" s="165"/>
    </row>
    <row r="14" ht="15.75">
      <c r="A14" s="165"/>
    </row>
    <row r="15" ht="15.75">
      <c r="A15" s="165"/>
    </row>
  </sheetData>
  <sheetProtection/>
  <mergeCells count="10">
    <mergeCell ref="B8:L8"/>
    <mergeCell ref="B10:L10"/>
    <mergeCell ref="A2:L2"/>
    <mergeCell ref="A4:A6"/>
    <mergeCell ref="B4:B6"/>
    <mergeCell ref="C4:C6"/>
    <mergeCell ref="D4:L4"/>
    <mergeCell ref="F5:L5"/>
    <mergeCell ref="D5:D6"/>
    <mergeCell ref="E5:E6"/>
  </mergeCells>
  <printOptions/>
  <pageMargins left="0.15748031496062992" right="0.15748031496062992" top="0.5905511811023623" bottom="0.5905511811023623" header="0.5118110236220472" footer="0.5118110236220472"/>
  <pageSetup fitToHeight="0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115" zoomScalePageLayoutView="0" workbookViewId="0" topLeftCell="A7">
      <selection activeCell="D17" sqref="D17"/>
    </sheetView>
  </sheetViews>
  <sheetFormatPr defaultColWidth="9.140625" defaultRowHeight="15"/>
  <cols>
    <col min="1" max="1" width="35.421875" style="65" customWidth="1"/>
    <col min="2" max="2" width="18.28125" style="65" customWidth="1"/>
    <col min="3" max="9" width="13.8515625" style="65" customWidth="1"/>
    <col min="10" max="16384" width="9.140625" style="65" customWidth="1"/>
  </cols>
  <sheetData>
    <row r="1" spans="5:10" ht="18.75" customHeight="1">
      <c r="E1" s="66"/>
      <c r="G1" s="67"/>
      <c r="H1" s="8" t="s">
        <v>275</v>
      </c>
      <c r="J1" s="67"/>
    </row>
    <row r="3" spans="1:9" ht="36.75" customHeight="1">
      <c r="A3" s="244" t="s">
        <v>30</v>
      </c>
      <c r="B3" s="244"/>
      <c r="C3" s="244"/>
      <c r="D3" s="244"/>
      <c r="E3" s="244"/>
      <c r="F3" s="244"/>
      <c r="G3" s="244"/>
      <c r="H3" s="244"/>
      <c r="I3" s="244"/>
    </row>
    <row r="4" spans="1:9" ht="30" customHeight="1">
      <c r="A4" s="261" t="s">
        <v>163</v>
      </c>
      <c r="B4" s="263" t="s">
        <v>164</v>
      </c>
      <c r="C4" s="265" t="s">
        <v>165</v>
      </c>
      <c r="D4" s="265"/>
      <c r="E4" s="265"/>
      <c r="F4" s="265"/>
      <c r="G4" s="265"/>
      <c r="H4" s="265"/>
      <c r="I4" s="265"/>
    </row>
    <row r="5" spans="1:9" ht="16.5" customHeight="1">
      <c r="A5" s="262"/>
      <c r="B5" s="264"/>
      <c r="C5" s="68">
        <v>2014</v>
      </c>
      <c r="D5" s="68">
        <v>2015</v>
      </c>
      <c r="E5" s="68">
        <v>2016</v>
      </c>
      <c r="F5" s="68">
        <v>2017</v>
      </c>
      <c r="G5" s="68">
        <v>2018</v>
      </c>
      <c r="H5" s="68">
        <v>2019</v>
      </c>
      <c r="I5" s="168">
        <v>2020</v>
      </c>
    </row>
    <row r="6" spans="1:9" ht="16.5" customHeight="1">
      <c r="A6" s="133">
        <v>1</v>
      </c>
      <c r="B6" s="134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53">
        <v>9</v>
      </c>
    </row>
    <row r="7" spans="1:9" ht="19.5" customHeight="1">
      <c r="A7" s="69" t="s">
        <v>31</v>
      </c>
      <c r="B7" s="70">
        <f>B9+B10+B11+B12</f>
        <v>213060096.9</v>
      </c>
      <c r="C7" s="70">
        <f aca="true" t="shared" si="0" ref="C7:I7">C9+C10+C11+C12</f>
        <v>29400869</v>
      </c>
      <c r="D7" s="70">
        <f t="shared" si="0"/>
        <v>28598392.9</v>
      </c>
      <c r="E7" s="70">
        <f t="shared" si="0"/>
        <v>30805799</v>
      </c>
      <c r="F7" s="70">
        <f t="shared" si="0"/>
        <v>31063759</v>
      </c>
      <c r="G7" s="70">
        <f t="shared" si="0"/>
        <v>31063759</v>
      </c>
      <c r="H7" s="70">
        <f t="shared" si="0"/>
        <v>31063759</v>
      </c>
      <c r="I7" s="70">
        <f t="shared" si="0"/>
        <v>31063759</v>
      </c>
    </row>
    <row r="8" spans="1:9" ht="16.5" customHeight="1">
      <c r="A8" s="255" t="s">
        <v>166</v>
      </c>
      <c r="B8" s="256"/>
      <c r="C8" s="256"/>
      <c r="D8" s="256"/>
      <c r="E8" s="256"/>
      <c r="F8" s="256"/>
      <c r="G8" s="256"/>
      <c r="H8" s="256"/>
      <c r="I8" s="257"/>
    </row>
    <row r="9" spans="1:9" ht="16.5" customHeight="1">
      <c r="A9" s="71" t="s">
        <v>167</v>
      </c>
      <c r="B9" s="70">
        <f>C9+D9+E9+F9+G9+H9+I9</f>
        <v>197580096.9</v>
      </c>
      <c r="C9" s="75">
        <f>C16</f>
        <v>28400869</v>
      </c>
      <c r="D9" s="75">
        <f aca="true" t="shared" si="1" ref="D9:I9">D16</f>
        <v>26558392.9</v>
      </c>
      <c r="E9" s="75">
        <f t="shared" si="1"/>
        <v>28317799</v>
      </c>
      <c r="F9" s="75">
        <f t="shared" si="1"/>
        <v>28575759</v>
      </c>
      <c r="G9" s="75">
        <f t="shared" si="1"/>
        <v>28575759</v>
      </c>
      <c r="H9" s="75">
        <f t="shared" si="1"/>
        <v>28575759</v>
      </c>
      <c r="I9" s="75">
        <f t="shared" si="1"/>
        <v>28575759</v>
      </c>
    </row>
    <row r="10" spans="1:9" ht="16.5" customHeight="1">
      <c r="A10" s="71" t="s">
        <v>47</v>
      </c>
      <c r="B10" s="70">
        <f>C10+D10+E10+F10+G10+H10+I10</f>
        <v>0</v>
      </c>
      <c r="C10" s="75">
        <f aca="true" t="shared" si="2" ref="C10:I12">C17</f>
        <v>0</v>
      </c>
      <c r="D10" s="75">
        <f t="shared" si="2"/>
        <v>0</v>
      </c>
      <c r="E10" s="75">
        <f t="shared" si="2"/>
        <v>0</v>
      </c>
      <c r="F10" s="75">
        <f t="shared" si="2"/>
        <v>0</v>
      </c>
      <c r="G10" s="75">
        <f t="shared" si="2"/>
        <v>0</v>
      </c>
      <c r="H10" s="75">
        <f t="shared" si="2"/>
        <v>0</v>
      </c>
      <c r="I10" s="75">
        <f t="shared" si="2"/>
        <v>0</v>
      </c>
    </row>
    <row r="11" spans="1:9" ht="16.5" customHeight="1">
      <c r="A11" s="71" t="s">
        <v>48</v>
      </c>
      <c r="B11" s="70">
        <f>C11+D11+E11+F11+G11+H11+I11</f>
        <v>0</v>
      </c>
      <c r="C11" s="75">
        <f t="shared" si="2"/>
        <v>0</v>
      </c>
      <c r="D11" s="75">
        <f t="shared" si="2"/>
        <v>0</v>
      </c>
      <c r="E11" s="75">
        <f t="shared" si="2"/>
        <v>0</v>
      </c>
      <c r="F11" s="75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</row>
    <row r="12" spans="1:9" ht="16.5" customHeight="1">
      <c r="A12" s="71" t="s">
        <v>170</v>
      </c>
      <c r="B12" s="70">
        <f>C12+D12+E12+F12+G12+H12+I12</f>
        <v>15480000</v>
      </c>
      <c r="C12" s="75">
        <f t="shared" si="2"/>
        <v>1000000</v>
      </c>
      <c r="D12" s="75">
        <f t="shared" si="2"/>
        <v>2040000</v>
      </c>
      <c r="E12" s="75">
        <f t="shared" si="2"/>
        <v>2488000</v>
      </c>
      <c r="F12" s="75">
        <f t="shared" si="2"/>
        <v>2488000</v>
      </c>
      <c r="G12" s="75">
        <f t="shared" si="2"/>
        <v>2488000</v>
      </c>
      <c r="H12" s="75">
        <f t="shared" si="2"/>
        <v>2488000</v>
      </c>
      <c r="I12" s="75">
        <f t="shared" si="2"/>
        <v>2488000</v>
      </c>
    </row>
    <row r="13" spans="1:9" ht="16.5" customHeight="1">
      <c r="A13" s="258" t="s">
        <v>171</v>
      </c>
      <c r="B13" s="259"/>
      <c r="C13" s="259"/>
      <c r="D13" s="259"/>
      <c r="E13" s="259"/>
      <c r="F13" s="259"/>
      <c r="G13" s="259"/>
      <c r="H13" s="259"/>
      <c r="I13" s="260"/>
    </row>
    <row r="14" spans="1:9" ht="51" customHeight="1">
      <c r="A14" s="73" t="s">
        <v>178</v>
      </c>
      <c r="B14" s="70">
        <f>B16+B17+B18+B19</f>
        <v>213060096.9</v>
      </c>
      <c r="C14" s="70">
        <f>C16+C17+C18+C19</f>
        <v>29400869</v>
      </c>
      <c r="D14" s="70">
        <f aca="true" t="shared" si="3" ref="D14:I14">D16+D17+D18+D19</f>
        <v>28598392.9</v>
      </c>
      <c r="E14" s="70">
        <f t="shared" si="3"/>
        <v>30805799</v>
      </c>
      <c r="F14" s="70">
        <f t="shared" si="3"/>
        <v>31063759</v>
      </c>
      <c r="G14" s="70">
        <f t="shared" si="3"/>
        <v>31063759</v>
      </c>
      <c r="H14" s="70">
        <f t="shared" si="3"/>
        <v>31063759</v>
      </c>
      <c r="I14" s="70">
        <f t="shared" si="3"/>
        <v>31063759</v>
      </c>
    </row>
    <row r="15" spans="1:9" ht="16.5" customHeight="1">
      <c r="A15" s="255" t="s">
        <v>166</v>
      </c>
      <c r="B15" s="256"/>
      <c r="C15" s="256"/>
      <c r="D15" s="256"/>
      <c r="E15" s="256"/>
      <c r="F15" s="256"/>
      <c r="G15" s="256"/>
      <c r="H15" s="256"/>
      <c r="I15" s="257"/>
    </row>
    <row r="16" spans="1:9" ht="16.5" customHeight="1">
      <c r="A16" s="71" t="s">
        <v>167</v>
      </c>
      <c r="B16" s="70">
        <f>C16+D16+E16+F16+G16+H16+I16</f>
        <v>197580096.9</v>
      </c>
      <c r="C16" s="75">
        <f>'таб 3(5)'!F40</f>
        <v>28400869</v>
      </c>
      <c r="D16" s="75">
        <f>+'таб 3(5)'!G40</f>
        <v>26558392.9</v>
      </c>
      <c r="E16" s="75">
        <v>28317799</v>
      </c>
      <c r="F16" s="75">
        <v>28575759</v>
      </c>
      <c r="G16" s="75">
        <v>28575759</v>
      </c>
      <c r="H16" s="75">
        <v>28575759</v>
      </c>
      <c r="I16" s="75">
        <v>28575759</v>
      </c>
    </row>
    <row r="17" spans="1:9" ht="16.5" customHeight="1">
      <c r="A17" s="71" t="s">
        <v>47</v>
      </c>
      <c r="B17" s="70">
        <f>C17+D17+E17+F17+G17+H17+I17</f>
        <v>0</v>
      </c>
      <c r="C17" s="75">
        <f>'таб 3(5)'!F41</f>
        <v>0</v>
      </c>
      <c r="D17" s="75">
        <f>'таб 3(5)'!G41</f>
        <v>0</v>
      </c>
      <c r="E17" s="75">
        <f>'таб 3(5)'!H41</f>
        <v>0</v>
      </c>
      <c r="F17" s="75">
        <f>'таб 3(5)'!I41</f>
        <v>0</v>
      </c>
      <c r="G17" s="75">
        <f>'таб 3(5)'!J41</f>
        <v>0</v>
      </c>
      <c r="H17" s="75">
        <f>'таб 3(5)'!K41</f>
        <v>0</v>
      </c>
      <c r="I17" s="75">
        <f>'таб 3(5)'!L41</f>
        <v>0</v>
      </c>
    </row>
    <row r="18" spans="1:9" ht="16.5" customHeight="1">
      <c r="A18" s="71" t="s">
        <v>48</v>
      </c>
      <c r="B18" s="70">
        <f>C18+D18+E18+F18+G18+H18+I18</f>
        <v>0</v>
      </c>
      <c r="C18" s="75">
        <f>'таб 3(5)'!F42</f>
        <v>0</v>
      </c>
      <c r="D18" s="75">
        <f>'таб 3(5)'!G42</f>
        <v>0</v>
      </c>
      <c r="E18" s="75">
        <f>'таб 3(5)'!H42</f>
        <v>0</v>
      </c>
      <c r="F18" s="75">
        <f>'таб 3(5)'!I42</f>
        <v>0</v>
      </c>
      <c r="G18" s="75">
        <f>'таб 3(5)'!J42</f>
        <v>0</v>
      </c>
      <c r="H18" s="75">
        <f>'таб 3(5)'!K42</f>
        <v>0</v>
      </c>
      <c r="I18" s="75">
        <f>'таб 3(5)'!L42</f>
        <v>0</v>
      </c>
    </row>
    <row r="19" spans="1:9" ht="16.5" customHeight="1">
      <c r="A19" s="71" t="s">
        <v>170</v>
      </c>
      <c r="B19" s="70">
        <f>C19+D19+E19+F19+G19+H19+I19</f>
        <v>15480000</v>
      </c>
      <c r="C19" s="75">
        <f>'таб 3(5)'!F43</f>
        <v>1000000</v>
      </c>
      <c r="D19" s="75">
        <f>'таб 3(5)'!G43</f>
        <v>2040000</v>
      </c>
      <c r="E19" s="75">
        <f>'таб 3(5)'!H43</f>
        <v>2488000</v>
      </c>
      <c r="F19" s="75">
        <f>'таб 3(5)'!I43</f>
        <v>2488000</v>
      </c>
      <c r="G19" s="75">
        <f>'таб 3(5)'!J43</f>
        <v>2488000</v>
      </c>
      <c r="H19" s="75">
        <f>'таб 3(5)'!K43</f>
        <v>2488000</v>
      </c>
      <c r="I19" s="75">
        <f>'таб 3(5)'!L43</f>
        <v>2488000</v>
      </c>
    </row>
    <row r="20" spans="1:9" ht="31.5">
      <c r="A20" s="77" t="s">
        <v>172</v>
      </c>
      <c r="B20" s="70">
        <f>C20+D20+E20+F20+G20+H20+I20</f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SheetLayoutView="11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" sqref="D1:G16384"/>
    </sheetView>
  </sheetViews>
  <sheetFormatPr defaultColWidth="9.140625" defaultRowHeight="15"/>
  <cols>
    <col min="1" max="1" width="5.28125" style="82" customWidth="1"/>
    <col min="2" max="2" width="48.421875" style="82" customWidth="1"/>
    <col min="3" max="3" width="10.8515625" style="82" customWidth="1"/>
    <col min="4" max="4" width="10.00390625" style="82" customWidth="1"/>
    <col min="5" max="5" width="14.421875" style="82" customWidth="1"/>
    <col min="6" max="6" width="14.7109375" style="82" customWidth="1"/>
    <col min="7" max="7" width="15.421875" style="82" customWidth="1"/>
    <col min="8" max="11" width="16.28125" style="82" customWidth="1"/>
    <col min="12" max="12" width="13.8515625" style="82" customWidth="1"/>
    <col min="13" max="13" width="25.421875" style="82" customWidth="1"/>
    <col min="14" max="20" width="4.421875" style="82" bestFit="1" customWidth="1"/>
    <col min="21" max="21" width="17.7109375" style="82" customWidth="1"/>
    <col min="22" max="16384" width="9.140625" style="82" customWidth="1"/>
  </cols>
  <sheetData>
    <row r="1" spans="20:21" s="52" customFormat="1" ht="27" customHeight="1">
      <c r="T1" s="61"/>
      <c r="U1" s="173" t="s">
        <v>277</v>
      </c>
    </row>
    <row r="2" spans="1:21" s="52" customFormat="1" ht="15.75">
      <c r="A2" s="300" t="s">
        <v>32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31.5" customHeight="1">
      <c r="A3" s="296" t="s">
        <v>161</v>
      </c>
      <c r="B3" s="237" t="s">
        <v>173</v>
      </c>
      <c r="C3" s="237" t="s">
        <v>174</v>
      </c>
      <c r="D3" s="237" t="s">
        <v>163</v>
      </c>
      <c r="E3" s="237" t="s">
        <v>175</v>
      </c>
      <c r="F3" s="237"/>
      <c r="G3" s="237"/>
      <c r="H3" s="237"/>
      <c r="I3" s="237"/>
      <c r="J3" s="237"/>
      <c r="K3" s="237"/>
      <c r="L3" s="237"/>
      <c r="M3" s="296" t="s">
        <v>64</v>
      </c>
      <c r="N3" s="296"/>
      <c r="O3" s="296"/>
      <c r="P3" s="296"/>
      <c r="Q3" s="296"/>
      <c r="R3" s="296"/>
      <c r="S3" s="296"/>
      <c r="T3" s="296"/>
      <c r="U3" s="294" t="s">
        <v>176</v>
      </c>
    </row>
    <row r="4" spans="1:21" ht="21" customHeight="1">
      <c r="A4" s="296"/>
      <c r="B4" s="237"/>
      <c r="C4" s="237"/>
      <c r="D4" s="237"/>
      <c r="E4" s="83" t="s">
        <v>152</v>
      </c>
      <c r="F4" s="49" t="s">
        <v>141</v>
      </c>
      <c r="G4" s="49" t="s">
        <v>142</v>
      </c>
      <c r="H4" s="49" t="s">
        <v>143</v>
      </c>
      <c r="I4" s="49" t="s">
        <v>144</v>
      </c>
      <c r="J4" s="49" t="s">
        <v>145</v>
      </c>
      <c r="K4" s="49" t="s">
        <v>146</v>
      </c>
      <c r="L4" s="49" t="s">
        <v>147</v>
      </c>
      <c r="M4" s="12" t="s">
        <v>162</v>
      </c>
      <c r="N4" s="49" t="s">
        <v>141</v>
      </c>
      <c r="O4" s="49" t="s">
        <v>142</v>
      </c>
      <c r="P4" s="49" t="s">
        <v>143</v>
      </c>
      <c r="Q4" s="49" t="s">
        <v>144</v>
      </c>
      <c r="R4" s="49" t="s">
        <v>145</v>
      </c>
      <c r="S4" s="49" t="s">
        <v>146</v>
      </c>
      <c r="T4" s="49" t="s">
        <v>147</v>
      </c>
      <c r="U4" s="295"/>
    </row>
    <row r="5" spans="1:21" ht="12.7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</row>
    <row r="6" spans="1:21" ht="23.25" customHeight="1">
      <c r="A6" s="84"/>
      <c r="B6" s="288" t="s">
        <v>272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21" ht="22.5" customHeight="1">
      <c r="A7" s="84">
        <v>1</v>
      </c>
      <c r="B7" s="288" t="s">
        <v>29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2.75">
      <c r="A8" s="286" t="s">
        <v>192</v>
      </c>
      <c r="B8" s="353" t="s">
        <v>273</v>
      </c>
      <c r="C8" s="277" t="s">
        <v>132</v>
      </c>
      <c r="D8" s="85" t="s">
        <v>152</v>
      </c>
      <c r="E8" s="86">
        <f>E10+E11+E12+E13</f>
        <v>196207888.82</v>
      </c>
      <c r="F8" s="86">
        <f aca="true" t="shared" si="0" ref="F8:L8">F10+F11+F12+F13</f>
        <v>28284131</v>
      </c>
      <c r="G8" s="86">
        <f t="shared" si="0"/>
        <v>26363282.82</v>
      </c>
      <c r="H8" s="86">
        <f t="shared" si="0"/>
        <v>28108519</v>
      </c>
      <c r="I8" s="86">
        <f t="shared" si="0"/>
        <v>28362989</v>
      </c>
      <c r="J8" s="86">
        <f t="shared" si="0"/>
        <v>28362989</v>
      </c>
      <c r="K8" s="86">
        <f t="shared" si="0"/>
        <v>28362989</v>
      </c>
      <c r="L8" s="86">
        <f t="shared" si="0"/>
        <v>28362989</v>
      </c>
      <c r="M8" s="324" t="s">
        <v>6</v>
      </c>
      <c r="N8" s="372">
        <v>35</v>
      </c>
      <c r="O8" s="372">
        <v>35</v>
      </c>
      <c r="P8" s="372">
        <v>35</v>
      </c>
      <c r="Q8" s="372">
        <v>35</v>
      </c>
      <c r="R8" s="372">
        <v>35</v>
      </c>
      <c r="S8" s="372">
        <v>35</v>
      </c>
      <c r="T8" s="372">
        <v>35</v>
      </c>
      <c r="U8" s="324" t="s">
        <v>98</v>
      </c>
    </row>
    <row r="9" spans="1:21" ht="12.75">
      <c r="A9" s="286"/>
      <c r="B9" s="354"/>
      <c r="C9" s="278"/>
      <c r="D9" s="283" t="s">
        <v>177</v>
      </c>
      <c r="E9" s="284"/>
      <c r="F9" s="284"/>
      <c r="G9" s="284"/>
      <c r="H9" s="284"/>
      <c r="I9" s="284"/>
      <c r="J9" s="284"/>
      <c r="K9" s="284"/>
      <c r="L9" s="285"/>
      <c r="M9" s="325"/>
      <c r="N9" s="373"/>
      <c r="O9" s="373"/>
      <c r="P9" s="373"/>
      <c r="Q9" s="373"/>
      <c r="R9" s="373"/>
      <c r="S9" s="373"/>
      <c r="T9" s="373"/>
      <c r="U9" s="325"/>
    </row>
    <row r="10" spans="1:21" ht="12.75">
      <c r="A10" s="286"/>
      <c r="B10" s="354"/>
      <c r="C10" s="278"/>
      <c r="D10" s="87" t="s">
        <v>150</v>
      </c>
      <c r="E10" s="88">
        <f>F10+G10+H10+I10+J10+K10+L10</f>
        <v>196207888.82</v>
      </c>
      <c r="F10" s="88">
        <v>28284131</v>
      </c>
      <c r="G10" s="88">
        <f>27844424.6-1481141.78</f>
        <v>26363282.82</v>
      </c>
      <c r="H10" s="88">
        <v>28108519</v>
      </c>
      <c r="I10" s="88">
        <v>28362989</v>
      </c>
      <c r="J10" s="88">
        <v>28362989</v>
      </c>
      <c r="K10" s="88">
        <v>28362989</v>
      </c>
      <c r="L10" s="88">
        <v>28362989</v>
      </c>
      <c r="M10" s="325"/>
      <c r="N10" s="373"/>
      <c r="O10" s="373"/>
      <c r="P10" s="373"/>
      <c r="Q10" s="373"/>
      <c r="R10" s="373"/>
      <c r="S10" s="373"/>
      <c r="T10" s="373"/>
      <c r="U10" s="325"/>
    </row>
    <row r="11" spans="1:21" ht="12.75">
      <c r="A11" s="286"/>
      <c r="B11" s="354"/>
      <c r="C11" s="278"/>
      <c r="D11" s="87" t="s">
        <v>148</v>
      </c>
      <c r="E11" s="88">
        <f>F11+G11+H11+I11+J11+K11+L11</f>
        <v>0</v>
      </c>
      <c r="F11" s="88"/>
      <c r="G11" s="88"/>
      <c r="H11" s="88"/>
      <c r="I11" s="88"/>
      <c r="J11" s="88"/>
      <c r="K11" s="88"/>
      <c r="L11" s="88"/>
      <c r="M11" s="325"/>
      <c r="N11" s="373"/>
      <c r="O11" s="373"/>
      <c r="P11" s="373"/>
      <c r="Q11" s="373"/>
      <c r="R11" s="373"/>
      <c r="S11" s="373"/>
      <c r="T11" s="373"/>
      <c r="U11" s="325"/>
    </row>
    <row r="12" spans="1:21" ht="12.75">
      <c r="A12" s="286"/>
      <c r="B12" s="354"/>
      <c r="C12" s="278"/>
      <c r="D12" s="87" t="s">
        <v>149</v>
      </c>
      <c r="E12" s="88">
        <f>F12+G12+H12+I12+J12+K12+L12</f>
        <v>0</v>
      </c>
      <c r="F12" s="88"/>
      <c r="G12" s="88"/>
      <c r="H12" s="88"/>
      <c r="I12" s="88"/>
      <c r="J12" s="88"/>
      <c r="K12" s="88"/>
      <c r="L12" s="88"/>
      <c r="M12" s="325"/>
      <c r="N12" s="373"/>
      <c r="O12" s="373"/>
      <c r="P12" s="373"/>
      <c r="Q12" s="373"/>
      <c r="R12" s="373"/>
      <c r="S12" s="373"/>
      <c r="T12" s="373"/>
      <c r="U12" s="325"/>
    </row>
    <row r="13" spans="1:21" ht="12.75">
      <c r="A13" s="286"/>
      <c r="B13" s="355"/>
      <c r="C13" s="279"/>
      <c r="D13" s="87" t="s">
        <v>151</v>
      </c>
      <c r="E13" s="88">
        <f>F13+G13+H13+I13+J13+K13+L13</f>
        <v>0</v>
      </c>
      <c r="F13" s="88"/>
      <c r="G13" s="88"/>
      <c r="H13" s="88"/>
      <c r="I13" s="88"/>
      <c r="J13" s="88"/>
      <c r="K13" s="88"/>
      <c r="L13" s="88"/>
      <c r="M13" s="326"/>
      <c r="N13" s="374"/>
      <c r="O13" s="374"/>
      <c r="P13" s="374"/>
      <c r="Q13" s="374"/>
      <c r="R13" s="374"/>
      <c r="S13" s="374"/>
      <c r="T13" s="374"/>
      <c r="U13" s="326"/>
    </row>
    <row r="14" spans="1:21" ht="12.75">
      <c r="A14" s="286" t="s">
        <v>193</v>
      </c>
      <c r="B14" s="353" t="s">
        <v>274</v>
      </c>
      <c r="C14" s="277" t="s">
        <v>132</v>
      </c>
      <c r="D14" s="85" t="s">
        <v>152</v>
      </c>
      <c r="E14" s="86">
        <f>E16+E17+E18+E19</f>
        <v>598708.08</v>
      </c>
      <c r="F14" s="86">
        <f aca="true" t="shared" si="1" ref="F14:L14">F16+F17+F18+F19</f>
        <v>116738</v>
      </c>
      <c r="G14" s="86">
        <f t="shared" si="1"/>
        <v>71610.07999999999</v>
      </c>
      <c r="H14" s="86">
        <f t="shared" si="1"/>
        <v>79280</v>
      </c>
      <c r="I14" s="86">
        <f t="shared" si="1"/>
        <v>82770</v>
      </c>
      <c r="J14" s="86">
        <f t="shared" si="1"/>
        <v>82770</v>
      </c>
      <c r="K14" s="86">
        <f t="shared" si="1"/>
        <v>82770</v>
      </c>
      <c r="L14" s="86">
        <f t="shared" si="1"/>
        <v>82770</v>
      </c>
      <c r="M14" s="324" t="s">
        <v>12</v>
      </c>
      <c r="N14" s="272">
        <v>1</v>
      </c>
      <c r="O14" s="272">
        <v>1</v>
      </c>
      <c r="P14" s="272">
        <v>1</v>
      </c>
      <c r="Q14" s="272">
        <v>1</v>
      </c>
      <c r="R14" s="272">
        <v>1</v>
      </c>
      <c r="S14" s="272">
        <v>1</v>
      </c>
      <c r="T14" s="272">
        <v>1</v>
      </c>
      <c r="U14" s="324" t="s">
        <v>98</v>
      </c>
    </row>
    <row r="15" spans="1:21" ht="12.75">
      <c r="A15" s="286"/>
      <c r="B15" s="354"/>
      <c r="C15" s="278"/>
      <c r="D15" s="283" t="s">
        <v>177</v>
      </c>
      <c r="E15" s="284"/>
      <c r="F15" s="284"/>
      <c r="G15" s="284"/>
      <c r="H15" s="284"/>
      <c r="I15" s="284"/>
      <c r="J15" s="284"/>
      <c r="K15" s="284"/>
      <c r="L15" s="285"/>
      <c r="M15" s="325"/>
      <c r="N15" s="273"/>
      <c r="O15" s="273"/>
      <c r="P15" s="273"/>
      <c r="Q15" s="273"/>
      <c r="R15" s="273"/>
      <c r="S15" s="273"/>
      <c r="T15" s="273"/>
      <c r="U15" s="325"/>
    </row>
    <row r="16" spans="1:21" ht="12.75">
      <c r="A16" s="286"/>
      <c r="B16" s="354"/>
      <c r="C16" s="278"/>
      <c r="D16" s="87" t="s">
        <v>150</v>
      </c>
      <c r="E16" s="88">
        <f>F16+G16+H16+I16+J16+K16+L16</f>
        <v>598708.08</v>
      </c>
      <c r="F16" s="88">
        <v>116738</v>
      </c>
      <c r="G16" s="88">
        <f>75631.4-4021.32</f>
        <v>71610.07999999999</v>
      </c>
      <c r="H16" s="88">
        <v>79280</v>
      </c>
      <c r="I16" s="88">
        <v>82770</v>
      </c>
      <c r="J16" s="88">
        <v>82770</v>
      </c>
      <c r="K16" s="88">
        <v>82770</v>
      </c>
      <c r="L16" s="88">
        <v>82770</v>
      </c>
      <c r="M16" s="325"/>
      <c r="N16" s="273"/>
      <c r="O16" s="273"/>
      <c r="P16" s="273"/>
      <c r="Q16" s="273"/>
      <c r="R16" s="273"/>
      <c r="S16" s="273"/>
      <c r="T16" s="273"/>
      <c r="U16" s="325"/>
    </row>
    <row r="17" spans="1:21" ht="12.75">
      <c r="A17" s="286"/>
      <c r="B17" s="354"/>
      <c r="C17" s="278"/>
      <c r="D17" s="87" t="s">
        <v>148</v>
      </c>
      <c r="E17" s="88">
        <f>F17+G17+H17+I17+J17+K17+L17</f>
        <v>0</v>
      </c>
      <c r="F17" s="88"/>
      <c r="G17" s="88"/>
      <c r="H17" s="88"/>
      <c r="I17" s="88"/>
      <c r="J17" s="88"/>
      <c r="K17" s="88"/>
      <c r="L17" s="88"/>
      <c r="M17" s="325"/>
      <c r="N17" s="273"/>
      <c r="O17" s="273"/>
      <c r="P17" s="273"/>
      <c r="Q17" s="273"/>
      <c r="R17" s="273"/>
      <c r="S17" s="273"/>
      <c r="T17" s="273"/>
      <c r="U17" s="325"/>
    </row>
    <row r="18" spans="1:21" ht="12.75">
      <c r="A18" s="286"/>
      <c r="B18" s="354"/>
      <c r="C18" s="278"/>
      <c r="D18" s="87" t="s">
        <v>149</v>
      </c>
      <c r="E18" s="88">
        <f>F18+G18+H18+I18+J18+K18+L18</f>
        <v>0</v>
      </c>
      <c r="F18" s="88"/>
      <c r="G18" s="88"/>
      <c r="H18" s="88"/>
      <c r="I18" s="88"/>
      <c r="J18" s="88"/>
      <c r="K18" s="88"/>
      <c r="L18" s="88"/>
      <c r="M18" s="325"/>
      <c r="N18" s="273"/>
      <c r="O18" s="273"/>
      <c r="P18" s="273"/>
      <c r="Q18" s="273"/>
      <c r="R18" s="273"/>
      <c r="S18" s="273"/>
      <c r="T18" s="273"/>
      <c r="U18" s="325"/>
    </row>
    <row r="19" spans="1:21" ht="12.75">
      <c r="A19" s="286"/>
      <c r="B19" s="355"/>
      <c r="C19" s="279"/>
      <c r="D19" s="87" t="s">
        <v>151</v>
      </c>
      <c r="E19" s="88">
        <f>F19+G19+H19+I19+J19+K19+L19</f>
        <v>0</v>
      </c>
      <c r="F19" s="88"/>
      <c r="G19" s="88"/>
      <c r="H19" s="88"/>
      <c r="I19" s="88"/>
      <c r="J19" s="88"/>
      <c r="K19" s="88"/>
      <c r="L19" s="88"/>
      <c r="M19" s="326"/>
      <c r="N19" s="276"/>
      <c r="O19" s="276"/>
      <c r="P19" s="276"/>
      <c r="Q19" s="276"/>
      <c r="R19" s="276"/>
      <c r="S19" s="276"/>
      <c r="T19" s="276"/>
      <c r="U19" s="326"/>
    </row>
    <row r="20" spans="1:21" ht="12.75">
      <c r="A20" s="286" t="s">
        <v>194</v>
      </c>
      <c r="B20" s="287" t="s">
        <v>315</v>
      </c>
      <c r="C20" s="277" t="s">
        <v>132</v>
      </c>
      <c r="D20" s="85" t="s">
        <v>152</v>
      </c>
      <c r="E20" s="86">
        <f>E22+E23+E24+E25</f>
        <v>773500</v>
      </c>
      <c r="F20" s="86">
        <f aca="true" t="shared" si="2" ref="F20:L20">F22+F23+F24+F25</f>
        <v>0</v>
      </c>
      <c r="G20" s="86">
        <f t="shared" si="2"/>
        <v>123500</v>
      </c>
      <c r="H20" s="86">
        <f t="shared" si="2"/>
        <v>130000</v>
      </c>
      <c r="I20" s="86">
        <f t="shared" si="2"/>
        <v>130000</v>
      </c>
      <c r="J20" s="86">
        <f t="shared" si="2"/>
        <v>130000</v>
      </c>
      <c r="K20" s="86">
        <f t="shared" si="2"/>
        <v>130000</v>
      </c>
      <c r="L20" s="86">
        <f t="shared" si="2"/>
        <v>130000</v>
      </c>
      <c r="M20" s="324" t="s">
        <v>338</v>
      </c>
      <c r="N20" s="272">
        <v>1</v>
      </c>
      <c r="O20" s="272">
        <v>1</v>
      </c>
      <c r="P20" s="272">
        <v>1</v>
      </c>
      <c r="Q20" s="272">
        <v>1</v>
      </c>
      <c r="R20" s="272">
        <v>1</v>
      </c>
      <c r="S20" s="272">
        <v>1</v>
      </c>
      <c r="T20" s="272">
        <v>1</v>
      </c>
      <c r="U20" s="324" t="s">
        <v>98</v>
      </c>
    </row>
    <row r="21" spans="1:21" ht="12.75">
      <c r="A21" s="286"/>
      <c r="B21" s="287"/>
      <c r="C21" s="278"/>
      <c r="D21" s="283" t="s">
        <v>177</v>
      </c>
      <c r="E21" s="284"/>
      <c r="F21" s="284"/>
      <c r="G21" s="284"/>
      <c r="H21" s="284"/>
      <c r="I21" s="284"/>
      <c r="J21" s="284"/>
      <c r="K21" s="284"/>
      <c r="L21" s="285"/>
      <c r="M21" s="325"/>
      <c r="N21" s="273"/>
      <c r="O21" s="273"/>
      <c r="P21" s="273"/>
      <c r="Q21" s="273"/>
      <c r="R21" s="273"/>
      <c r="S21" s="273"/>
      <c r="T21" s="273"/>
      <c r="U21" s="325"/>
    </row>
    <row r="22" spans="1:21" ht="12.75">
      <c r="A22" s="286"/>
      <c r="B22" s="287"/>
      <c r="C22" s="278"/>
      <c r="D22" s="87" t="s">
        <v>150</v>
      </c>
      <c r="E22" s="88">
        <f>F22+G22+H22+I22+J22+K22+L22</f>
        <v>773500</v>
      </c>
      <c r="F22" s="88"/>
      <c r="G22" s="88">
        <f>130000-6500</f>
        <v>123500</v>
      </c>
      <c r="H22" s="88">
        <v>130000</v>
      </c>
      <c r="I22" s="88">
        <v>130000</v>
      </c>
      <c r="J22" s="88">
        <v>130000</v>
      </c>
      <c r="K22" s="88">
        <v>130000</v>
      </c>
      <c r="L22" s="88">
        <v>130000</v>
      </c>
      <c r="M22" s="325"/>
      <c r="N22" s="273"/>
      <c r="O22" s="273"/>
      <c r="P22" s="273"/>
      <c r="Q22" s="273"/>
      <c r="R22" s="273"/>
      <c r="S22" s="273"/>
      <c r="T22" s="273"/>
      <c r="U22" s="325"/>
    </row>
    <row r="23" spans="1:21" ht="12.75">
      <c r="A23" s="286"/>
      <c r="B23" s="287"/>
      <c r="C23" s="278"/>
      <c r="D23" s="87" t="s">
        <v>148</v>
      </c>
      <c r="E23" s="88">
        <f>F23+G23+H23+I23+J23+K23+L23</f>
        <v>0</v>
      </c>
      <c r="F23" s="88"/>
      <c r="G23" s="88"/>
      <c r="H23" s="88"/>
      <c r="I23" s="88"/>
      <c r="J23" s="88"/>
      <c r="K23" s="88"/>
      <c r="L23" s="88"/>
      <c r="M23" s="325"/>
      <c r="N23" s="273"/>
      <c r="O23" s="273"/>
      <c r="P23" s="273"/>
      <c r="Q23" s="273"/>
      <c r="R23" s="273"/>
      <c r="S23" s="273"/>
      <c r="T23" s="273"/>
      <c r="U23" s="325"/>
    </row>
    <row r="24" spans="1:21" ht="12.75">
      <c r="A24" s="286"/>
      <c r="B24" s="287"/>
      <c r="C24" s="278"/>
      <c r="D24" s="87" t="s">
        <v>149</v>
      </c>
      <c r="E24" s="88">
        <f>F24+G24+H24+I24+J24+K24+L24</f>
        <v>0</v>
      </c>
      <c r="F24" s="88"/>
      <c r="G24" s="88"/>
      <c r="H24" s="88"/>
      <c r="I24" s="88"/>
      <c r="J24" s="88"/>
      <c r="K24" s="88"/>
      <c r="L24" s="88"/>
      <c r="M24" s="325"/>
      <c r="N24" s="273"/>
      <c r="O24" s="273"/>
      <c r="P24" s="273"/>
      <c r="Q24" s="273"/>
      <c r="R24" s="273"/>
      <c r="S24" s="273"/>
      <c r="T24" s="273"/>
      <c r="U24" s="325"/>
    </row>
    <row r="25" spans="1:21" ht="12.75">
      <c r="A25" s="286"/>
      <c r="B25" s="287"/>
      <c r="C25" s="279"/>
      <c r="D25" s="87" t="s">
        <v>151</v>
      </c>
      <c r="E25" s="88">
        <f>F25+G25+H25+I25+J25+K25+L25</f>
        <v>0</v>
      </c>
      <c r="F25" s="88"/>
      <c r="G25" s="88"/>
      <c r="H25" s="88"/>
      <c r="I25" s="88"/>
      <c r="J25" s="88"/>
      <c r="K25" s="88"/>
      <c r="L25" s="88"/>
      <c r="M25" s="326"/>
      <c r="N25" s="276"/>
      <c r="O25" s="276"/>
      <c r="P25" s="276"/>
      <c r="Q25" s="276"/>
      <c r="R25" s="276"/>
      <c r="S25" s="276"/>
      <c r="T25" s="276"/>
      <c r="U25" s="326"/>
    </row>
    <row r="26" spans="1:21" ht="12.75">
      <c r="A26" s="286" t="s">
        <v>203</v>
      </c>
      <c r="B26" s="353" t="s">
        <v>186</v>
      </c>
      <c r="C26" s="277" t="s">
        <v>132</v>
      </c>
      <c r="D26" s="85" t="s">
        <v>152</v>
      </c>
      <c r="E26" s="86">
        <f>E28+E29+E30+E31</f>
        <v>15480000</v>
      </c>
      <c r="F26" s="86">
        <f aca="true" t="shared" si="3" ref="F26:L26">F28+F29+F30+F31</f>
        <v>1000000</v>
      </c>
      <c r="G26" s="86">
        <f t="shared" si="3"/>
        <v>2040000</v>
      </c>
      <c r="H26" s="86">
        <f t="shared" si="3"/>
        <v>2488000</v>
      </c>
      <c r="I26" s="86">
        <f t="shared" si="3"/>
        <v>2488000</v>
      </c>
      <c r="J26" s="86">
        <f t="shared" si="3"/>
        <v>2488000</v>
      </c>
      <c r="K26" s="86">
        <f t="shared" si="3"/>
        <v>2488000</v>
      </c>
      <c r="L26" s="86">
        <f t="shared" si="3"/>
        <v>2488000</v>
      </c>
      <c r="M26" s="324" t="s">
        <v>14</v>
      </c>
      <c r="N26" s="272">
        <v>1</v>
      </c>
      <c r="O26" s="272">
        <v>1</v>
      </c>
      <c r="P26" s="272">
        <v>1</v>
      </c>
      <c r="Q26" s="272">
        <v>1</v>
      </c>
      <c r="R26" s="272">
        <v>1</v>
      </c>
      <c r="S26" s="272">
        <v>1</v>
      </c>
      <c r="T26" s="272">
        <v>1</v>
      </c>
      <c r="U26" s="324" t="s">
        <v>98</v>
      </c>
    </row>
    <row r="27" spans="1:21" ht="12.75">
      <c r="A27" s="286"/>
      <c r="B27" s="354"/>
      <c r="C27" s="278"/>
      <c r="D27" s="283" t="s">
        <v>177</v>
      </c>
      <c r="E27" s="284"/>
      <c r="F27" s="284"/>
      <c r="G27" s="284"/>
      <c r="H27" s="284"/>
      <c r="I27" s="284"/>
      <c r="J27" s="284"/>
      <c r="K27" s="284"/>
      <c r="L27" s="285"/>
      <c r="M27" s="325"/>
      <c r="N27" s="273"/>
      <c r="O27" s="273"/>
      <c r="P27" s="273"/>
      <c r="Q27" s="273"/>
      <c r="R27" s="273"/>
      <c r="S27" s="273"/>
      <c r="T27" s="273"/>
      <c r="U27" s="325"/>
    </row>
    <row r="28" spans="1:21" ht="12.75">
      <c r="A28" s="286"/>
      <c r="B28" s="354"/>
      <c r="C28" s="278"/>
      <c r="D28" s="87" t="s">
        <v>150</v>
      </c>
      <c r="E28" s="88">
        <f>F28+G28+H28+I28+J28+K28+L28</f>
        <v>0</v>
      </c>
      <c r="F28" s="88"/>
      <c r="G28" s="88"/>
      <c r="H28" s="88"/>
      <c r="I28" s="88"/>
      <c r="J28" s="88"/>
      <c r="K28" s="88"/>
      <c r="L28" s="88"/>
      <c r="M28" s="325"/>
      <c r="N28" s="273"/>
      <c r="O28" s="273"/>
      <c r="P28" s="273"/>
      <c r="Q28" s="273"/>
      <c r="R28" s="273"/>
      <c r="S28" s="273"/>
      <c r="T28" s="273"/>
      <c r="U28" s="325"/>
    </row>
    <row r="29" spans="1:21" ht="12.75">
      <c r="A29" s="286"/>
      <c r="B29" s="354"/>
      <c r="C29" s="278"/>
      <c r="D29" s="87" t="s">
        <v>148</v>
      </c>
      <c r="E29" s="88">
        <f>F29+G29+H29+I29+J29+K29+L29</f>
        <v>0</v>
      </c>
      <c r="F29" s="88"/>
      <c r="G29" s="88"/>
      <c r="H29" s="88"/>
      <c r="I29" s="88"/>
      <c r="J29" s="88"/>
      <c r="K29" s="88"/>
      <c r="L29" s="88"/>
      <c r="M29" s="325"/>
      <c r="N29" s="273"/>
      <c r="O29" s="273"/>
      <c r="P29" s="273"/>
      <c r="Q29" s="273"/>
      <c r="R29" s="273"/>
      <c r="S29" s="273"/>
      <c r="T29" s="273"/>
      <c r="U29" s="325"/>
    </row>
    <row r="30" spans="1:21" ht="12.75">
      <c r="A30" s="286"/>
      <c r="B30" s="354"/>
      <c r="C30" s="278"/>
      <c r="D30" s="87" t="s">
        <v>149</v>
      </c>
      <c r="E30" s="88">
        <f>F30+G30+H30+I30+J30+K30+L30</f>
        <v>0</v>
      </c>
      <c r="F30" s="88"/>
      <c r="G30" s="88"/>
      <c r="H30" s="88"/>
      <c r="I30" s="88"/>
      <c r="J30" s="88"/>
      <c r="K30" s="88"/>
      <c r="L30" s="88"/>
      <c r="M30" s="325"/>
      <c r="N30" s="273"/>
      <c r="O30" s="273"/>
      <c r="P30" s="273"/>
      <c r="Q30" s="273"/>
      <c r="R30" s="273"/>
      <c r="S30" s="273"/>
      <c r="T30" s="273"/>
      <c r="U30" s="325"/>
    </row>
    <row r="31" spans="1:21" ht="12.75">
      <c r="A31" s="286"/>
      <c r="B31" s="355"/>
      <c r="C31" s="279"/>
      <c r="D31" s="87" t="s">
        <v>151</v>
      </c>
      <c r="E31" s="88">
        <f>F31+G31+H31+I31+J31+K31+L31</f>
        <v>15480000</v>
      </c>
      <c r="F31" s="88">
        <f>1700000-700000</f>
        <v>1000000</v>
      </c>
      <c r="G31" s="88">
        <v>2040000</v>
      </c>
      <c r="H31" s="88">
        <v>2488000</v>
      </c>
      <c r="I31" s="88">
        <v>2488000</v>
      </c>
      <c r="J31" s="88">
        <v>2488000</v>
      </c>
      <c r="K31" s="88">
        <v>2488000</v>
      </c>
      <c r="L31" s="88">
        <v>2488000</v>
      </c>
      <c r="M31" s="326"/>
      <c r="N31" s="276"/>
      <c r="O31" s="276"/>
      <c r="P31" s="276"/>
      <c r="Q31" s="276"/>
      <c r="R31" s="276"/>
      <c r="S31" s="276"/>
      <c r="T31" s="276"/>
      <c r="U31" s="326"/>
    </row>
    <row r="32" spans="1:21" ht="13.5">
      <c r="A32" s="297"/>
      <c r="B32" s="330" t="s">
        <v>236</v>
      </c>
      <c r="C32" s="297"/>
      <c r="D32" s="90" t="s">
        <v>152</v>
      </c>
      <c r="E32" s="91">
        <f aca="true" t="shared" si="4" ref="E32:L32">E34+E35+E36+E37</f>
        <v>213060096.9</v>
      </c>
      <c r="F32" s="91">
        <f t="shared" si="4"/>
        <v>29400869</v>
      </c>
      <c r="G32" s="91">
        <f t="shared" si="4"/>
        <v>28598392.9</v>
      </c>
      <c r="H32" s="91">
        <f t="shared" si="4"/>
        <v>30805799</v>
      </c>
      <c r="I32" s="91">
        <f t="shared" si="4"/>
        <v>31063759</v>
      </c>
      <c r="J32" s="91">
        <f t="shared" si="4"/>
        <v>31063759</v>
      </c>
      <c r="K32" s="91">
        <f t="shared" si="4"/>
        <v>31063759</v>
      </c>
      <c r="L32" s="91">
        <f t="shared" si="4"/>
        <v>31063759</v>
      </c>
      <c r="M32" s="309"/>
      <c r="N32" s="303"/>
      <c r="O32" s="303"/>
      <c r="P32" s="303"/>
      <c r="Q32" s="303"/>
      <c r="R32" s="303"/>
      <c r="S32" s="303"/>
      <c r="T32" s="303"/>
      <c r="U32" s="306"/>
    </row>
    <row r="33" spans="1:21" ht="12.75" customHeight="1">
      <c r="A33" s="297"/>
      <c r="B33" s="331"/>
      <c r="C33" s="297"/>
      <c r="D33" s="312" t="s">
        <v>177</v>
      </c>
      <c r="E33" s="313"/>
      <c r="F33" s="313"/>
      <c r="G33" s="313"/>
      <c r="H33" s="313"/>
      <c r="I33" s="313"/>
      <c r="J33" s="313"/>
      <c r="K33" s="313"/>
      <c r="L33" s="314"/>
      <c r="M33" s="310"/>
      <c r="N33" s="304"/>
      <c r="O33" s="304"/>
      <c r="P33" s="304"/>
      <c r="Q33" s="304"/>
      <c r="R33" s="304"/>
      <c r="S33" s="304"/>
      <c r="T33" s="304"/>
      <c r="U33" s="307"/>
    </row>
    <row r="34" spans="1:21" ht="13.5" customHeight="1">
      <c r="A34" s="297"/>
      <c r="B34" s="331"/>
      <c r="C34" s="297"/>
      <c r="D34" s="92" t="s">
        <v>150</v>
      </c>
      <c r="E34" s="91">
        <f>F34+G34+H34+I34+J34+K34+L34</f>
        <v>197580096.9</v>
      </c>
      <c r="F34" s="93">
        <f>F10+F16+F22+F28</f>
        <v>28400869</v>
      </c>
      <c r="G34" s="93">
        <f aca="true" t="shared" si="5" ref="G34:L34">G10+G16+G28+G22</f>
        <v>26558392.9</v>
      </c>
      <c r="H34" s="93">
        <f t="shared" si="5"/>
        <v>28317799</v>
      </c>
      <c r="I34" s="93">
        <f t="shared" si="5"/>
        <v>28575759</v>
      </c>
      <c r="J34" s="93">
        <f t="shared" si="5"/>
        <v>28575759</v>
      </c>
      <c r="K34" s="93">
        <f t="shared" si="5"/>
        <v>28575759</v>
      </c>
      <c r="L34" s="93">
        <f t="shared" si="5"/>
        <v>28575759</v>
      </c>
      <c r="M34" s="310"/>
      <c r="N34" s="304"/>
      <c r="O34" s="304"/>
      <c r="P34" s="304"/>
      <c r="Q34" s="304"/>
      <c r="R34" s="304"/>
      <c r="S34" s="304"/>
      <c r="T34" s="304"/>
      <c r="U34" s="307"/>
    </row>
    <row r="35" spans="1:21" ht="13.5" customHeight="1">
      <c r="A35" s="297"/>
      <c r="B35" s="331"/>
      <c r="C35" s="297"/>
      <c r="D35" s="92" t="s">
        <v>148</v>
      </c>
      <c r="E35" s="91">
        <f>F35+G35+H35+I35+J35+K35+L35</f>
        <v>0</v>
      </c>
      <c r="F35" s="93">
        <f aca="true" t="shared" si="6" ref="F35:L37">F11+F17+F29</f>
        <v>0</v>
      </c>
      <c r="G35" s="93">
        <f t="shared" si="6"/>
        <v>0</v>
      </c>
      <c r="H35" s="93">
        <f t="shared" si="6"/>
        <v>0</v>
      </c>
      <c r="I35" s="93">
        <f t="shared" si="6"/>
        <v>0</v>
      </c>
      <c r="J35" s="93">
        <f t="shared" si="6"/>
        <v>0</v>
      </c>
      <c r="K35" s="93">
        <f t="shared" si="6"/>
        <v>0</v>
      </c>
      <c r="L35" s="93">
        <f t="shared" si="6"/>
        <v>0</v>
      </c>
      <c r="M35" s="310"/>
      <c r="N35" s="304"/>
      <c r="O35" s="304"/>
      <c r="P35" s="304"/>
      <c r="Q35" s="304"/>
      <c r="R35" s="304"/>
      <c r="S35" s="304"/>
      <c r="T35" s="304"/>
      <c r="U35" s="307"/>
    </row>
    <row r="36" spans="1:21" ht="13.5" customHeight="1">
      <c r="A36" s="297"/>
      <c r="B36" s="331"/>
      <c r="C36" s="297"/>
      <c r="D36" s="92" t="s">
        <v>149</v>
      </c>
      <c r="E36" s="91">
        <f>F36+G36+H36+I36+J36+K36+L36</f>
        <v>0</v>
      </c>
      <c r="F36" s="93">
        <f t="shared" si="6"/>
        <v>0</v>
      </c>
      <c r="G36" s="93">
        <f t="shared" si="6"/>
        <v>0</v>
      </c>
      <c r="H36" s="93">
        <f t="shared" si="6"/>
        <v>0</v>
      </c>
      <c r="I36" s="93">
        <f t="shared" si="6"/>
        <v>0</v>
      </c>
      <c r="J36" s="93">
        <f t="shared" si="6"/>
        <v>0</v>
      </c>
      <c r="K36" s="93">
        <f t="shared" si="6"/>
        <v>0</v>
      </c>
      <c r="L36" s="93">
        <f t="shared" si="6"/>
        <v>0</v>
      </c>
      <c r="M36" s="310"/>
      <c r="N36" s="304"/>
      <c r="O36" s="304"/>
      <c r="P36" s="304"/>
      <c r="Q36" s="304"/>
      <c r="R36" s="304"/>
      <c r="S36" s="304"/>
      <c r="T36" s="304"/>
      <c r="U36" s="307"/>
    </row>
    <row r="37" spans="1:21" ht="13.5" customHeight="1">
      <c r="A37" s="297"/>
      <c r="B37" s="332"/>
      <c r="C37" s="297"/>
      <c r="D37" s="92" t="s">
        <v>151</v>
      </c>
      <c r="E37" s="91">
        <f>F37+G37+H37+I37+J37+K37+L37</f>
        <v>15480000</v>
      </c>
      <c r="F37" s="93">
        <f t="shared" si="6"/>
        <v>1000000</v>
      </c>
      <c r="G37" s="93">
        <f t="shared" si="6"/>
        <v>2040000</v>
      </c>
      <c r="H37" s="93">
        <f t="shared" si="6"/>
        <v>2488000</v>
      </c>
      <c r="I37" s="93">
        <f t="shared" si="6"/>
        <v>2488000</v>
      </c>
      <c r="J37" s="93">
        <f t="shared" si="6"/>
        <v>2488000</v>
      </c>
      <c r="K37" s="93">
        <f t="shared" si="6"/>
        <v>2488000</v>
      </c>
      <c r="L37" s="93">
        <f t="shared" si="6"/>
        <v>2488000</v>
      </c>
      <c r="M37" s="311"/>
      <c r="N37" s="305"/>
      <c r="O37" s="305"/>
      <c r="P37" s="305"/>
      <c r="Q37" s="305"/>
      <c r="R37" s="305"/>
      <c r="S37" s="305"/>
      <c r="T37" s="305"/>
      <c r="U37" s="308"/>
    </row>
    <row r="38" spans="1:21" ht="13.5" customHeight="1">
      <c r="A38" s="297"/>
      <c r="B38" s="330" t="s">
        <v>33</v>
      </c>
      <c r="C38" s="297"/>
      <c r="D38" s="90" t="s">
        <v>152</v>
      </c>
      <c r="E38" s="91">
        <f aca="true" t="shared" si="7" ref="E38:L38">E40+E41+E42+E43</f>
        <v>213060096.9</v>
      </c>
      <c r="F38" s="91">
        <f t="shared" si="7"/>
        <v>29400869</v>
      </c>
      <c r="G38" s="91">
        <f t="shared" si="7"/>
        <v>28598392.9</v>
      </c>
      <c r="H38" s="91">
        <f t="shared" si="7"/>
        <v>30805799</v>
      </c>
      <c r="I38" s="91">
        <f t="shared" si="7"/>
        <v>31063759</v>
      </c>
      <c r="J38" s="91">
        <f t="shared" si="7"/>
        <v>31063759</v>
      </c>
      <c r="K38" s="91">
        <f t="shared" si="7"/>
        <v>31063759</v>
      </c>
      <c r="L38" s="91">
        <f t="shared" si="7"/>
        <v>31063759</v>
      </c>
      <c r="M38" s="309"/>
      <c r="N38" s="303"/>
      <c r="O38" s="303"/>
      <c r="P38" s="303"/>
      <c r="Q38" s="303"/>
      <c r="R38" s="303"/>
      <c r="S38" s="303"/>
      <c r="T38" s="303"/>
      <c r="U38" s="306"/>
    </row>
    <row r="39" spans="1:21" ht="12.75" customHeight="1">
      <c r="A39" s="297"/>
      <c r="B39" s="331"/>
      <c r="C39" s="297"/>
      <c r="D39" s="312" t="s">
        <v>177</v>
      </c>
      <c r="E39" s="313"/>
      <c r="F39" s="313"/>
      <c r="G39" s="313"/>
      <c r="H39" s="313"/>
      <c r="I39" s="313"/>
      <c r="J39" s="313"/>
      <c r="K39" s="313"/>
      <c r="L39" s="314"/>
      <c r="M39" s="310"/>
      <c r="N39" s="304"/>
      <c r="O39" s="304"/>
      <c r="P39" s="304"/>
      <c r="Q39" s="304"/>
      <c r="R39" s="304"/>
      <c r="S39" s="304"/>
      <c r="T39" s="304"/>
      <c r="U39" s="307"/>
    </row>
    <row r="40" spans="1:21" ht="13.5" customHeight="1">
      <c r="A40" s="297"/>
      <c r="B40" s="331"/>
      <c r="C40" s="297"/>
      <c r="D40" s="92" t="s">
        <v>150</v>
      </c>
      <c r="E40" s="91">
        <f>F40+G40+H40+I40+J40+K40+L40</f>
        <v>197580096.9</v>
      </c>
      <c r="F40" s="93">
        <f>F34</f>
        <v>28400869</v>
      </c>
      <c r="G40" s="93">
        <f aca="true" t="shared" si="8" ref="G40:L40">G34</f>
        <v>26558392.9</v>
      </c>
      <c r="H40" s="93">
        <f t="shared" si="8"/>
        <v>28317799</v>
      </c>
      <c r="I40" s="93">
        <f t="shared" si="8"/>
        <v>28575759</v>
      </c>
      <c r="J40" s="93">
        <f t="shared" si="8"/>
        <v>28575759</v>
      </c>
      <c r="K40" s="93">
        <f t="shared" si="8"/>
        <v>28575759</v>
      </c>
      <c r="L40" s="93">
        <f t="shared" si="8"/>
        <v>28575759</v>
      </c>
      <c r="M40" s="310"/>
      <c r="N40" s="304"/>
      <c r="O40" s="304"/>
      <c r="P40" s="304"/>
      <c r="Q40" s="304"/>
      <c r="R40" s="304"/>
      <c r="S40" s="304"/>
      <c r="T40" s="304"/>
      <c r="U40" s="307"/>
    </row>
    <row r="41" spans="1:21" ht="13.5" customHeight="1">
      <c r="A41" s="297"/>
      <c r="B41" s="331"/>
      <c r="C41" s="297"/>
      <c r="D41" s="92" t="s">
        <v>148</v>
      </c>
      <c r="E41" s="91">
        <f>F41+G41+H41+I41+J41+K41+L41</f>
        <v>0</v>
      </c>
      <c r="F41" s="93">
        <f aca="true" t="shared" si="9" ref="F41:L43">F35</f>
        <v>0</v>
      </c>
      <c r="G41" s="93">
        <f t="shared" si="9"/>
        <v>0</v>
      </c>
      <c r="H41" s="93">
        <f t="shared" si="9"/>
        <v>0</v>
      </c>
      <c r="I41" s="93">
        <f t="shared" si="9"/>
        <v>0</v>
      </c>
      <c r="J41" s="93">
        <f t="shared" si="9"/>
        <v>0</v>
      </c>
      <c r="K41" s="93">
        <f t="shared" si="9"/>
        <v>0</v>
      </c>
      <c r="L41" s="93">
        <f t="shared" si="9"/>
        <v>0</v>
      </c>
      <c r="M41" s="310"/>
      <c r="N41" s="304"/>
      <c r="O41" s="304"/>
      <c r="P41" s="304"/>
      <c r="Q41" s="304"/>
      <c r="R41" s="304"/>
      <c r="S41" s="304"/>
      <c r="T41" s="304"/>
      <c r="U41" s="307"/>
    </row>
    <row r="42" spans="1:21" ht="13.5" customHeight="1">
      <c r="A42" s="297"/>
      <c r="B42" s="331"/>
      <c r="C42" s="297"/>
      <c r="D42" s="92" t="s">
        <v>149</v>
      </c>
      <c r="E42" s="91">
        <f>F42+G42+H42+I42+J42+K42+L42</f>
        <v>0</v>
      </c>
      <c r="F42" s="93">
        <f t="shared" si="9"/>
        <v>0</v>
      </c>
      <c r="G42" s="93">
        <f t="shared" si="9"/>
        <v>0</v>
      </c>
      <c r="H42" s="93">
        <f t="shared" si="9"/>
        <v>0</v>
      </c>
      <c r="I42" s="93">
        <f t="shared" si="9"/>
        <v>0</v>
      </c>
      <c r="J42" s="93">
        <f t="shared" si="9"/>
        <v>0</v>
      </c>
      <c r="K42" s="93">
        <f t="shared" si="9"/>
        <v>0</v>
      </c>
      <c r="L42" s="93">
        <f t="shared" si="9"/>
        <v>0</v>
      </c>
      <c r="M42" s="310"/>
      <c r="N42" s="304"/>
      <c r="O42" s="304"/>
      <c r="P42" s="304"/>
      <c r="Q42" s="304"/>
      <c r="R42" s="304"/>
      <c r="S42" s="304"/>
      <c r="T42" s="304"/>
      <c r="U42" s="307"/>
    </row>
    <row r="43" spans="1:21" ht="13.5" customHeight="1">
      <c r="A43" s="297"/>
      <c r="B43" s="332"/>
      <c r="C43" s="297"/>
      <c r="D43" s="92" t="s">
        <v>151</v>
      </c>
      <c r="E43" s="91">
        <f>F43+G43+H43+I43+J43+K43+L43</f>
        <v>15480000</v>
      </c>
      <c r="F43" s="93">
        <f t="shared" si="9"/>
        <v>1000000</v>
      </c>
      <c r="G43" s="93">
        <f t="shared" si="9"/>
        <v>2040000</v>
      </c>
      <c r="H43" s="93">
        <f t="shared" si="9"/>
        <v>2488000</v>
      </c>
      <c r="I43" s="93">
        <f t="shared" si="9"/>
        <v>2488000</v>
      </c>
      <c r="J43" s="93">
        <f t="shared" si="9"/>
        <v>2488000</v>
      </c>
      <c r="K43" s="93">
        <f t="shared" si="9"/>
        <v>2488000</v>
      </c>
      <c r="L43" s="93">
        <f t="shared" si="9"/>
        <v>2488000</v>
      </c>
      <c r="M43" s="311"/>
      <c r="N43" s="305"/>
      <c r="O43" s="305"/>
      <c r="P43" s="305"/>
      <c r="Q43" s="305"/>
      <c r="R43" s="305"/>
      <c r="S43" s="305"/>
      <c r="T43" s="305"/>
      <c r="U43" s="308"/>
    </row>
    <row r="46" ht="12.75">
      <c r="G46" s="95"/>
    </row>
  </sheetData>
  <sheetProtection/>
  <mergeCells count="88">
    <mergeCell ref="U38:U43"/>
    <mergeCell ref="D39:L39"/>
    <mergeCell ref="Q26:Q31"/>
    <mergeCell ref="P26:P31"/>
    <mergeCell ref="O26:O31"/>
    <mergeCell ref="N26:N31"/>
    <mergeCell ref="M26:M31"/>
    <mergeCell ref="R38:R43"/>
    <mergeCell ref="T38:T43"/>
    <mergeCell ref="P38:P43"/>
    <mergeCell ref="A38:A43"/>
    <mergeCell ref="B38:B43"/>
    <mergeCell ref="C38:C43"/>
    <mergeCell ref="M38:M43"/>
    <mergeCell ref="N38:N43"/>
    <mergeCell ref="O38:O43"/>
    <mergeCell ref="Q38:Q43"/>
    <mergeCell ref="A32:A37"/>
    <mergeCell ref="B32:B37"/>
    <mergeCell ref="C32:C37"/>
    <mergeCell ref="M32:M37"/>
    <mergeCell ref="S26:S31"/>
    <mergeCell ref="C26:C31"/>
    <mergeCell ref="B26:B31"/>
    <mergeCell ref="A26:A31"/>
    <mergeCell ref="S38:S43"/>
    <mergeCell ref="T26:T31"/>
    <mergeCell ref="U26:U31"/>
    <mergeCell ref="D27:L27"/>
    <mergeCell ref="R26:R31"/>
    <mergeCell ref="U14:U19"/>
    <mergeCell ref="D15:L15"/>
    <mergeCell ref="O14:O19"/>
    <mergeCell ref="P14:P19"/>
    <mergeCell ref="Q14:Q19"/>
    <mergeCell ref="R14:R19"/>
    <mergeCell ref="S14:S19"/>
    <mergeCell ref="T14:T19"/>
    <mergeCell ref="M14:M19"/>
    <mergeCell ref="N14:N19"/>
    <mergeCell ref="R8:R13"/>
    <mergeCell ref="S8:S13"/>
    <mergeCell ref="T8:T13"/>
    <mergeCell ref="M8:M13"/>
    <mergeCell ref="N8:N13"/>
    <mergeCell ref="O8:O13"/>
    <mergeCell ref="U8:U13"/>
    <mergeCell ref="D9:L9"/>
    <mergeCell ref="A14:A19"/>
    <mergeCell ref="B14:B19"/>
    <mergeCell ref="C14:C19"/>
    <mergeCell ref="B6:U6"/>
    <mergeCell ref="B7:U7"/>
    <mergeCell ref="A8:A13"/>
    <mergeCell ref="B8:B13"/>
    <mergeCell ref="C8:C13"/>
    <mergeCell ref="P8:P13"/>
    <mergeCell ref="Q8:Q13"/>
    <mergeCell ref="A2:U2"/>
    <mergeCell ref="A3:A4"/>
    <mergeCell ref="B3:B4"/>
    <mergeCell ref="C3:C4"/>
    <mergeCell ref="D3:D4"/>
    <mergeCell ref="E3:L3"/>
    <mergeCell ref="M3:T3"/>
    <mergeCell ref="U3:U4"/>
    <mergeCell ref="A20:A25"/>
    <mergeCell ref="B20:B25"/>
    <mergeCell ref="C20:C25"/>
    <mergeCell ref="M20:M25"/>
    <mergeCell ref="N20:N25"/>
    <mergeCell ref="O20:O25"/>
    <mergeCell ref="D21:L21"/>
    <mergeCell ref="P20:P25"/>
    <mergeCell ref="Q20:Q25"/>
    <mergeCell ref="R20:R25"/>
    <mergeCell ref="S20:S25"/>
    <mergeCell ref="T20:T25"/>
    <mergeCell ref="U20:U25"/>
    <mergeCell ref="T32:T37"/>
    <mergeCell ref="U32:U37"/>
    <mergeCell ref="D33:L33"/>
    <mergeCell ref="N32:N37"/>
    <mergeCell ref="O32:O37"/>
    <mergeCell ref="P32:P37"/>
    <mergeCell ref="Q32:Q37"/>
    <mergeCell ref="R32:R37"/>
    <mergeCell ref="S32:S3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.57421875" style="158" customWidth="1"/>
    <col min="2" max="2" width="36.8515625" style="157" customWidth="1"/>
    <col min="3" max="3" width="7.421875" style="157" customWidth="1"/>
    <col min="4" max="4" width="11.28125" style="157" customWidth="1"/>
    <col min="5" max="7" width="9.140625" style="157" customWidth="1"/>
    <col min="8" max="8" width="10.421875" style="157" bestFit="1" customWidth="1"/>
    <col min="9" max="11" width="9.140625" style="157" customWidth="1"/>
    <col min="12" max="12" width="10.421875" style="157" bestFit="1" customWidth="1"/>
    <col min="13" max="16384" width="9.140625" style="157" customWidth="1"/>
  </cols>
  <sheetData>
    <row r="1" spans="1:11" ht="15.75">
      <c r="A1" s="155"/>
      <c r="B1" s="65"/>
      <c r="C1" s="65"/>
      <c r="D1" s="65"/>
      <c r="E1" s="65"/>
      <c r="F1" s="65"/>
      <c r="G1" s="65"/>
      <c r="H1" s="65"/>
      <c r="I1" s="156"/>
      <c r="J1" s="156"/>
      <c r="K1" s="8" t="s">
        <v>278</v>
      </c>
    </row>
    <row r="2" spans="1:12" ht="15.75">
      <c r="A2" s="244" t="s">
        <v>34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4" spans="1:12" ht="21" customHeight="1">
      <c r="A4" s="377" t="s">
        <v>156</v>
      </c>
      <c r="B4" s="377" t="s">
        <v>160</v>
      </c>
      <c r="C4" s="377" t="s">
        <v>157</v>
      </c>
      <c r="D4" s="379" t="s">
        <v>159</v>
      </c>
      <c r="E4" s="380"/>
      <c r="F4" s="380"/>
      <c r="G4" s="380"/>
      <c r="H4" s="380"/>
      <c r="I4" s="380"/>
      <c r="J4" s="380"/>
      <c r="K4" s="380"/>
      <c r="L4" s="381"/>
    </row>
    <row r="5" spans="1:12" ht="25.5" customHeight="1">
      <c r="A5" s="377"/>
      <c r="B5" s="377"/>
      <c r="C5" s="377"/>
      <c r="D5" s="378" t="s">
        <v>118</v>
      </c>
      <c r="E5" s="378" t="s">
        <v>119</v>
      </c>
      <c r="F5" s="382" t="s">
        <v>43</v>
      </c>
      <c r="G5" s="383"/>
      <c r="H5" s="383"/>
      <c r="I5" s="383"/>
      <c r="J5" s="383"/>
      <c r="K5" s="383"/>
      <c r="L5" s="384"/>
    </row>
    <row r="6" spans="1:12" ht="19.5" customHeight="1">
      <c r="A6" s="378"/>
      <c r="B6" s="377"/>
      <c r="C6" s="378"/>
      <c r="D6" s="385"/>
      <c r="E6" s="385"/>
      <c r="F6" s="160">
        <v>2014</v>
      </c>
      <c r="G6" s="160">
        <v>2015</v>
      </c>
      <c r="H6" s="160">
        <v>2016</v>
      </c>
      <c r="I6" s="160">
        <v>2017</v>
      </c>
      <c r="J6" s="160">
        <v>2018</v>
      </c>
      <c r="K6" s="160">
        <v>2019</v>
      </c>
      <c r="L6" s="160">
        <v>2020</v>
      </c>
    </row>
    <row r="7" spans="1:12" ht="19.5" customHeight="1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  <c r="K7" s="166">
        <v>11</v>
      </c>
      <c r="L7" s="166">
        <v>12</v>
      </c>
    </row>
    <row r="8" spans="1:12" ht="36" customHeight="1">
      <c r="A8" s="159"/>
      <c r="B8" s="376" t="s">
        <v>35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</row>
    <row r="9" spans="1:12" ht="45" customHeight="1">
      <c r="A9" s="159">
        <v>1</v>
      </c>
      <c r="B9" s="174" t="s">
        <v>279</v>
      </c>
      <c r="C9" s="175" t="s">
        <v>158</v>
      </c>
      <c r="D9" s="175">
        <v>100</v>
      </c>
      <c r="E9" s="175">
        <v>100</v>
      </c>
      <c r="F9" s="159">
        <v>100</v>
      </c>
      <c r="G9" s="159">
        <v>100</v>
      </c>
      <c r="H9" s="159">
        <v>100</v>
      </c>
      <c r="I9" s="159">
        <v>100</v>
      </c>
      <c r="J9" s="159">
        <v>100</v>
      </c>
      <c r="K9" s="159">
        <v>100</v>
      </c>
      <c r="L9" s="159">
        <v>100</v>
      </c>
    </row>
    <row r="10" spans="1:12" ht="63" customHeight="1">
      <c r="A10" s="159">
        <v>2</v>
      </c>
      <c r="B10" s="174" t="s">
        <v>280</v>
      </c>
      <c r="C10" s="175" t="s">
        <v>158</v>
      </c>
      <c r="D10" s="175">
        <v>16</v>
      </c>
      <c r="E10" s="175">
        <v>17</v>
      </c>
      <c r="F10" s="159">
        <v>20</v>
      </c>
      <c r="G10" s="159">
        <v>20</v>
      </c>
      <c r="H10" s="159">
        <v>20</v>
      </c>
      <c r="I10" s="159">
        <v>20</v>
      </c>
      <c r="J10" s="159">
        <v>20</v>
      </c>
      <c r="K10" s="159">
        <v>20</v>
      </c>
      <c r="L10" s="159">
        <v>20</v>
      </c>
    </row>
    <row r="11" spans="1:12" ht="64.5" customHeight="1">
      <c r="A11" s="159">
        <v>3</v>
      </c>
      <c r="B11" s="174" t="s">
        <v>281</v>
      </c>
      <c r="C11" s="175" t="s">
        <v>158</v>
      </c>
      <c r="D11" s="175">
        <v>79</v>
      </c>
      <c r="E11" s="175">
        <v>80</v>
      </c>
      <c r="F11" s="159">
        <v>90</v>
      </c>
      <c r="G11" s="159">
        <v>93</v>
      </c>
      <c r="H11" s="159">
        <v>94</v>
      </c>
      <c r="I11" s="159">
        <v>95</v>
      </c>
      <c r="J11" s="159">
        <v>100</v>
      </c>
      <c r="K11" s="159">
        <v>100</v>
      </c>
      <c r="L11" s="159">
        <v>100</v>
      </c>
    </row>
    <row r="12" spans="1:12" ht="21" customHeight="1">
      <c r="A12" s="159"/>
      <c r="B12" s="376" t="s">
        <v>39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</row>
    <row r="13" spans="1:12" s="164" customFormat="1" ht="78.75">
      <c r="A13" s="162" t="s">
        <v>192</v>
      </c>
      <c r="B13" s="163" t="s">
        <v>282</v>
      </c>
      <c r="C13" s="159" t="s">
        <v>158</v>
      </c>
      <c r="D13" s="167">
        <v>78</v>
      </c>
      <c r="E13" s="167">
        <v>80</v>
      </c>
      <c r="F13" s="167">
        <v>100</v>
      </c>
      <c r="G13" s="167">
        <v>100</v>
      </c>
      <c r="H13" s="167">
        <v>100</v>
      </c>
      <c r="I13" s="167">
        <v>100</v>
      </c>
      <c r="J13" s="167">
        <v>100</v>
      </c>
      <c r="K13" s="167">
        <v>100</v>
      </c>
      <c r="L13" s="167">
        <v>100</v>
      </c>
    </row>
    <row r="14" ht="15.75">
      <c r="A14" s="165"/>
    </row>
    <row r="15" ht="15.75">
      <c r="A15" s="165"/>
    </row>
    <row r="16" ht="15.75">
      <c r="A16" s="165"/>
    </row>
    <row r="17" ht="15.75">
      <c r="A17" s="165"/>
    </row>
  </sheetData>
  <sheetProtection/>
  <mergeCells count="10">
    <mergeCell ref="B8:L8"/>
    <mergeCell ref="B12:L12"/>
    <mergeCell ref="A2:L2"/>
    <mergeCell ref="A4:A6"/>
    <mergeCell ref="B4:B6"/>
    <mergeCell ref="C4:C6"/>
    <mergeCell ref="D4:L4"/>
    <mergeCell ref="F5:L5"/>
    <mergeCell ref="E5:E6"/>
    <mergeCell ref="D5:D6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5" zoomScalePageLayoutView="0" workbookViewId="0" topLeftCell="A7">
      <selection activeCell="D18" sqref="D18"/>
    </sheetView>
  </sheetViews>
  <sheetFormatPr defaultColWidth="9.140625" defaultRowHeight="15"/>
  <cols>
    <col min="1" max="1" width="32.421875" style="65" customWidth="1"/>
    <col min="2" max="2" width="18.28125" style="65" customWidth="1"/>
    <col min="3" max="3" width="15.421875" style="65" customWidth="1"/>
    <col min="4" max="4" width="14.8515625" style="65" customWidth="1"/>
    <col min="5" max="5" width="14.28125" style="65" customWidth="1"/>
    <col min="6" max="6" width="15.7109375" style="65" bestFit="1" customWidth="1"/>
    <col min="7" max="8" width="14.28125" style="65" bestFit="1" customWidth="1"/>
    <col min="9" max="9" width="15.7109375" style="65" bestFit="1" customWidth="1"/>
    <col min="10" max="16384" width="9.140625" style="65" customWidth="1"/>
  </cols>
  <sheetData>
    <row r="1" spans="5:10" ht="18.75" customHeight="1">
      <c r="E1" s="66"/>
      <c r="G1" s="67"/>
      <c r="H1" s="67"/>
      <c r="I1" s="8" t="s">
        <v>283</v>
      </c>
      <c r="J1" s="67"/>
    </row>
    <row r="3" spans="1:9" ht="36.75" customHeight="1">
      <c r="A3" s="244" t="s">
        <v>37</v>
      </c>
      <c r="B3" s="244"/>
      <c r="C3" s="244"/>
      <c r="D3" s="244"/>
      <c r="E3" s="244"/>
      <c r="F3" s="244"/>
      <c r="G3" s="244"/>
      <c r="H3" s="244"/>
      <c r="I3" s="244"/>
    </row>
    <row r="4" spans="1:9" ht="30" customHeight="1">
      <c r="A4" s="261" t="s">
        <v>163</v>
      </c>
      <c r="B4" s="263" t="s">
        <v>164</v>
      </c>
      <c r="C4" s="265" t="s">
        <v>165</v>
      </c>
      <c r="D4" s="265"/>
      <c r="E4" s="265"/>
      <c r="F4" s="265"/>
      <c r="G4" s="265"/>
      <c r="H4" s="265"/>
      <c r="I4" s="265"/>
    </row>
    <row r="5" spans="1:9" ht="16.5" customHeight="1">
      <c r="A5" s="262"/>
      <c r="B5" s="264"/>
      <c r="C5" s="68">
        <v>2014</v>
      </c>
      <c r="D5" s="68">
        <v>2015</v>
      </c>
      <c r="E5" s="68">
        <v>2016</v>
      </c>
      <c r="F5" s="68">
        <v>2017</v>
      </c>
      <c r="G5" s="68">
        <v>2018</v>
      </c>
      <c r="H5" s="68">
        <v>2019</v>
      </c>
      <c r="I5" s="168">
        <v>2020</v>
      </c>
    </row>
    <row r="6" spans="1:9" ht="16.5" customHeight="1">
      <c r="A6" s="169">
        <v>1</v>
      </c>
      <c r="B6" s="170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2">
        <v>9</v>
      </c>
    </row>
    <row r="7" spans="1:9" ht="19.5" customHeight="1">
      <c r="A7" s="69" t="s">
        <v>36</v>
      </c>
      <c r="B7" s="70">
        <f>B9+B10+B11+B12</f>
        <v>299558655.40999997</v>
      </c>
      <c r="C7" s="70">
        <f aca="true" t="shared" si="0" ref="C7:I7">C9+C10+C11+C12</f>
        <v>42388334</v>
      </c>
      <c r="D7" s="70">
        <f t="shared" si="0"/>
        <v>41620736.41</v>
      </c>
      <c r="E7" s="70">
        <f t="shared" si="0"/>
        <v>43090865</v>
      </c>
      <c r="F7" s="70">
        <f t="shared" si="0"/>
        <v>43114680</v>
      </c>
      <c r="G7" s="70">
        <f t="shared" si="0"/>
        <v>43114680</v>
      </c>
      <c r="H7" s="70">
        <f t="shared" si="0"/>
        <v>43114680</v>
      </c>
      <c r="I7" s="70">
        <f t="shared" si="0"/>
        <v>43114680</v>
      </c>
    </row>
    <row r="8" spans="1:9" ht="16.5" customHeight="1">
      <c r="A8" s="255" t="s">
        <v>166</v>
      </c>
      <c r="B8" s="256"/>
      <c r="C8" s="256"/>
      <c r="D8" s="256"/>
      <c r="E8" s="256"/>
      <c r="F8" s="256"/>
      <c r="G8" s="256"/>
      <c r="H8" s="256"/>
      <c r="I8" s="257"/>
    </row>
    <row r="9" spans="1:9" ht="16.5" customHeight="1">
      <c r="A9" s="71" t="s">
        <v>167</v>
      </c>
      <c r="B9" s="70">
        <f>C9+D9+E9+F9+G9+H9+I9</f>
        <v>42069908.41</v>
      </c>
      <c r="C9" s="75">
        <f>C16</f>
        <v>6370094</v>
      </c>
      <c r="D9" s="75">
        <f aca="true" t="shared" si="1" ref="D9:I9">D16</f>
        <v>5628229.410000001</v>
      </c>
      <c r="E9" s="75">
        <f t="shared" si="1"/>
        <v>5983665</v>
      </c>
      <c r="F9" s="75">
        <f t="shared" si="1"/>
        <v>6021980</v>
      </c>
      <c r="G9" s="75">
        <f t="shared" si="1"/>
        <v>6021980</v>
      </c>
      <c r="H9" s="75">
        <f t="shared" si="1"/>
        <v>6021980</v>
      </c>
      <c r="I9" s="75">
        <f t="shared" si="1"/>
        <v>6021980</v>
      </c>
    </row>
    <row r="10" spans="1:9" ht="16.5" customHeight="1">
      <c r="A10" s="71" t="s">
        <v>47</v>
      </c>
      <c r="B10" s="70">
        <f>C10+D10+E10+F10+G10+H10+I10</f>
        <v>111463700</v>
      </c>
      <c r="C10" s="75">
        <f aca="true" t="shared" si="2" ref="C10:I12">C17</f>
        <v>16180900</v>
      </c>
      <c r="D10" s="75">
        <f t="shared" si="2"/>
        <v>15892300</v>
      </c>
      <c r="E10" s="75">
        <f t="shared" si="2"/>
        <v>15889700</v>
      </c>
      <c r="F10" s="75">
        <f t="shared" si="2"/>
        <v>15875200</v>
      </c>
      <c r="G10" s="75">
        <f t="shared" si="2"/>
        <v>15875200</v>
      </c>
      <c r="H10" s="75">
        <f t="shared" si="2"/>
        <v>15875200</v>
      </c>
      <c r="I10" s="75">
        <f t="shared" si="2"/>
        <v>15875200</v>
      </c>
    </row>
    <row r="11" spans="1:9" ht="16.5" customHeight="1">
      <c r="A11" s="71" t="s">
        <v>48</v>
      </c>
      <c r="B11" s="70">
        <f>C11+D11+E11+F11+G11+H11+I11</f>
        <v>0</v>
      </c>
      <c r="C11" s="75">
        <f>C18</f>
        <v>0</v>
      </c>
      <c r="D11" s="75">
        <f t="shared" si="2"/>
        <v>0</v>
      </c>
      <c r="E11" s="75">
        <f t="shared" si="2"/>
        <v>0</v>
      </c>
      <c r="F11" s="75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</row>
    <row r="12" spans="1:9" ht="16.5" customHeight="1">
      <c r="A12" s="71" t="s">
        <v>170</v>
      </c>
      <c r="B12" s="70">
        <f>C12+D12+E12+F12+G12+H12+I12</f>
        <v>146025047</v>
      </c>
      <c r="C12" s="75">
        <f t="shared" si="2"/>
        <v>19837340</v>
      </c>
      <c r="D12" s="75">
        <f t="shared" si="2"/>
        <v>20100207</v>
      </c>
      <c r="E12" s="75">
        <f t="shared" si="2"/>
        <v>21217500</v>
      </c>
      <c r="F12" s="75">
        <f t="shared" si="2"/>
        <v>21217500</v>
      </c>
      <c r="G12" s="75">
        <f t="shared" si="2"/>
        <v>21217500</v>
      </c>
      <c r="H12" s="75">
        <f t="shared" si="2"/>
        <v>21217500</v>
      </c>
      <c r="I12" s="75">
        <f t="shared" si="2"/>
        <v>21217500</v>
      </c>
    </row>
    <row r="13" spans="1:9" ht="16.5" customHeight="1">
      <c r="A13" s="258" t="s">
        <v>171</v>
      </c>
      <c r="B13" s="259"/>
      <c r="C13" s="259"/>
      <c r="D13" s="259"/>
      <c r="E13" s="259"/>
      <c r="F13" s="259"/>
      <c r="G13" s="259"/>
      <c r="H13" s="259"/>
      <c r="I13" s="260"/>
    </row>
    <row r="14" spans="1:9" ht="48.75" customHeight="1">
      <c r="A14" s="73" t="s">
        <v>178</v>
      </c>
      <c r="B14" s="70">
        <f>B16+B17+B18+B19</f>
        <v>299558655.40999997</v>
      </c>
      <c r="C14" s="70">
        <f>C16+C17+C18+C19</f>
        <v>42388334</v>
      </c>
      <c r="D14" s="70">
        <f aca="true" t="shared" si="3" ref="D14:I14">D16+D17+D18+D19</f>
        <v>41620736.41</v>
      </c>
      <c r="E14" s="70">
        <f t="shared" si="3"/>
        <v>43090865</v>
      </c>
      <c r="F14" s="70">
        <f t="shared" si="3"/>
        <v>43114680</v>
      </c>
      <c r="G14" s="70">
        <f t="shared" si="3"/>
        <v>43114680</v>
      </c>
      <c r="H14" s="70">
        <f t="shared" si="3"/>
        <v>43114680</v>
      </c>
      <c r="I14" s="70">
        <f t="shared" si="3"/>
        <v>43114680</v>
      </c>
    </row>
    <row r="15" spans="1:9" ht="16.5" customHeight="1">
      <c r="A15" s="255" t="s">
        <v>166</v>
      </c>
      <c r="B15" s="256"/>
      <c r="C15" s="256"/>
      <c r="D15" s="256"/>
      <c r="E15" s="256"/>
      <c r="F15" s="256"/>
      <c r="G15" s="256"/>
      <c r="H15" s="256"/>
      <c r="I15" s="257"/>
    </row>
    <row r="16" spans="1:9" ht="16.5" customHeight="1">
      <c r="A16" s="71" t="s">
        <v>167</v>
      </c>
      <c r="B16" s="70">
        <f>C16+D16+E16+F16+G16+H16+I16</f>
        <v>42069908.41</v>
      </c>
      <c r="C16" s="75">
        <f>'таб 3(6)'!F52</f>
        <v>6370094</v>
      </c>
      <c r="D16" s="75">
        <f>+'таб 3(6)'!G52</f>
        <v>5628229.410000001</v>
      </c>
      <c r="E16" s="75">
        <v>5983665</v>
      </c>
      <c r="F16" s="75">
        <v>6021980</v>
      </c>
      <c r="G16" s="75">
        <v>6021980</v>
      </c>
      <c r="H16" s="75">
        <v>6021980</v>
      </c>
      <c r="I16" s="75">
        <v>6021980</v>
      </c>
    </row>
    <row r="17" spans="1:9" ht="16.5" customHeight="1">
      <c r="A17" s="71" t="s">
        <v>47</v>
      </c>
      <c r="B17" s="70">
        <f>C17+D17+E17+F17+G17+H17+I17</f>
        <v>111463700</v>
      </c>
      <c r="C17" s="75">
        <v>16180900</v>
      </c>
      <c r="D17" s="75">
        <f>+'таб 3(6)'!G53</f>
        <v>15892300</v>
      </c>
      <c r="E17" s="75">
        <v>15889700</v>
      </c>
      <c r="F17" s="75">
        <v>15875200</v>
      </c>
      <c r="G17" s="75">
        <v>15875200</v>
      </c>
      <c r="H17" s="75">
        <v>15875200</v>
      </c>
      <c r="I17" s="75">
        <v>15875200</v>
      </c>
    </row>
    <row r="18" spans="1:9" ht="16.5" customHeight="1">
      <c r="A18" s="71" t="s">
        <v>48</v>
      </c>
      <c r="B18" s="70">
        <f>C18+D18+E18+F18+G18+H18+I18</f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</row>
    <row r="19" spans="1:9" ht="16.5" customHeight="1">
      <c r="A19" s="71" t="s">
        <v>170</v>
      </c>
      <c r="B19" s="70">
        <f>C19+D19+E19+F19+G19+H19+I19</f>
        <v>146025047</v>
      </c>
      <c r="C19" s="75">
        <v>19837340</v>
      </c>
      <c r="D19" s="75">
        <v>20100207</v>
      </c>
      <c r="E19" s="75">
        <v>21217500</v>
      </c>
      <c r="F19" s="75">
        <v>21217500</v>
      </c>
      <c r="G19" s="75">
        <v>21217500</v>
      </c>
      <c r="H19" s="75">
        <v>21217500</v>
      </c>
      <c r="I19" s="75">
        <v>21217500</v>
      </c>
    </row>
    <row r="20" spans="1:9" ht="31.5">
      <c r="A20" s="77" t="s">
        <v>172</v>
      </c>
      <c r="B20" s="70">
        <f>C20+D20+E20+F20+G20+H20+I20</f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</row>
    <row r="22" spans="4:9" ht="15.75">
      <c r="D22" s="176"/>
      <c r="E22" s="176"/>
      <c r="F22" s="176"/>
      <c r="G22" s="176"/>
      <c r="H22" s="176"/>
      <c r="I22" s="176"/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SheetLayoutView="11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" sqref="D1:G16384"/>
    </sheetView>
  </sheetViews>
  <sheetFormatPr defaultColWidth="9.140625" defaultRowHeight="15"/>
  <cols>
    <col min="1" max="1" width="9.140625" style="82" customWidth="1"/>
    <col min="2" max="2" width="48.421875" style="82" customWidth="1"/>
    <col min="3" max="3" width="10.8515625" style="82" customWidth="1"/>
    <col min="4" max="4" width="10.00390625" style="82" customWidth="1"/>
    <col min="5" max="5" width="14.00390625" style="82" customWidth="1"/>
    <col min="6" max="6" width="12.8515625" style="82" customWidth="1"/>
    <col min="7" max="12" width="12.8515625" style="82" bestFit="1" customWidth="1"/>
    <col min="13" max="13" width="25.421875" style="82" customWidth="1"/>
    <col min="14" max="20" width="4.421875" style="82" bestFit="1" customWidth="1"/>
    <col min="21" max="21" width="19.421875" style="82" customWidth="1"/>
    <col min="22" max="16384" width="9.140625" style="82" customWidth="1"/>
  </cols>
  <sheetData>
    <row r="1" spans="20:21" s="52" customFormat="1" ht="31.5">
      <c r="T1" s="61"/>
      <c r="U1" s="67" t="s">
        <v>284</v>
      </c>
    </row>
    <row r="2" spans="1:21" s="52" customFormat="1" ht="15.75">
      <c r="A2" s="300" t="s">
        <v>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31.5" customHeight="1">
      <c r="A3" s="296" t="s">
        <v>161</v>
      </c>
      <c r="B3" s="237" t="s">
        <v>173</v>
      </c>
      <c r="C3" s="237" t="s">
        <v>174</v>
      </c>
      <c r="D3" s="237" t="s">
        <v>163</v>
      </c>
      <c r="E3" s="237" t="s">
        <v>175</v>
      </c>
      <c r="F3" s="237"/>
      <c r="G3" s="237"/>
      <c r="H3" s="237"/>
      <c r="I3" s="237"/>
      <c r="J3" s="237"/>
      <c r="K3" s="237"/>
      <c r="L3" s="237"/>
      <c r="M3" s="296" t="s">
        <v>64</v>
      </c>
      <c r="N3" s="296"/>
      <c r="O3" s="296"/>
      <c r="P3" s="296"/>
      <c r="Q3" s="296"/>
      <c r="R3" s="296"/>
      <c r="S3" s="296"/>
      <c r="T3" s="296"/>
      <c r="U3" s="294" t="s">
        <v>176</v>
      </c>
    </row>
    <row r="4" spans="1:21" ht="21" customHeight="1">
      <c r="A4" s="296"/>
      <c r="B4" s="237"/>
      <c r="C4" s="237"/>
      <c r="D4" s="237"/>
      <c r="E4" s="83" t="s">
        <v>152</v>
      </c>
      <c r="F4" s="177" t="s">
        <v>141</v>
      </c>
      <c r="G4" s="177" t="s">
        <v>142</v>
      </c>
      <c r="H4" s="177" t="s">
        <v>143</v>
      </c>
      <c r="I4" s="177" t="s">
        <v>144</v>
      </c>
      <c r="J4" s="177" t="s">
        <v>145</v>
      </c>
      <c r="K4" s="177" t="s">
        <v>146</v>
      </c>
      <c r="L4" s="177" t="s">
        <v>147</v>
      </c>
      <c r="M4" s="12" t="s">
        <v>162</v>
      </c>
      <c r="N4" s="177" t="s">
        <v>141</v>
      </c>
      <c r="O4" s="177" t="s">
        <v>142</v>
      </c>
      <c r="P4" s="177" t="s">
        <v>143</v>
      </c>
      <c r="Q4" s="177" t="s">
        <v>144</v>
      </c>
      <c r="R4" s="177" t="s">
        <v>145</v>
      </c>
      <c r="S4" s="177" t="s">
        <v>146</v>
      </c>
      <c r="T4" s="177" t="s">
        <v>147</v>
      </c>
      <c r="U4" s="295"/>
    </row>
    <row r="5" spans="1:21" ht="12.7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</row>
    <row r="6" spans="1:21" ht="12.75">
      <c r="A6" s="84"/>
      <c r="B6" s="288" t="s">
        <v>285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21" ht="12.75">
      <c r="A7" s="84">
        <v>1</v>
      </c>
      <c r="B7" s="288" t="s">
        <v>39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6.5" customHeight="1">
      <c r="A8" s="286" t="s">
        <v>192</v>
      </c>
      <c r="B8" s="353" t="s">
        <v>296</v>
      </c>
      <c r="C8" s="277" t="s">
        <v>132</v>
      </c>
      <c r="D8" s="85" t="s">
        <v>152</v>
      </c>
      <c r="E8" s="86">
        <f>E10+E11+E12+E13</f>
        <v>47970212.65</v>
      </c>
      <c r="F8" s="86">
        <f aca="true" t="shared" si="0" ref="F8:L8">F10+F11+F12+F13</f>
        <v>6791464</v>
      </c>
      <c r="G8" s="86">
        <f t="shared" si="0"/>
        <v>6577843.65</v>
      </c>
      <c r="H8" s="86">
        <f t="shared" si="0"/>
        <v>6901645</v>
      </c>
      <c r="I8" s="86">
        <f t="shared" si="0"/>
        <v>6924815</v>
      </c>
      <c r="J8" s="86">
        <f t="shared" si="0"/>
        <v>6924815</v>
      </c>
      <c r="K8" s="86">
        <f t="shared" si="0"/>
        <v>6924815</v>
      </c>
      <c r="L8" s="86">
        <f t="shared" si="0"/>
        <v>6924815</v>
      </c>
      <c r="M8" s="266" t="s">
        <v>9</v>
      </c>
      <c r="N8" s="372">
        <v>2101</v>
      </c>
      <c r="O8" s="372">
        <v>2137</v>
      </c>
      <c r="P8" s="372">
        <v>2140</v>
      </c>
      <c r="Q8" s="372">
        <v>2140</v>
      </c>
      <c r="R8" s="372">
        <v>2140</v>
      </c>
      <c r="S8" s="372">
        <v>2140</v>
      </c>
      <c r="T8" s="372">
        <v>2140</v>
      </c>
      <c r="U8" s="324" t="s">
        <v>350</v>
      </c>
    </row>
    <row r="9" spans="1:21" ht="16.5" customHeight="1">
      <c r="A9" s="286"/>
      <c r="B9" s="354"/>
      <c r="C9" s="278"/>
      <c r="D9" s="283" t="s">
        <v>177</v>
      </c>
      <c r="E9" s="284"/>
      <c r="F9" s="284"/>
      <c r="G9" s="284"/>
      <c r="H9" s="284"/>
      <c r="I9" s="284"/>
      <c r="J9" s="284"/>
      <c r="K9" s="284"/>
      <c r="L9" s="285"/>
      <c r="M9" s="267"/>
      <c r="N9" s="373"/>
      <c r="O9" s="373"/>
      <c r="P9" s="373"/>
      <c r="Q9" s="373"/>
      <c r="R9" s="373"/>
      <c r="S9" s="373"/>
      <c r="T9" s="373"/>
      <c r="U9" s="325"/>
    </row>
    <row r="10" spans="1:21" ht="12.75">
      <c r="A10" s="286"/>
      <c r="B10" s="354"/>
      <c r="C10" s="278"/>
      <c r="D10" s="87" t="s">
        <v>150</v>
      </c>
      <c r="E10" s="88">
        <f>F10+G10+H10+I10+J10+K10+L10</f>
        <v>40375012.65</v>
      </c>
      <c r="F10" s="88">
        <v>5886264</v>
      </c>
      <c r="G10" s="88">
        <f>5741097.82-305254.17</f>
        <v>5435843.65</v>
      </c>
      <c r="H10" s="88">
        <v>5780445</v>
      </c>
      <c r="I10" s="88">
        <v>5818115</v>
      </c>
      <c r="J10" s="88">
        <v>5818115</v>
      </c>
      <c r="K10" s="88">
        <v>5818115</v>
      </c>
      <c r="L10" s="88">
        <v>5818115</v>
      </c>
      <c r="M10" s="267"/>
      <c r="N10" s="373"/>
      <c r="O10" s="373"/>
      <c r="P10" s="373"/>
      <c r="Q10" s="373"/>
      <c r="R10" s="373"/>
      <c r="S10" s="373"/>
      <c r="T10" s="373"/>
      <c r="U10" s="325"/>
    </row>
    <row r="11" spans="1:21" ht="12.75">
      <c r="A11" s="286"/>
      <c r="B11" s="354"/>
      <c r="C11" s="278"/>
      <c r="D11" s="87" t="s">
        <v>148</v>
      </c>
      <c r="E11" s="88">
        <f>F11+G11+H11+I11+J11+K11+L11</f>
        <v>7595200</v>
      </c>
      <c r="F11" s="88">
        <v>905200</v>
      </c>
      <c r="G11" s="88">
        <f>1119300+22700</f>
        <v>1142000</v>
      </c>
      <c r="H11" s="88">
        <v>1121200</v>
      </c>
      <c r="I11" s="88">
        <v>1106700</v>
      </c>
      <c r="J11" s="88">
        <v>1106700</v>
      </c>
      <c r="K11" s="88">
        <v>1106700</v>
      </c>
      <c r="L11" s="88">
        <v>1106700</v>
      </c>
      <c r="M11" s="267"/>
      <c r="N11" s="373"/>
      <c r="O11" s="373"/>
      <c r="P11" s="373"/>
      <c r="Q11" s="373"/>
      <c r="R11" s="373"/>
      <c r="S11" s="373"/>
      <c r="T11" s="373"/>
      <c r="U11" s="325"/>
    </row>
    <row r="12" spans="1:21" ht="12.75" customHeight="1">
      <c r="A12" s="286"/>
      <c r="B12" s="354"/>
      <c r="C12" s="278"/>
      <c r="D12" s="87" t="s">
        <v>149</v>
      </c>
      <c r="E12" s="88">
        <f>F12+G12+H12+I12+J12+K12+L12</f>
        <v>0</v>
      </c>
      <c r="F12" s="88"/>
      <c r="G12" s="88"/>
      <c r="H12" s="88"/>
      <c r="I12" s="88"/>
      <c r="J12" s="88"/>
      <c r="K12" s="88"/>
      <c r="L12" s="88"/>
      <c r="M12" s="267"/>
      <c r="N12" s="373"/>
      <c r="O12" s="373"/>
      <c r="P12" s="373"/>
      <c r="Q12" s="373"/>
      <c r="R12" s="373"/>
      <c r="S12" s="373"/>
      <c r="T12" s="373"/>
      <c r="U12" s="325"/>
    </row>
    <row r="13" spans="1:21" ht="18.75" customHeight="1">
      <c r="A13" s="286"/>
      <c r="B13" s="355"/>
      <c r="C13" s="279"/>
      <c r="D13" s="87" t="s">
        <v>151</v>
      </c>
      <c r="E13" s="88">
        <f>F13+G13+H13+I13+J13+K13+L13</f>
        <v>0</v>
      </c>
      <c r="F13" s="88"/>
      <c r="G13" s="88"/>
      <c r="H13" s="88"/>
      <c r="I13" s="88"/>
      <c r="J13" s="88"/>
      <c r="K13" s="88"/>
      <c r="L13" s="88"/>
      <c r="M13" s="268"/>
      <c r="N13" s="374"/>
      <c r="O13" s="374"/>
      <c r="P13" s="374"/>
      <c r="Q13" s="374"/>
      <c r="R13" s="374"/>
      <c r="S13" s="374"/>
      <c r="T13" s="374"/>
      <c r="U13" s="326"/>
    </row>
    <row r="14" spans="1:21" ht="24" customHeight="1">
      <c r="A14" s="286" t="s">
        <v>193</v>
      </c>
      <c r="B14" s="353" t="s">
        <v>286</v>
      </c>
      <c r="C14" s="277" t="s">
        <v>132</v>
      </c>
      <c r="D14" s="85" t="s">
        <v>152</v>
      </c>
      <c r="E14" s="86">
        <f>E16+E17+E18+E19</f>
        <v>103868500</v>
      </c>
      <c r="F14" s="86">
        <f aca="true" t="shared" si="1" ref="F14:L14">F16+F17+F18+F19</f>
        <v>15275700</v>
      </c>
      <c r="G14" s="86">
        <f t="shared" si="1"/>
        <v>14750300</v>
      </c>
      <c r="H14" s="86">
        <f t="shared" si="1"/>
        <v>14768500</v>
      </c>
      <c r="I14" s="86">
        <f t="shared" si="1"/>
        <v>14768500</v>
      </c>
      <c r="J14" s="86">
        <f t="shared" si="1"/>
        <v>14768500</v>
      </c>
      <c r="K14" s="86">
        <f t="shared" si="1"/>
        <v>14768500</v>
      </c>
      <c r="L14" s="86">
        <f t="shared" si="1"/>
        <v>14768500</v>
      </c>
      <c r="M14" s="266" t="s">
        <v>10</v>
      </c>
      <c r="N14" s="372">
        <v>1002</v>
      </c>
      <c r="O14" s="372">
        <v>1011</v>
      </c>
      <c r="P14" s="372">
        <v>1021</v>
      </c>
      <c r="Q14" s="372">
        <v>1021</v>
      </c>
      <c r="R14" s="372">
        <v>1021</v>
      </c>
      <c r="S14" s="372">
        <v>1021</v>
      </c>
      <c r="T14" s="372">
        <v>1021</v>
      </c>
      <c r="U14" s="324" t="s">
        <v>351</v>
      </c>
    </row>
    <row r="15" spans="1:21" ht="16.5" customHeight="1">
      <c r="A15" s="286"/>
      <c r="B15" s="354"/>
      <c r="C15" s="278"/>
      <c r="D15" s="283" t="s">
        <v>177</v>
      </c>
      <c r="E15" s="284"/>
      <c r="F15" s="284"/>
      <c r="G15" s="284"/>
      <c r="H15" s="284"/>
      <c r="I15" s="284"/>
      <c r="J15" s="284"/>
      <c r="K15" s="284"/>
      <c r="L15" s="285"/>
      <c r="M15" s="267"/>
      <c r="N15" s="373"/>
      <c r="O15" s="373"/>
      <c r="P15" s="373"/>
      <c r="Q15" s="373"/>
      <c r="R15" s="373"/>
      <c r="S15" s="373"/>
      <c r="T15" s="373"/>
      <c r="U15" s="325"/>
    </row>
    <row r="16" spans="1:21" ht="18" customHeight="1">
      <c r="A16" s="286"/>
      <c r="B16" s="354"/>
      <c r="C16" s="278"/>
      <c r="D16" s="87" t="s">
        <v>150</v>
      </c>
      <c r="E16" s="88">
        <f>F16+G16+H16+I16+J16+K16+L16</f>
        <v>0</v>
      </c>
      <c r="F16" s="88"/>
      <c r="G16" s="88"/>
      <c r="H16" s="88"/>
      <c r="I16" s="88"/>
      <c r="J16" s="88"/>
      <c r="K16" s="88"/>
      <c r="L16" s="88"/>
      <c r="M16" s="267"/>
      <c r="N16" s="373"/>
      <c r="O16" s="373"/>
      <c r="P16" s="373"/>
      <c r="Q16" s="373"/>
      <c r="R16" s="373"/>
      <c r="S16" s="373"/>
      <c r="T16" s="373"/>
      <c r="U16" s="325"/>
    </row>
    <row r="17" spans="1:21" ht="12.75" customHeight="1">
      <c r="A17" s="286"/>
      <c r="B17" s="354"/>
      <c r="C17" s="278"/>
      <c r="D17" s="87" t="s">
        <v>148</v>
      </c>
      <c r="E17" s="88">
        <f>F17+G17+H17+I17+J17+K17+L17</f>
        <v>103868500</v>
      </c>
      <c r="F17" s="88">
        <v>15275700</v>
      </c>
      <c r="G17" s="88">
        <f>14768500-18200</f>
        <v>14750300</v>
      </c>
      <c r="H17" s="88">
        <v>14768500</v>
      </c>
      <c r="I17" s="88">
        <v>14768500</v>
      </c>
      <c r="J17" s="88">
        <v>14768500</v>
      </c>
      <c r="K17" s="88">
        <v>14768500</v>
      </c>
      <c r="L17" s="88">
        <v>14768500</v>
      </c>
      <c r="M17" s="267"/>
      <c r="N17" s="373"/>
      <c r="O17" s="373"/>
      <c r="P17" s="373"/>
      <c r="Q17" s="373"/>
      <c r="R17" s="373"/>
      <c r="S17" s="373"/>
      <c r="T17" s="373"/>
      <c r="U17" s="325"/>
    </row>
    <row r="18" spans="1:21" ht="12.75" customHeight="1">
      <c r="A18" s="286"/>
      <c r="B18" s="354"/>
      <c r="C18" s="278"/>
      <c r="D18" s="87" t="s">
        <v>149</v>
      </c>
      <c r="E18" s="88">
        <f>F18+G18+H18+I18+J18+K18+L18</f>
        <v>0</v>
      </c>
      <c r="F18" s="88"/>
      <c r="G18" s="88"/>
      <c r="H18" s="88"/>
      <c r="I18" s="88"/>
      <c r="J18" s="88"/>
      <c r="K18" s="88"/>
      <c r="L18" s="88"/>
      <c r="M18" s="267"/>
      <c r="N18" s="373"/>
      <c r="O18" s="373"/>
      <c r="P18" s="373"/>
      <c r="Q18" s="373"/>
      <c r="R18" s="373"/>
      <c r="S18" s="373"/>
      <c r="T18" s="373"/>
      <c r="U18" s="325"/>
    </row>
    <row r="19" spans="1:21" ht="24" customHeight="1">
      <c r="A19" s="286"/>
      <c r="B19" s="355"/>
      <c r="C19" s="279"/>
      <c r="D19" s="87" t="s">
        <v>151</v>
      </c>
      <c r="E19" s="88">
        <f>F19+G19+H19+I19+J19+K19+L19</f>
        <v>0</v>
      </c>
      <c r="F19" s="88"/>
      <c r="G19" s="88"/>
      <c r="H19" s="88"/>
      <c r="I19" s="88"/>
      <c r="J19" s="88"/>
      <c r="K19" s="88"/>
      <c r="L19" s="88"/>
      <c r="M19" s="268"/>
      <c r="N19" s="374"/>
      <c r="O19" s="374"/>
      <c r="P19" s="374"/>
      <c r="Q19" s="374"/>
      <c r="R19" s="374"/>
      <c r="S19" s="374"/>
      <c r="T19" s="374"/>
      <c r="U19" s="326"/>
    </row>
    <row r="20" spans="1:21" ht="15" customHeight="1">
      <c r="A20" s="286" t="s">
        <v>194</v>
      </c>
      <c r="B20" s="353" t="s">
        <v>287</v>
      </c>
      <c r="C20" s="277" t="s">
        <v>132</v>
      </c>
      <c r="D20" s="85" t="s">
        <v>152</v>
      </c>
      <c r="E20" s="86">
        <f>E22+E23+E24+E25</f>
        <v>146025047</v>
      </c>
      <c r="F20" s="86">
        <f aca="true" t="shared" si="2" ref="F20:L20">F22+F23+F24+F25</f>
        <v>19837340</v>
      </c>
      <c r="G20" s="86">
        <f t="shared" si="2"/>
        <v>20100207</v>
      </c>
      <c r="H20" s="86">
        <f t="shared" si="2"/>
        <v>21217500</v>
      </c>
      <c r="I20" s="86">
        <f t="shared" si="2"/>
        <v>21217500</v>
      </c>
      <c r="J20" s="86">
        <f t="shared" si="2"/>
        <v>21217500</v>
      </c>
      <c r="K20" s="86">
        <f t="shared" si="2"/>
        <v>21217500</v>
      </c>
      <c r="L20" s="86">
        <f t="shared" si="2"/>
        <v>21217500</v>
      </c>
      <c r="M20" s="266" t="s">
        <v>11</v>
      </c>
      <c r="N20" s="372">
        <v>90</v>
      </c>
      <c r="O20" s="372">
        <v>93</v>
      </c>
      <c r="P20" s="372">
        <v>94</v>
      </c>
      <c r="Q20" s="372">
        <v>95</v>
      </c>
      <c r="R20" s="372">
        <v>100</v>
      </c>
      <c r="S20" s="372">
        <v>100</v>
      </c>
      <c r="T20" s="372">
        <v>100</v>
      </c>
      <c r="U20" s="324" t="s">
        <v>351</v>
      </c>
    </row>
    <row r="21" spans="1:21" ht="16.5" customHeight="1">
      <c r="A21" s="286"/>
      <c r="B21" s="354"/>
      <c r="C21" s="278"/>
      <c r="D21" s="283" t="s">
        <v>177</v>
      </c>
      <c r="E21" s="284"/>
      <c r="F21" s="284"/>
      <c r="G21" s="284"/>
      <c r="H21" s="284"/>
      <c r="I21" s="284"/>
      <c r="J21" s="284"/>
      <c r="K21" s="284"/>
      <c r="L21" s="285"/>
      <c r="M21" s="267"/>
      <c r="N21" s="373"/>
      <c r="O21" s="373"/>
      <c r="P21" s="373"/>
      <c r="Q21" s="373"/>
      <c r="R21" s="373"/>
      <c r="S21" s="373"/>
      <c r="T21" s="373"/>
      <c r="U21" s="325"/>
    </row>
    <row r="22" spans="1:21" ht="12.75" customHeight="1">
      <c r="A22" s="286"/>
      <c r="B22" s="354"/>
      <c r="C22" s="278"/>
      <c r="D22" s="87" t="s">
        <v>150</v>
      </c>
      <c r="E22" s="88">
        <f>F22+G22+H22+I22+J22+K22+L22</f>
        <v>0</v>
      </c>
      <c r="F22" s="88"/>
      <c r="G22" s="88"/>
      <c r="H22" s="88"/>
      <c r="I22" s="88"/>
      <c r="J22" s="88"/>
      <c r="K22" s="88"/>
      <c r="L22" s="88"/>
      <c r="M22" s="267"/>
      <c r="N22" s="373"/>
      <c r="O22" s="373"/>
      <c r="P22" s="373"/>
      <c r="Q22" s="373"/>
      <c r="R22" s="373"/>
      <c r="S22" s="373"/>
      <c r="T22" s="373"/>
      <c r="U22" s="325"/>
    </row>
    <row r="23" spans="1:21" ht="12.75" customHeight="1">
      <c r="A23" s="286"/>
      <c r="B23" s="354"/>
      <c r="C23" s="278"/>
      <c r="D23" s="87" t="s">
        <v>148</v>
      </c>
      <c r="E23" s="88">
        <f>F23+G23+H23+I23+J23+K23+L23</f>
        <v>0</v>
      </c>
      <c r="F23" s="88"/>
      <c r="G23" s="88"/>
      <c r="H23" s="88"/>
      <c r="I23" s="88"/>
      <c r="J23" s="88"/>
      <c r="K23" s="88"/>
      <c r="L23" s="88"/>
      <c r="M23" s="267"/>
      <c r="N23" s="373"/>
      <c r="O23" s="373"/>
      <c r="P23" s="373"/>
      <c r="Q23" s="373"/>
      <c r="R23" s="373"/>
      <c r="S23" s="373"/>
      <c r="T23" s="373"/>
      <c r="U23" s="325"/>
    </row>
    <row r="24" spans="1:21" ht="12.75" customHeight="1">
      <c r="A24" s="286"/>
      <c r="B24" s="354"/>
      <c r="C24" s="278"/>
      <c r="D24" s="87" t="s">
        <v>149</v>
      </c>
      <c r="E24" s="88">
        <f>F24+G24+H24+I24+J24+K24+L24</f>
        <v>0</v>
      </c>
      <c r="F24" s="88"/>
      <c r="G24" s="88"/>
      <c r="H24" s="88"/>
      <c r="I24" s="88"/>
      <c r="J24" s="88"/>
      <c r="K24" s="88"/>
      <c r="L24" s="88"/>
      <c r="M24" s="267"/>
      <c r="N24" s="373"/>
      <c r="O24" s="373"/>
      <c r="P24" s="373"/>
      <c r="Q24" s="373"/>
      <c r="R24" s="373"/>
      <c r="S24" s="373"/>
      <c r="T24" s="373"/>
      <c r="U24" s="325"/>
    </row>
    <row r="25" spans="1:21" ht="12.75" customHeight="1">
      <c r="A25" s="286"/>
      <c r="B25" s="355"/>
      <c r="C25" s="279"/>
      <c r="D25" s="87" t="s">
        <v>151</v>
      </c>
      <c r="E25" s="88">
        <f>F25+G25+H25+I25+J25+K25+L25</f>
        <v>146025047</v>
      </c>
      <c r="F25" s="88">
        <v>19837340</v>
      </c>
      <c r="G25" s="223">
        <v>20100207</v>
      </c>
      <c r="H25" s="16">
        <v>21217500</v>
      </c>
      <c r="I25" s="16">
        <v>21217500</v>
      </c>
      <c r="J25" s="16">
        <v>21217500</v>
      </c>
      <c r="K25" s="16">
        <v>21217500</v>
      </c>
      <c r="L25" s="16">
        <v>21217500</v>
      </c>
      <c r="M25" s="268"/>
      <c r="N25" s="374"/>
      <c r="O25" s="374"/>
      <c r="P25" s="374"/>
      <c r="Q25" s="374"/>
      <c r="R25" s="374"/>
      <c r="S25" s="374"/>
      <c r="T25" s="374"/>
      <c r="U25" s="326"/>
    </row>
    <row r="26" spans="1:21" ht="15" customHeight="1">
      <c r="A26" s="286" t="s">
        <v>203</v>
      </c>
      <c r="B26" s="353" t="s">
        <v>290</v>
      </c>
      <c r="C26" s="277" t="s">
        <v>132</v>
      </c>
      <c r="D26" s="85" t="s">
        <v>152</v>
      </c>
      <c r="E26" s="86">
        <f>E28+E29+E30+E31</f>
        <v>105468.86</v>
      </c>
      <c r="F26" s="86">
        <f aca="true" t="shared" si="3" ref="F26:L26">F28+F29+F30+F31</f>
        <v>33830</v>
      </c>
      <c r="G26" s="86">
        <f t="shared" si="3"/>
        <v>10458.86</v>
      </c>
      <c r="H26" s="86">
        <f t="shared" si="3"/>
        <v>11720</v>
      </c>
      <c r="I26" s="86">
        <f t="shared" si="3"/>
        <v>12365</v>
      </c>
      <c r="J26" s="86">
        <f t="shared" si="3"/>
        <v>12365</v>
      </c>
      <c r="K26" s="86">
        <f t="shared" si="3"/>
        <v>12365</v>
      </c>
      <c r="L26" s="86">
        <f t="shared" si="3"/>
        <v>12365</v>
      </c>
      <c r="M26" s="266" t="s">
        <v>12</v>
      </c>
      <c r="N26" s="272">
        <v>1</v>
      </c>
      <c r="O26" s="272">
        <v>1</v>
      </c>
      <c r="P26" s="272">
        <v>1</v>
      </c>
      <c r="Q26" s="272">
        <v>1</v>
      </c>
      <c r="R26" s="272">
        <v>1</v>
      </c>
      <c r="S26" s="272">
        <v>1</v>
      </c>
      <c r="T26" s="272">
        <v>1</v>
      </c>
      <c r="U26" s="266" t="s">
        <v>352</v>
      </c>
    </row>
    <row r="27" spans="1:21" ht="16.5" customHeight="1">
      <c r="A27" s="286"/>
      <c r="B27" s="354"/>
      <c r="C27" s="278"/>
      <c r="D27" s="283" t="s">
        <v>177</v>
      </c>
      <c r="E27" s="284"/>
      <c r="F27" s="284"/>
      <c r="G27" s="284"/>
      <c r="H27" s="284"/>
      <c r="I27" s="284"/>
      <c r="J27" s="284"/>
      <c r="K27" s="284"/>
      <c r="L27" s="285"/>
      <c r="M27" s="267"/>
      <c r="N27" s="273"/>
      <c r="O27" s="273"/>
      <c r="P27" s="273"/>
      <c r="Q27" s="273"/>
      <c r="R27" s="273"/>
      <c r="S27" s="273"/>
      <c r="T27" s="273"/>
      <c r="U27" s="267"/>
    </row>
    <row r="28" spans="1:21" ht="12.75" customHeight="1">
      <c r="A28" s="286"/>
      <c r="B28" s="354"/>
      <c r="C28" s="278"/>
      <c r="D28" s="87" t="s">
        <v>150</v>
      </c>
      <c r="E28" s="88">
        <f>F28+G28+H28+I28+J28+K28+L28</f>
        <v>105468.86</v>
      </c>
      <c r="F28" s="88">
        <v>33830</v>
      </c>
      <c r="G28" s="88">
        <f>11046-587.32+0.18</f>
        <v>10458.86</v>
      </c>
      <c r="H28" s="88">
        <v>11720</v>
      </c>
      <c r="I28" s="88">
        <v>12365</v>
      </c>
      <c r="J28" s="88">
        <v>12365</v>
      </c>
      <c r="K28" s="88">
        <v>12365</v>
      </c>
      <c r="L28" s="88">
        <v>12365</v>
      </c>
      <c r="M28" s="267"/>
      <c r="N28" s="273"/>
      <c r="O28" s="273"/>
      <c r="P28" s="273"/>
      <c r="Q28" s="273"/>
      <c r="R28" s="273"/>
      <c r="S28" s="273"/>
      <c r="T28" s="273"/>
      <c r="U28" s="267"/>
    </row>
    <row r="29" spans="1:21" ht="12.75" customHeight="1">
      <c r="A29" s="286"/>
      <c r="B29" s="354"/>
      <c r="C29" s="278"/>
      <c r="D29" s="87" t="s">
        <v>148</v>
      </c>
      <c r="E29" s="88">
        <f>F29+G29+H29+I29+J29+K29+L29</f>
        <v>0</v>
      </c>
      <c r="F29" s="88"/>
      <c r="G29" s="88"/>
      <c r="H29" s="88"/>
      <c r="I29" s="88"/>
      <c r="J29" s="88"/>
      <c r="K29" s="88"/>
      <c r="L29" s="88"/>
      <c r="M29" s="267"/>
      <c r="N29" s="273"/>
      <c r="O29" s="273"/>
      <c r="P29" s="273"/>
      <c r="Q29" s="273"/>
      <c r="R29" s="273"/>
      <c r="S29" s="273"/>
      <c r="T29" s="273"/>
      <c r="U29" s="267"/>
    </row>
    <row r="30" spans="1:21" ht="12.75" customHeight="1">
      <c r="A30" s="286"/>
      <c r="B30" s="354"/>
      <c r="C30" s="278"/>
      <c r="D30" s="87" t="s">
        <v>149</v>
      </c>
      <c r="E30" s="88">
        <f>F30+G30+H30+I30+J30+K30+L30</f>
        <v>0</v>
      </c>
      <c r="F30" s="88"/>
      <c r="G30" s="88"/>
      <c r="H30" s="88"/>
      <c r="I30" s="88"/>
      <c r="J30" s="88"/>
      <c r="K30" s="88"/>
      <c r="L30" s="88"/>
      <c r="M30" s="267"/>
      <c r="N30" s="273"/>
      <c r="O30" s="273"/>
      <c r="P30" s="273"/>
      <c r="Q30" s="273"/>
      <c r="R30" s="273"/>
      <c r="S30" s="273"/>
      <c r="T30" s="273"/>
      <c r="U30" s="267"/>
    </row>
    <row r="31" spans="1:21" ht="12.75" customHeight="1">
      <c r="A31" s="286"/>
      <c r="B31" s="355"/>
      <c r="C31" s="279"/>
      <c r="D31" s="87" t="s">
        <v>151</v>
      </c>
      <c r="E31" s="88">
        <f>F31+G31+H31+I31+J31+K31+L31</f>
        <v>0</v>
      </c>
      <c r="F31" s="88"/>
      <c r="G31" s="88"/>
      <c r="H31" s="88"/>
      <c r="I31" s="88"/>
      <c r="J31" s="88"/>
      <c r="K31" s="88"/>
      <c r="L31" s="88"/>
      <c r="M31" s="268"/>
      <c r="N31" s="276"/>
      <c r="O31" s="276"/>
      <c r="P31" s="276"/>
      <c r="Q31" s="276"/>
      <c r="R31" s="276"/>
      <c r="S31" s="276"/>
      <c r="T31" s="276"/>
      <c r="U31" s="268"/>
    </row>
    <row r="32" spans="1:21" ht="15" customHeight="1">
      <c r="A32" s="286" t="s">
        <v>204</v>
      </c>
      <c r="B32" s="353" t="s">
        <v>289</v>
      </c>
      <c r="C32" s="277" t="s">
        <v>132</v>
      </c>
      <c r="D32" s="85" t="s">
        <v>152</v>
      </c>
      <c r="E32" s="86">
        <f>E34+E35+E36+E37</f>
        <v>1139426.9</v>
      </c>
      <c r="F32" s="86">
        <f aca="true" t="shared" si="4" ref="F32:L32">F34+F35+F36+F37</f>
        <v>0</v>
      </c>
      <c r="G32" s="86">
        <f t="shared" si="4"/>
        <v>181926.9</v>
      </c>
      <c r="H32" s="86">
        <f t="shared" si="4"/>
        <v>191500</v>
      </c>
      <c r="I32" s="86">
        <f t="shared" si="4"/>
        <v>191500</v>
      </c>
      <c r="J32" s="86">
        <f t="shared" si="4"/>
        <v>191500</v>
      </c>
      <c r="K32" s="86">
        <f t="shared" si="4"/>
        <v>191500</v>
      </c>
      <c r="L32" s="86">
        <f t="shared" si="4"/>
        <v>191500</v>
      </c>
      <c r="M32" s="266" t="s">
        <v>338</v>
      </c>
      <c r="N32" s="272">
        <v>1</v>
      </c>
      <c r="O32" s="272">
        <v>1</v>
      </c>
      <c r="P32" s="272">
        <v>1</v>
      </c>
      <c r="Q32" s="272">
        <v>1</v>
      </c>
      <c r="R32" s="272">
        <v>1</v>
      </c>
      <c r="S32" s="272">
        <v>1</v>
      </c>
      <c r="T32" s="272">
        <v>1</v>
      </c>
      <c r="U32" s="266" t="s">
        <v>352</v>
      </c>
    </row>
    <row r="33" spans="1:21" ht="16.5" customHeight="1">
      <c r="A33" s="286"/>
      <c r="B33" s="354"/>
      <c r="C33" s="278"/>
      <c r="D33" s="283" t="s">
        <v>177</v>
      </c>
      <c r="E33" s="284"/>
      <c r="F33" s="284"/>
      <c r="G33" s="284"/>
      <c r="H33" s="284"/>
      <c r="I33" s="284"/>
      <c r="J33" s="284"/>
      <c r="K33" s="284"/>
      <c r="L33" s="285"/>
      <c r="M33" s="267"/>
      <c r="N33" s="273"/>
      <c r="O33" s="273"/>
      <c r="P33" s="273"/>
      <c r="Q33" s="273"/>
      <c r="R33" s="273"/>
      <c r="S33" s="273"/>
      <c r="T33" s="273"/>
      <c r="U33" s="267"/>
    </row>
    <row r="34" spans="1:21" ht="12.75" customHeight="1">
      <c r="A34" s="286"/>
      <c r="B34" s="354"/>
      <c r="C34" s="278"/>
      <c r="D34" s="87" t="s">
        <v>150</v>
      </c>
      <c r="E34" s="88">
        <f>F34+G34+H34+I34+J34+K34+L34</f>
        <v>1139426.9</v>
      </c>
      <c r="F34" s="88"/>
      <c r="G34" s="88">
        <f>191500-9575.1+2</f>
        <v>181926.9</v>
      </c>
      <c r="H34" s="88">
        <v>191500</v>
      </c>
      <c r="I34" s="88">
        <v>191500</v>
      </c>
      <c r="J34" s="88">
        <v>191500</v>
      </c>
      <c r="K34" s="88">
        <v>191500</v>
      </c>
      <c r="L34" s="88">
        <v>191500</v>
      </c>
      <c r="M34" s="267"/>
      <c r="N34" s="273"/>
      <c r="O34" s="273"/>
      <c r="P34" s="273"/>
      <c r="Q34" s="273"/>
      <c r="R34" s="273"/>
      <c r="S34" s="273"/>
      <c r="T34" s="273"/>
      <c r="U34" s="267"/>
    </row>
    <row r="35" spans="1:21" ht="12.75" customHeight="1">
      <c r="A35" s="286"/>
      <c r="B35" s="354"/>
      <c r="C35" s="278"/>
      <c r="D35" s="87" t="s">
        <v>148</v>
      </c>
      <c r="E35" s="88">
        <f>F35+G35+H35+I35+J35+K35+L35</f>
        <v>0</v>
      </c>
      <c r="F35" s="88"/>
      <c r="G35" s="88"/>
      <c r="H35" s="88"/>
      <c r="I35" s="88"/>
      <c r="J35" s="88"/>
      <c r="K35" s="88"/>
      <c r="L35" s="88"/>
      <c r="M35" s="267"/>
      <c r="N35" s="273"/>
      <c r="O35" s="273"/>
      <c r="P35" s="273"/>
      <c r="Q35" s="273"/>
      <c r="R35" s="273"/>
      <c r="S35" s="273"/>
      <c r="T35" s="273"/>
      <c r="U35" s="267"/>
    </row>
    <row r="36" spans="1:21" ht="12.75" customHeight="1">
      <c r="A36" s="286"/>
      <c r="B36" s="354"/>
      <c r="C36" s="278"/>
      <c r="D36" s="87" t="s">
        <v>149</v>
      </c>
      <c r="E36" s="88">
        <f>F36+G36+H36+I36+J36+K36+L36</f>
        <v>0</v>
      </c>
      <c r="F36" s="88"/>
      <c r="G36" s="88"/>
      <c r="H36" s="88"/>
      <c r="I36" s="88"/>
      <c r="J36" s="88"/>
      <c r="K36" s="88"/>
      <c r="L36" s="88"/>
      <c r="M36" s="267"/>
      <c r="N36" s="273"/>
      <c r="O36" s="273"/>
      <c r="P36" s="273"/>
      <c r="Q36" s="273"/>
      <c r="R36" s="273"/>
      <c r="S36" s="273"/>
      <c r="T36" s="273"/>
      <c r="U36" s="267"/>
    </row>
    <row r="37" spans="1:21" ht="12.75" customHeight="1">
      <c r="A37" s="286"/>
      <c r="B37" s="355"/>
      <c r="C37" s="279"/>
      <c r="D37" s="87" t="s">
        <v>151</v>
      </c>
      <c r="E37" s="88">
        <f>F37+G37+H37+I37+J37+K37+L37</f>
        <v>0</v>
      </c>
      <c r="F37" s="88"/>
      <c r="G37" s="88"/>
      <c r="H37" s="88"/>
      <c r="I37" s="88"/>
      <c r="J37" s="88"/>
      <c r="K37" s="88"/>
      <c r="L37" s="88"/>
      <c r="M37" s="268"/>
      <c r="N37" s="276"/>
      <c r="O37" s="276"/>
      <c r="P37" s="276"/>
      <c r="Q37" s="276"/>
      <c r="R37" s="276"/>
      <c r="S37" s="276"/>
      <c r="T37" s="276"/>
      <c r="U37" s="268"/>
    </row>
    <row r="38" spans="1:21" ht="12.75" customHeight="1">
      <c r="A38" s="286" t="s">
        <v>205</v>
      </c>
      <c r="B38" s="353" t="s">
        <v>355</v>
      </c>
      <c r="C38" s="277" t="s">
        <v>132</v>
      </c>
      <c r="D38" s="85" t="s">
        <v>152</v>
      </c>
      <c r="E38" s="86">
        <f>E40+E41+E42+E43</f>
        <v>450000</v>
      </c>
      <c r="F38" s="86">
        <f aca="true" t="shared" si="5" ref="F38:L38">F40+F41+F42+F43</f>
        <v>450000</v>
      </c>
      <c r="G38" s="86">
        <f t="shared" si="5"/>
        <v>0</v>
      </c>
      <c r="H38" s="86">
        <f t="shared" si="5"/>
        <v>0</v>
      </c>
      <c r="I38" s="86">
        <f t="shared" si="5"/>
        <v>0</v>
      </c>
      <c r="J38" s="86">
        <f t="shared" si="5"/>
        <v>0</v>
      </c>
      <c r="K38" s="86">
        <f t="shared" si="5"/>
        <v>0</v>
      </c>
      <c r="L38" s="86">
        <f t="shared" si="5"/>
        <v>0</v>
      </c>
      <c r="M38" s="266" t="s">
        <v>356</v>
      </c>
      <c r="N38" s="272">
        <v>1</v>
      </c>
      <c r="O38" s="272">
        <v>1</v>
      </c>
      <c r="P38" s="272">
        <v>1</v>
      </c>
      <c r="Q38" s="272">
        <v>1</v>
      </c>
      <c r="R38" s="272">
        <v>1</v>
      </c>
      <c r="S38" s="272">
        <v>1</v>
      </c>
      <c r="T38" s="272">
        <v>1</v>
      </c>
      <c r="U38" s="266" t="s">
        <v>352</v>
      </c>
    </row>
    <row r="39" spans="1:21" ht="12.75" customHeight="1">
      <c r="A39" s="286"/>
      <c r="B39" s="354"/>
      <c r="C39" s="278"/>
      <c r="D39" s="283" t="s">
        <v>177</v>
      </c>
      <c r="E39" s="284"/>
      <c r="F39" s="284"/>
      <c r="G39" s="284"/>
      <c r="H39" s="284"/>
      <c r="I39" s="284"/>
      <c r="J39" s="284"/>
      <c r="K39" s="284"/>
      <c r="L39" s="285"/>
      <c r="M39" s="267"/>
      <c r="N39" s="273"/>
      <c r="O39" s="273"/>
      <c r="P39" s="273"/>
      <c r="Q39" s="273"/>
      <c r="R39" s="273"/>
      <c r="S39" s="273"/>
      <c r="T39" s="273"/>
      <c r="U39" s="267"/>
    </row>
    <row r="40" spans="1:21" ht="12.75" customHeight="1">
      <c r="A40" s="286"/>
      <c r="B40" s="354"/>
      <c r="C40" s="278"/>
      <c r="D40" s="87" t="s">
        <v>150</v>
      </c>
      <c r="E40" s="88">
        <f>F40+G40+H40+I40+J40+K40+L40</f>
        <v>450000</v>
      </c>
      <c r="F40" s="88">
        <v>450000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267"/>
      <c r="N40" s="273"/>
      <c r="O40" s="273"/>
      <c r="P40" s="273"/>
      <c r="Q40" s="273"/>
      <c r="R40" s="273"/>
      <c r="S40" s="273"/>
      <c r="T40" s="273"/>
      <c r="U40" s="267"/>
    </row>
    <row r="41" spans="1:21" ht="12.75" customHeight="1">
      <c r="A41" s="286"/>
      <c r="B41" s="354"/>
      <c r="C41" s="278"/>
      <c r="D41" s="87" t="s">
        <v>148</v>
      </c>
      <c r="E41" s="88">
        <f>F41+G41+H41+I41+J41+K41+L41</f>
        <v>0</v>
      </c>
      <c r="F41" s="88"/>
      <c r="G41" s="88"/>
      <c r="H41" s="88"/>
      <c r="I41" s="88"/>
      <c r="J41" s="88"/>
      <c r="K41" s="88"/>
      <c r="L41" s="88"/>
      <c r="M41" s="267"/>
      <c r="N41" s="273"/>
      <c r="O41" s="273"/>
      <c r="P41" s="273"/>
      <c r="Q41" s="273"/>
      <c r="R41" s="273"/>
      <c r="S41" s="273"/>
      <c r="T41" s="273"/>
      <c r="U41" s="267"/>
    </row>
    <row r="42" spans="1:21" ht="12.75" customHeight="1">
      <c r="A42" s="286"/>
      <c r="B42" s="354"/>
      <c r="C42" s="278"/>
      <c r="D42" s="87" t="s">
        <v>149</v>
      </c>
      <c r="E42" s="88">
        <f>F42+G42+H42+I42+J42+K42+L42</f>
        <v>0</v>
      </c>
      <c r="F42" s="88"/>
      <c r="G42" s="88"/>
      <c r="H42" s="88"/>
      <c r="I42" s="88"/>
      <c r="J42" s="88"/>
      <c r="K42" s="88"/>
      <c r="L42" s="88"/>
      <c r="M42" s="267"/>
      <c r="N42" s="273"/>
      <c r="O42" s="273"/>
      <c r="P42" s="273"/>
      <c r="Q42" s="273"/>
      <c r="R42" s="273"/>
      <c r="S42" s="273"/>
      <c r="T42" s="273"/>
      <c r="U42" s="267"/>
    </row>
    <row r="43" spans="1:21" ht="12.75" customHeight="1">
      <c r="A43" s="286"/>
      <c r="B43" s="355"/>
      <c r="C43" s="279"/>
      <c r="D43" s="87" t="s">
        <v>151</v>
      </c>
      <c r="E43" s="88">
        <f>F43+G43+H43+I43+J43+K43+L43</f>
        <v>0</v>
      </c>
      <c r="F43" s="88"/>
      <c r="G43" s="88"/>
      <c r="H43" s="88"/>
      <c r="I43" s="88"/>
      <c r="J43" s="88"/>
      <c r="K43" s="88"/>
      <c r="L43" s="88"/>
      <c r="M43" s="268"/>
      <c r="N43" s="276"/>
      <c r="O43" s="276"/>
      <c r="P43" s="276"/>
      <c r="Q43" s="276"/>
      <c r="R43" s="276"/>
      <c r="S43" s="276"/>
      <c r="T43" s="276"/>
      <c r="U43" s="268"/>
    </row>
    <row r="44" spans="1:21" ht="13.5" customHeight="1">
      <c r="A44" s="297"/>
      <c r="B44" s="330" t="s">
        <v>236</v>
      </c>
      <c r="C44" s="297"/>
      <c r="D44" s="90" t="s">
        <v>152</v>
      </c>
      <c r="E44" s="91">
        <f aca="true" t="shared" si="6" ref="E44:L44">E46+E47+E48+E49</f>
        <v>299558655.40999997</v>
      </c>
      <c r="F44" s="91">
        <f t="shared" si="6"/>
        <v>42388334</v>
      </c>
      <c r="G44" s="91">
        <f t="shared" si="6"/>
        <v>41620736.41</v>
      </c>
      <c r="H44" s="91">
        <f t="shared" si="6"/>
        <v>43090865</v>
      </c>
      <c r="I44" s="91">
        <f t="shared" si="6"/>
        <v>43114680</v>
      </c>
      <c r="J44" s="91">
        <f t="shared" si="6"/>
        <v>43114680</v>
      </c>
      <c r="K44" s="91">
        <f t="shared" si="6"/>
        <v>43114680</v>
      </c>
      <c r="L44" s="91">
        <f t="shared" si="6"/>
        <v>43114680</v>
      </c>
      <c r="M44" s="309"/>
      <c r="N44" s="303"/>
      <c r="O44" s="303"/>
      <c r="P44" s="303"/>
      <c r="Q44" s="303"/>
      <c r="R44" s="303"/>
      <c r="S44" s="303"/>
      <c r="T44" s="303"/>
      <c r="U44" s="306"/>
    </row>
    <row r="45" spans="1:21" ht="12.75" customHeight="1">
      <c r="A45" s="297"/>
      <c r="B45" s="331"/>
      <c r="C45" s="297"/>
      <c r="D45" s="312" t="s">
        <v>177</v>
      </c>
      <c r="E45" s="313"/>
      <c r="F45" s="313"/>
      <c r="G45" s="313"/>
      <c r="H45" s="313"/>
      <c r="I45" s="313"/>
      <c r="J45" s="313"/>
      <c r="K45" s="313"/>
      <c r="L45" s="314"/>
      <c r="M45" s="310"/>
      <c r="N45" s="304"/>
      <c r="O45" s="304"/>
      <c r="P45" s="304"/>
      <c r="Q45" s="304"/>
      <c r="R45" s="304"/>
      <c r="S45" s="304"/>
      <c r="T45" s="304"/>
      <c r="U45" s="307"/>
    </row>
    <row r="46" spans="1:21" ht="13.5" customHeight="1">
      <c r="A46" s="297"/>
      <c r="B46" s="331"/>
      <c r="C46" s="297"/>
      <c r="D46" s="92" t="s">
        <v>150</v>
      </c>
      <c r="E46" s="91">
        <f>F46+G46+H46+I46+J46+K46+L46</f>
        <v>42069908.41</v>
      </c>
      <c r="F46" s="93">
        <f>F10+F16+F22+F28+F34+F40</f>
        <v>6370094</v>
      </c>
      <c r="G46" s="93">
        <f aca="true" t="shared" si="7" ref="G46:L46">G10+G16+G22+G28+G34</f>
        <v>5628229.410000001</v>
      </c>
      <c r="H46" s="93">
        <f t="shared" si="7"/>
        <v>5983665</v>
      </c>
      <c r="I46" s="93">
        <f t="shared" si="7"/>
        <v>6021980</v>
      </c>
      <c r="J46" s="93">
        <f t="shared" si="7"/>
        <v>6021980</v>
      </c>
      <c r="K46" s="93">
        <f t="shared" si="7"/>
        <v>6021980</v>
      </c>
      <c r="L46" s="93">
        <f t="shared" si="7"/>
        <v>6021980</v>
      </c>
      <c r="M46" s="310"/>
      <c r="N46" s="304"/>
      <c r="O46" s="304"/>
      <c r="P46" s="304"/>
      <c r="Q46" s="304"/>
      <c r="R46" s="304"/>
      <c r="S46" s="304"/>
      <c r="T46" s="304"/>
      <c r="U46" s="307"/>
    </row>
    <row r="47" spans="1:21" ht="13.5" customHeight="1">
      <c r="A47" s="297"/>
      <c r="B47" s="331"/>
      <c r="C47" s="297"/>
      <c r="D47" s="92" t="s">
        <v>148</v>
      </c>
      <c r="E47" s="91">
        <f>F47+G47+H47+I47+J47+K47+L47</f>
        <v>111463700</v>
      </c>
      <c r="F47" s="93">
        <f>F11+F17+F23+F29+F35</f>
        <v>16180900</v>
      </c>
      <c r="G47" s="93">
        <f aca="true" t="shared" si="8" ref="G47:L49">G11+G17+G23+G29+G35</f>
        <v>15892300</v>
      </c>
      <c r="H47" s="93">
        <f t="shared" si="8"/>
        <v>15889700</v>
      </c>
      <c r="I47" s="93">
        <f t="shared" si="8"/>
        <v>15875200</v>
      </c>
      <c r="J47" s="93">
        <f t="shared" si="8"/>
        <v>15875200</v>
      </c>
      <c r="K47" s="93">
        <f t="shared" si="8"/>
        <v>15875200</v>
      </c>
      <c r="L47" s="93">
        <f t="shared" si="8"/>
        <v>15875200</v>
      </c>
      <c r="M47" s="310"/>
      <c r="N47" s="304"/>
      <c r="O47" s="304"/>
      <c r="P47" s="304"/>
      <c r="Q47" s="304"/>
      <c r="R47" s="304"/>
      <c r="S47" s="304"/>
      <c r="T47" s="304"/>
      <c r="U47" s="307"/>
    </row>
    <row r="48" spans="1:21" ht="13.5" customHeight="1">
      <c r="A48" s="297"/>
      <c r="B48" s="331"/>
      <c r="C48" s="297"/>
      <c r="D48" s="92" t="s">
        <v>149</v>
      </c>
      <c r="E48" s="91">
        <f>F48+G48+H48+I48+J48+K48+L48</f>
        <v>0</v>
      </c>
      <c r="F48" s="93">
        <f>F12+F18+F24+F30+F36</f>
        <v>0</v>
      </c>
      <c r="G48" s="93">
        <f t="shared" si="8"/>
        <v>0</v>
      </c>
      <c r="H48" s="93">
        <f t="shared" si="8"/>
        <v>0</v>
      </c>
      <c r="I48" s="93">
        <f t="shared" si="8"/>
        <v>0</v>
      </c>
      <c r="J48" s="93">
        <f t="shared" si="8"/>
        <v>0</v>
      </c>
      <c r="K48" s="93">
        <f t="shared" si="8"/>
        <v>0</v>
      </c>
      <c r="L48" s="93">
        <f t="shared" si="8"/>
        <v>0</v>
      </c>
      <c r="M48" s="310"/>
      <c r="N48" s="304"/>
      <c r="O48" s="304"/>
      <c r="P48" s="304"/>
      <c r="Q48" s="304"/>
      <c r="R48" s="304"/>
      <c r="S48" s="304"/>
      <c r="T48" s="304"/>
      <c r="U48" s="307"/>
    </row>
    <row r="49" spans="1:21" ht="13.5" customHeight="1">
      <c r="A49" s="297"/>
      <c r="B49" s="332"/>
      <c r="C49" s="297"/>
      <c r="D49" s="92" t="s">
        <v>151</v>
      </c>
      <c r="E49" s="91">
        <f>F49+G49+H49+I49+J49+K49+L49</f>
        <v>146025047</v>
      </c>
      <c r="F49" s="93">
        <f>F13+F19+F25+F31+F37</f>
        <v>19837340</v>
      </c>
      <c r="G49" s="93">
        <f t="shared" si="8"/>
        <v>20100207</v>
      </c>
      <c r="H49" s="93">
        <f t="shared" si="8"/>
        <v>21217500</v>
      </c>
      <c r="I49" s="93">
        <f t="shared" si="8"/>
        <v>21217500</v>
      </c>
      <c r="J49" s="93">
        <f t="shared" si="8"/>
        <v>21217500</v>
      </c>
      <c r="K49" s="93">
        <f t="shared" si="8"/>
        <v>21217500</v>
      </c>
      <c r="L49" s="93">
        <f t="shared" si="8"/>
        <v>21217500</v>
      </c>
      <c r="M49" s="311"/>
      <c r="N49" s="305"/>
      <c r="O49" s="305"/>
      <c r="P49" s="305"/>
      <c r="Q49" s="305"/>
      <c r="R49" s="305"/>
      <c r="S49" s="305"/>
      <c r="T49" s="305"/>
      <c r="U49" s="308"/>
    </row>
    <row r="50" spans="1:21" ht="13.5" customHeight="1">
      <c r="A50" s="297"/>
      <c r="B50" s="330" t="s">
        <v>40</v>
      </c>
      <c r="C50" s="297"/>
      <c r="D50" s="90" t="s">
        <v>152</v>
      </c>
      <c r="E50" s="91">
        <f aca="true" t="shared" si="9" ref="E50:L50">E52+E53+E54+E55</f>
        <v>299558655.40999997</v>
      </c>
      <c r="F50" s="91">
        <f t="shared" si="9"/>
        <v>42388334</v>
      </c>
      <c r="G50" s="91">
        <f t="shared" si="9"/>
        <v>41620736.41</v>
      </c>
      <c r="H50" s="91">
        <f t="shared" si="9"/>
        <v>43090865</v>
      </c>
      <c r="I50" s="91">
        <f t="shared" si="9"/>
        <v>43114680</v>
      </c>
      <c r="J50" s="91">
        <f t="shared" si="9"/>
        <v>43114680</v>
      </c>
      <c r="K50" s="91">
        <f t="shared" si="9"/>
        <v>43114680</v>
      </c>
      <c r="L50" s="91">
        <f t="shared" si="9"/>
        <v>43114680</v>
      </c>
      <c r="M50" s="309"/>
      <c r="N50" s="303"/>
      <c r="O50" s="303"/>
      <c r="P50" s="303"/>
      <c r="Q50" s="303"/>
      <c r="R50" s="303"/>
      <c r="S50" s="303"/>
      <c r="T50" s="303"/>
      <c r="U50" s="306"/>
    </row>
    <row r="51" spans="1:21" ht="12.75" customHeight="1">
      <c r="A51" s="297"/>
      <c r="B51" s="331"/>
      <c r="C51" s="297"/>
      <c r="D51" s="312" t="s">
        <v>177</v>
      </c>
      <c r="E51" s="313"/>
      <c r="F51" s="313"/>
      <c r="G51" s="313"/>
      <c r="H51" s="313"/>
      <c r="I51" s="313"/>
      <c r="J51" s="313"/>
      <c r="K51" s="313"/>
      <c r="L51" s="314"/>
      <c r="M51" s="310"/>
      <c r="N51" s="304"/>
      <c r="O51" s="304"/>
      <c r="P51" s="304"/>
      <c r="Q51" s="304"/>
      <c r="R51" s="304"/>
      <c r="S51" s="304"/>
      <c r="T51" s="304"/>
      <c r="U51" s="307"/>
    </row>
    <row r="52" spans="1:21" ht="13.5" customHeight="1">
      <c r="A52" s="297"/>
      <c r="B52" s="331"/>
      <c r="C52" s="297"/>
      <c r="D52" s="92" t="s">
        <v>150</v>
      </c>
      <c r="E52" s="91">
        <f>F52+G52+H52+I52+J52+K52+L52</f>
        <v>42069908.41</v>
      </c>
      <c r="F52" s="93">
        <f>F46</f>
        <v>6370094</v>
      </c>
      <c r="G52" s="93">
        <f aca="true" t="shared" si="10" ref="G52:L52">G46</f>
        <v>5628229.410000001</v>
      </c>
      <c r="H52" s="93">
        <f t="shared" si="10"/>
        <v>5983665</v>
      </c>
      <c r="I52" s="93">
        <f t="shared" si="10"/>
        <v>6021980</v>
      </c>
      <c r="J52" s="93">
        <f t="shared" si="10"/>
        <v>6021980</v>
      </c>
      <c r="K52" s="93">
        <f t="shared" si="10"/>
        <v>6021980</v>
      </c>
      <c r="L52" s="93">
        <f t="shared" si="10"/>
        <v>6021980</v>
      </c>
      <c r="M52" s="310"/>
      <c r="N52" s="304"/>
      <c r="O52" s="304"/>
      <c r="P52" s="304"/>
      <c r="Q52" s="304"/>
      <c r="R52" s="304"/>
      <c r="S52" s="304"/>
      <c r="T52" s="304"/>
      <c r="U52" s="307"/>
    </row>
    <row r="53" spans="1:21" ht="13.5" customHeight="1">
      <c r="A53" s="297"/>
      <c r="B53" s="331"/>
      <c r="C53" s="297"/>
      <c r="D53" s="92" t="s">
        <v>148</v>
      </c>
      <c r="E53" s="91">
        <f>F53+G53+H53+I53+J53+K53+L53</f>
        <v>111463700</v>
      </c>
      <c r="F53" s="93">
        <f aca="true" t="shared" si="11" ref="F53:L55">F47</f>
        <v>16180900</v>
      </c>
      <c r="G53" s="93">
        <f t="shared" si="11"/>
        <v>15892300</v>
      </c>
      <c r="H53" s="93">
        <f t="shared" si="11"/>
        <v>15889700</v>
      </c>
      <c r="I53" s="93">
        <f t="shared" si="11"/>
        <v>15875200</v>
      </c>
      <c r="J53" s="93">
        <f t="shared" si="11"/>
        <v>15875200</v>
      </c>
      <c r="K53" s="93">
        <f t="shared" si="11"/>
        <v>15875200</v>
      </c>
      <c r="L53" s="93">
        <f t="shared" si="11"/>
        <v>15875200</v>
      </c>
      <c r="M53" s="310"/>
      <c r="N53" s="304"/>
      <c r="O53" s="304"/>
      <c r="P53" s="304"/>
      <c r="Q53" s="304"/>
      <c r="R53" s="304"/>
      <c r="S53" s="304"/>
      <c r="T53" s="304"/>
      <c r="U53" s="307"/>
    </row>
    <row r="54" spans="1:21" ht="13.5" customHeight="1">
      <c r="A54" s="297"/>
      <c r="B54" s="331"/>
      <c r="C54" s="297"/>
      <c r="D54" s="92" t="s">
        <v>149</v>
      </c>
      <c r="E54" s="91">
        <f>F54+G54+H54+I54+J54+K54+L54</f>
        <v>0</v>
      </c>
      <c r="F54" s="93">
        <f t="shared" si="11"/>
        <v>0</v>
      </c>
      <c r="G54" s="93">
        <f t="shared" si="11"/>
        <v>0</v>
      </c>
      <c r="H54" s="93">
        <f t="shared" si="11"/>
        <v>0</v>
      </c>
      <c r="I54" s="93">
        <f t="shared" si="11"/>
        <v>0</v>
      </c>
      <c r="J54" s="93">
        <f t="shared" si="11"/>
        <v>0</v>
      </c>
      <c r="K54" s="93">
        <f t="shared" si="11"/>
        <v>0</v>
      </c>
      <c r="L54" s="93">
        <f t="shared" si="11"/>
        <v>0</v>
      </c>
      <c r="M54" s="310"/>
      <c r="N54" s="304"/>
      <c r="O54" s="304"/>
      <c r="P54" s="304"/>
      <c r="Q54" s="304"/>
      <c r="R54" s="304"/>
      <c r="S54" s="304"/>
      <c r="T54" s="304"/>
      <c r="U54" s="307"/>
    </row>
    <row r="55" spans="1:21" ht="13.5" customHeight="1">
      <c r="A55" s="297"/>
      <c r="B55" s="332"/>
      <c r="C55" s="297"/>
      <c r="D55" s="92" t="s">
        <v>151</v>
      </c>
      <c r="E55" s="91">
        <f>F55+G55+H55+I55+J55+K55+L55</f>
        <v>146025047</v>
      </c>
      <c r="F55" s="93">
        <f t="shared" si="11"/>
        <v>19837340</v>
      </c>
      <c r="G55" s="93">
        <f t="shared" si="11"/>
        <v>20100207</v>
      </c>
      <c r="H55" s="93">
        <f t="shared" si="11"/>
        <v>21217500</v>
      </c>
      <c r="I55" s="93">
        <f t="shared" si="11"/>
        <v>21217500</v>
      </c>
      <c r="J55" s="93">
        <f t="shared" si="11"/>
        <v>21217500</v>
      </c>
      <c r="K55" s="93">
        <f t="shared" si="11"/>
        <v>21217500</v>
      </c>
      <c r="L55" s="93">
        <f t="shared" si="11"/>
        <v>21217500</v>
      </c>
      <c r="M55" s="311"/>
      <c r="N55" s="305"/>
      <c r="O55" s="305"/>
      <c r="P55" s="305"/>
      <c r="Q55" s="305"/>
      <c r="R55" s="305"/>
      <c r="S55" s="305"/>
      <c r="T55" s="305"/>
      <c r="U55" s="308"/>
    </row>
    <row r="59" ht="12.75">
      <c r="G59" s="95"/>
    </row>
  </sheetData>
  <sheetProtection/>
  <mergeCells count="114">
    <mergeCell ref="U32:U37"/>
    <mergeCell ref="D33:L33"/>
    <mergeCell ref="O32:O37"/>
    <mergeCell ref="U50:U55"/>
    <mergeCell ref="D51:L51"/>
    <mergeCell ref="Q32:Q37"/>
    <mergeCell ref="R32:R37"/>
    <mergeCell ref="O50:O55"/>
    <mergeCell ref="P50:P55"/>
    <mergeCell ref="Q50:Q55"/>
    <mergeCell ref="A32:A37"/>
    <mergeCell ref="B32:B37"/>
    <mergeCell ref="C32:C37"/>
    <mergeCell ref="M32:M37"/>
    <mergeCell ref="N32:N37"/>
    <mergeCell ref="P32:P37"/>
    <mergeCell ref="R50:R55"/>
    <mergeCell ref="S50:S55"/>
    <mergeCell ref="T50:T55"/>
    <mergeCell ref="R20:R25"/>
    <mergeCell ref="S20:S25"/>
    <mergeCell ref="T20:T25"/>
    <mergeCell ref="R44:R49"/>
    <mergeCell ref="S44:S49"/>
    <mergeCell ref="U20:U25"/>
    <mergeCell ref="D21:L21"/>
    <mergeCell ref="A50:A55"/>
    <mergeCell ref="B50:B55"/>
    <mergeCell ref="C50:C55"/>
    <mergeCell ref="M50:M55"/>
    <mergeCell ref="N50:N55"/>
    <mergeCell ref="A44:A49"/>
    <mergeCell ref="B44:B49"/>
    <mergeCell ref="C44:C4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S8:S13"/>
    <mergeCell ref="T8:T13"/>
    <mergeCell ref="O14:O19"/>
    <mergeCell ref="P14:P19"/>
    <mergeCell ref="Q14:Q19"/>
    <mergeCell ref="R14:R19"/>
    <mergeCell ref="Q8:Q13"/>
    <mergeCell ref="U8:U13"/>
    <mergeCell ref="D9:L9"/>
    <mergeCell ref="A14:A19"/>
    <mergeCell ref="B14:B19"/>
    <mergeCell ref="C14:C19"/>
    <mergeCell ref="M14:M19"/>
    <mergeCell ref="N14:N19"/>
    <mergeCell ref="S14:S19"/>
    <mergeCell ref="T14:T19"/>
    <mergeCell ref="R8:R1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M44:M49"/>
    <mergeCell ref="N44:N49"/>
    <mergeCell ref="O44:O49"/>
    <mergeCell ref="A2:U2"/>
    <mergeCell ref="A3:A4"/>
    <mergeCell ref="B3:B4"/>
    <mergeCell ref="C3:C4"/>
    <mergeCell ref="D3:D4"/>
    <mergeCell ref="E3:L3"/>
    <mergeCell ref="M3:T3"/>
    <mergeCell ref="D45:L45"/>
    <mergeCell ref="P44:P49"/>
    <mergeCell ref="A26:A31"/>
    <mergeCell ref="B26:B31"/>
    <mergeCell ref="C26:C31"/>
    <mergeCell ref="M26:M31"/>
    <mergeCell ref="N26:N31"/>
    <mergeCell ref="O26:O31"/>
    <mergeCell ref="D27:L27"/>
    <mergeCell ref="P26:P31"/>
    <mergeCell ref="U26:U31"/>
    <mergeCell ref="T44:T49"/>
    <mergeCell ref="U44:U49"/>
    <mergeCell ref="Q44:Q49"/>
    <mergeCell ref="S32:S37"/>
    <mergeCell ref="T32:T37"/>
    <mergeCell ref="Q26:Q31"/>
    <mergeCell ref="R26:R31"/>
    <mergeCell ref="S26:S31"/>
    <mergeCell ref="T26:T31"/>
    <mergeCell ref="A38:A43"/>
    <mergeCell ref="B38:B43"/>
    <mergeCell ref="C38:C43"/>
    <mergeCell ref="M38:M43"/>
    <mergeCell ref="N38:N43"/>
    <mergeCell ref="O38:O43"/>
    <mergeCell ref="D39:L39"/>
    <mergeCell ref="P38:P43"/>
    <mergeCell ref="Q38:Q43"/>
    <mergeCell ref="R38:R43"/>
    <mergeCell ref="S38:S43"/>
    <mergeCell ref="T38:T43"/>
    <mergeCell ref="U38:U4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57421875" style="58" customWidth="1"/>
    <col min="2" max="2" width="49.28125" style="55" customWidth="1"/>
    <col min="3" max="3" width="7.421875" style="55" customWidth="1"/>
    <col min="4" max="4" width="8.8515625" style="55" bestFit="1" customWidth="1"/>
    <col min="5" max="5" width="8.28125" style="55" bestFit="1" customWidth="1"/>
    <col min="6" max="12" width="8.140625" style="55" customWidth="1"/>
    <col min="13" max="16384" width="9.140625" style="55" customWidth="1"/>
  </cols>
  <sheetData>
    <row r="1" spans="1:12" ht="12.75">
      <c r="A1" s="51"/>
      <c r="B1" s="52"/>
      <c r="C1" s="52"/>
      <c r="D1" s="52"/>
      <c r="E1" s="52"/>
      <c r="F1" s="52"/>
      <c r="G1" s="52"/>
      <c r="H1" s="52"/>
      <c r="I1" s="53"/>
      <c r="J1" s="53"/>
      <c r="K1" s="54" t="s">
        <v>188</v>
      </c>
      <c r="L1" s="54"/>
    </row>
    <row r="2" spans="1:12" ht="41.25" customHeight="1">
      <c r="A2" s="244" t="s">
        <v>103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2.75">
      <c r="A3" s="246" t="s">
        <v>156</v>
      </c>
      <c r="B3" s="246" t="s">
        <v>160</v>
      </c>
      <c r="C3" s="246" t="s">
        <v>157</v>
      </c>
      <c r="D3" s="251" t="s">
        <v>159</v>
      </c>
      <c r="E3" s="252"/>
      <c r="F3" s="252"/>
      <c r="G3" s="252"/>
      <c r="H3" s="252"/>
      <c r="I3" s="252"/>
      <c r="J3" s="252"/>
      <c r="K3" s="252"/>
      <c r="L3" s="253"/>
    </row>
    <row r="4" spans="1:12" ht="25.5" customHeight="1">
      <c r="A4" s="246"/>
      <c r="B4" s="246"/>
      <c r="C4" s="246"/>
      <c r="D4" s="247" t="s">
        <v>118</v>
      </c>
      <c r="E4" s="247" t="s">
        <v>119</v>
      </c>
      <c r="F4" s="248" t="s">
        <v>43</v>
      </c>
      <c r="G4" s="249"/>
      <c r="H4" s="249"/>
      <c r="I4" s="249"/>
      <c r="J4" s="249"/>
      <c r="K4" s="249"/>
      <c r="L4" s="250"/>
    </row>
    <row r="5" spans="1:12" ht="19.5" customHeight="1">
      <c r="A5" s="247"/>
      <c r="B5" s="246"/>
      <c r="C5" s="247"/>
      <c r="D5" s="254"/>
      <c r="E5" s="254"/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 ht="19.5" customHeight="1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</row>
    <row r="7" spans="1:12" ht="12.75">
      <c r="A7" s="1"/>
      <c r="B7" s="245" t="s">
        <v>106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1:12" ht="76.5">
      <c r="A8" s="1">
        <v>1</v>
      </c>
      <c r="B8" s="2" t="s">
        <v>330</v>
      </c>
      <c r="C8" s="3" t="s">
        <v>158</v>
      </c>
      <c r="D8" s="3">
        <v>85.3</v>
      </c>
      <c r="E8" s="3">
        <v>85.6</v>
      </c>
      <c r="F8" s="48">
        <v>90.3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</row>
    <row r="9" spans="1:12" ht="63.75">
      <c r="A9" s="1">
        <v>2</v>
      </c>
      <c r="B9" s="2" t="s">
        <v>331</v>
      </c>
      <c r="C9" s="3" t="s">
        <v>158</v>
      </c>
      <c r="D9" s="3">
        <v>67.9</v>
      </c>
      <c r="E9" s="3">
        <v>69.7</v>
      </c>
      <c r="F9" s="48">
        <v>71.8</v>
      </c>
      <c r="G9" s="44">
        <v>73.2</v>
      </c>
      <c r="H9" s="44">
        <v>81</v>
      </c>
      <c r="I9" s="44">
        <v>87.7</v>
      </c>
      <c r="J9" s="44">
        <v>88.7</v>
      </c>
      <c r="K9" s="44">
        <v>90</v>
      </c>
      <c r="L9" s="44">
        <v>100</v>
      </c>
    </row>
    <row r="10" spans="1:12" ht="38.25">
      <c r="A10" s="1">
        <v>3</v>
      </c>
      <c r="B10" s="2" t="s">
        <v>189</v>
      </c>
      <c r="C10" s="3" t="s">
        <v>158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</row>
    <row r="11" spans="1:12" ht="24" customHeight="1">
      <c r="A11" s="1">
        <v>1</v>
      </c>
      <c r="B11" s="245" t="s">
        <v>63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2" s="56" customFormat="1" ht="76.5">
      <c r="A12" s="25" t="s">
        <v>192</v>
      </c>
      <c r="B12" s="24" t="s">
        <v>332</v>
      </c>
      <c r="C12" s="3" t="s">
        <v>158</v>
      </c>
      <c r="D12" s="21">
        <v>0</v>
      </c>
      <c r="E12" s="21">
        <v>39</v>
      </c>
      <c r="F12" s="4">
        <v>60</v>
      </c>
      <c r="G12" s="4">
        <v>100</v>
      </c>
      <c r="H12" s="4">
        <v>100</v>
      </c>
      <c r="I12" s="4">
        <v>100</v>
      </c>
      <c r="J12" s="4">
        <v>100</v>
      </c>
      <c r="K12" s="4">
        <v>100</v>
      </c>
      <c r="L12" s="4">
        <v>100</v>
      </c>
    </row>
    <row r="13" spans="1:12" ht="76.5">
      <c r="A13" s="25" t="s">
        <v>193</v>
      </c>
      <c r="B13" s="24" t="s">
        <v>333</v>
      </c>
      <c r="C13" s="3" t="s">
        <v>158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</row>
    <row r="14" spans="1:12" ht="63.75">
      <c r="A14" s="25" t="s">
        <v>194</v>
      </c>
      <c r="B14" s="24" t="s">
        <v>334</v>
      </c>
      <c r="C14" s="3" t="s">
        <v>158</v>
      </c>
      <c r="D14" s="3">
        <v>0</v>
      </c>
      <c r="E14" s="3">
        <v>89.7</v>
      </c>
      <c r="F14" s="3">
        <v>94</v>
      </c>
      <c r="G14" s="3">
        <v>100</v>
      </c>
      <c r="H14" s="3">
        <v>100</v>
      </c>
      <c r="I14" s="3">
        <v>100</v>
      </c>
      <c r="J14" s="3">
        <v>100</v>
      </c>
      <c r="K14" s="3">
        <v>100</v>
      </c>
      <c r="L14" s="3">
        <v>100</v>
      </c>
    </row>
    <row r="15" ht="12.75">
      <c r="A15" s="57"/>
    </row>
    <row r="16" spans="1:2" ht="12.75">
      <c r="A16" s="57"/>
      <c r="B16" s="56"/>
    </row>
    <row r="17" ht="12.75">
      <c r="A17" s="57"/>
    </row>
  </sheetData>
  <sheetProtection/>
  <mergeCells count="10">
    <mergeCell ref="A2:L2"/>
    <mergeCell ref="B7:L7"/>
    <mergeCell ref="B11:L11"/>
    <mergeCell ref="A3:A5"/>
    <mergeCell ref="B3:B5"/>
    <mergeCell ref="C3:C5"/>
    <mergeCell ref="F4:L4"/>
    <mergeCell ref="D3:L3"/>
    <mergeCell ref="E4:E5"/>
    <mergeCell ref="D4:D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140625" style="158" bestFit="1" customWidth="1"/>
    <col min="2" max="2" width="40.28125" style="157" customWidth="1"/>
    <col min="3" max="3" width="7.421875" style="157" customWidth="1"/>
    <col min="4" max="4" width="11.140625" style="157" customWidth="1"/>
    <col min="5" max="7" width="9.140625" style="157" customWidth="1"/>
    <col min="8" max="8" width="10.421875" style="157" bestFit="1" customWidth="1"/>
    <col min="9" max="11" width="9.140625" style="157" customWidth="1"/>
    <col min="12" max="12" width="10.421875" style="157" bestFit="1" customWidth="1"/>
    <col min="13" max="16384" width="9.140625" style="157" customWidth="1"/>
  </cols>
  <sheetData>
    <row r="1" spans="1:11" ht="33.75" customHeight="1">
      <c r="A1" s="155"/>
      <c r="B1" s="65"/>
      <c r="C1" s="65"/>
      <c r="D1" s="65"/>
      <c r="E1" s="65"/>
      <c r="F1" s="65"/>
      <c r="G1" s="65"/>
      <c r="H1" s="65"/>
      <c r="I1" s="156"/>
      <c r="J1" s="156"/>
      <c r="K1" s="8" t="s">
        <v>291</v>
      </c>
    </row>
    <row r="2" spans="1:12" ht="41.25" customHeight="1">
      <c r="A2" s="244" t="s">
        <v>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4" spans="1:12" ht="21" customHeight="1">
      <c r="A4" s="377" t="s">
        <v>156</v>
      </c>
      <c r="B4" s="377" t="s">
        <v>160</v>
      </c>
      <c r="C4" s="377" t="s">
        <v>157</v>
      </c>
      <c r="D4" s="379" t="s">
        <v>159</v>
      </c>
      <c r="E4" s="380"/>
      <c r="F4" s="380"/>
      <c r="G4" s="380"/>
      <c r="H4" s="380"/>
      <c r="I4" s="380"/>
      <c r="J4" s="380"/>
      <c r="K4" s="380"/>
      <c r="L4" s="381"/>
    </row>
    <row r="5" spans="1:12" ht="25.5" customHeight="1">
      <c r="A5" s="377"/>
      <c r="B5" s="377"/>
      <c r="C5" s="377"/>
      <c r="D5" s="378" t="s">
        <v>118</v>
      </c>
      <c r="E5" s="378" t="s">
        <v>119</v>
      </c>
      <c r="F5" s="382" t="s">
        <v>43</v>
      </c>
      <c r="G5" s="383"/>
      <c r="H5" s="383"/>
      <c r="I5" s="383"/>
      <c r="J5" s="383"/>
      <c r="K5" s="383"/>
      <c r="L5" s="384"/>
    </row>
    <row r="6" spans="1:12" ht="19.5" customHeight="1">
      <c r="A6" s="378"/>
      <c r="B6" s="377"/>
      <c r="C6" s="378"/>
      <c r="D6" s="385"/>
      <c r="E6" s="385"/>
      <c r="F6" s="160">
        <v>2014</v>
      </c>
      <c r="G6" s="160">
        <v>2015</v>
      </c>
      <c r="H6" s="160">
        <v>2016</v>
      </c>
      <c r="I6" s="160">
        <v>2017</v>
      </c>
      <c r="J6" s="160">
        <v>2018</v>
      </c>
      <c r="K6" s="160">
        <v>2019</v>
      </c>
      <c r="L6" s="160">
        <v>2020</v>
      </c>
    </row>
    <row r="7" spans="1:12" ht="19.5" customHeight="1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  <c r="K7" s="166">
        <v>11</v>
      </c>
      <c r="L7" s="166">
        <v>12</v>
      </c>
    </row>
    <row r="8" spans="1:12" ht="31.5" customHeight="1">
      <c r="A8" s="159"/>
      <c r="B8" s="376" t="s">
        <v>41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</row>
    <row r="9" spans="1:12" ht="84.75" customHeight="1">
      <c r="A9" s="159">
        <v>1</v>
      </c>
      <c r="B9" s="161" t="s">
        <v>292</v>
      </c>
      <c r="C9" s="159" t="s">
        <v>158</v>
      </c>
      <c r="D9" s="208">
        <v>75</v>
      </c>
      <c r="E9" s="208">
        <v>78</v>
      </c>
      <c r="F9" s="208">
        <v>80</v>
      </c>
      <c r="G9" s="208">
        <v>80</v>
      </c>
      <c r="H9" s="208">
        <v>80</v>
      </c>
      <c r="I9" s="208">
        <v>80</v>
      </c>
      <c r="J9" s="208">
        <v>80</v>
      </c>
      <c r="K9" s="208">
        <v>80</v>
      </c>
      <c r="L9" s="208">
        <v>80</v>
      </c>
    </row>
    <row r="10" spans="1:12" ht="83.25" customHeight="1">
      <c r="A10" s="159">
        <v>2</v>
      </c>
      <c r="B10" s="161" t="s">
        <v>347</v>
      </c>
      <c r="C10" s="159" t="s">
        <v>158</v>
      </c>
      <c r="D10" s="159">
        <v>60</v>
      </c>
      <c r="E10" s="159">
        <v>55</v>
      </c>
      <c r="F10" s="159">
        <v>54.6</v>
      </c>
      <c r="G10" s="159">
        <v>52.4</v>
      </c>
      <c r="H10" s="159">
        <v>52.8</v>
      </c>
      <c r="I10" s="159">
        <v>53</v>
      </c>
      <c r="J10" s="159">
        <v>53</v>
      </c>
      <c r="K10" s="159">
        <v>53</v>
      </c>
      <c r="L10" s="159">
        <v>53</v>
      </c>
    </row>
    <row r="11" spans="1:12" ht="83.25" customHeight="1">
      <c r="A11" s="159">
        <v>3</v>
      </c>
      <c r="B11" s="161" t="s">
        <v>349</v>
      </c>
      <c r="C11" s="159" t="s">
        <v>158</v>
      </c>
      <c r="D11" s="159">
        <v>5.2</v>
      </c>
      <c r="E11" s="159">
        <v>4.7</v>
      </c>
      <c r="F11" s="159">
        <v>5.4</v>
      </c>
      <c r="G11" s="159">
        <v>5.5</v>
      </c>
      <c r="H11" s="159">
        <v>5.6</v>
      </c>
      <c r="I11" s="159">
        <v>5.6</v>
      </c>
      <c r="J11" s="159">
        <v>5.7</v>
      </c>
      <c r="K11" s="159">
        <v>5.7</v>
      </c>
      <c r="L11" s="159">
        <v>5.7</v>
      </c>
    </row>
    <row r="12" spans="1:12" ht="83.25" customHeight="1">
      <c r="A12" s="159">
        <v>4</v>
      </c>
      <c r="B12" s="161" t="s">
        <v>348</v>
      </c>
      <c r="C12" s="159" t="s">
        <v>158</v>
      </c>
      <c r="D12" s="208">
        <v>100</v>
      </c>
      <c r="E12" s="208">
        <v>100</v>
      </c>
      <c r="F12" s="208">
        <v>100</v>
      </c>
      <c r="G12" s="208">
        <v>100</v>
      </c>
      <c r="H12" s="208">
        <v>100</v>
      </c>
      <c r="I12" s="208">
        <v>100</v>
      </c>
      <c r="J12" s="208">
        <v>100</v>
      </c>
      <c r="K12" s="208">
        <v>100</v>
      </c>
      <c r="L12" s="208">
        <v>100</v>
      </c>
    </row>
    <row r="13" spans="1:12" ht="35.25" customHeight="1">
      <c r="A13" s="159"/>
      <c r="B13" s="376" t="s">
        <v>42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14" spans="1:12" s="164" customFormat="1" ht="52.5" customHeight="1">
      <c r="A14" s="162" t="s">
        <v>192</v>
      </c>
      <c r="B14" s="163" t="s">
        <v>293</v>
      </c>
      <c r="C14" s="159" t="s">
        <v>158</v>
      </c>
      <c r="D14" s="207">
        <v>72</v>
      </c>
      <c r="E14" s="207">
        <v>75</v>
      </c>
      <c r="F14" s="207">
        <v>80</v>
      </c>
      <c r="G14" s="207">
        <v>85</v>
      </c>
      <c r="H14" s="207">
        <v>87</v>
      </c>
      <c r="I14" s="207">
        <v>87</v>
      </c>
      <c r="J14" s="207">
        <v>87</v>
      </c>
      <c r="K14" s="207">
        <v>87</v>
      </c>
      <c r="L14" s="207">
        <v>87</v>
      </c>
    </row>
    <row r="15" ht="15.75">
      <c r="A15" s="165"/>
    </row>
    <row r="17" ht="15.75">
      <c r="B17" s="164"/>
    </row>
  </sheetData>
  <sheetProtection/>
  <mergeCells count="10">
    <mergeCell ref="B8:L8"/>
    <mergeCell ref="B13:L13"/>
    <mergeCell ref="A2:L2"/>
    <mergeCell ref="A4:A6"/>
    <mergeCell ref="B4:B6"/>
    <mergeCell ref="C4:C6"/>
    <mergeCell ref="D4:L4"/>
    <mergeCell ref="F5:L5"/>
    <mergeCell ref="D5:D6"/>
    <mergeCell ref="E5:E6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15" zoomScalePageLayoutView="0" workbookViewId="0" topLeftCell="A7">
      <selection activeCell="F17" sqref="F17"/>
    </sheetView>
  </sheetViews>
  <sheetFormatPr defaultColWidth="9.140625" defaultRowHeight="15"/>
  <cols>
    <col min="1" max="1" width="28.7109375" style="65" customWidth="1"/>
    <col min="2" max="2" width="18.28125" style="65" customWidth="1"/>
    <col min="3" max="7" width="14.28125" style="65" bestFit="1" customWidth="1"/>
    <col min="8" max="8" width="15.7109375" style="65" bestFit="1" customWidth="1"/>
    <col min="9" max="9" width="14.28125" style="65" bestFit="1" customWidth="1"/>
    <col min="10" max="16384" width="9.140625" style="65" customWidth="1"/>
  </cols>
  <sheetData>
    <row r="1" spans="5:10" ht="18.75" customHeight="1">
      <c r="E1" s="66"/>
      <c r="G1" s="67"/>
      <c r="H1" s="8" t="s">
        <v>74</v>
      </c>
      <c r="J1" s="67"/>
    </row>
    <row r="3" spans="1:9" ht="36.75" customHeight="1">
      <c r="A3" s="244" t="s">
        <v>45</v>
      </c>
      <c r="B3" s="244"/>
      <c r="C3" s="244"/>
      <c r="D3" s="244"/>
      <c r="E3" s="244"/>
      <c r="F3" s="244"/>
      <c r="G3" s="244"/>
      <c r="H3" s="244"/>
      <c r="I3" s="244"/>
    </row>
    <row r="4" spans="1:9" ht="30" customHeight="1">
      <c r="A4" s="261" t="s">
        <v>163</v>
      </c>
      <c r="B4" s="263" t="s">
        <v>164</v>
      </c>
      <c r="C4" s="265" t="s">
        <v>165</v>
      </c>
      <c r="D4" s="265"/>
      <c r="E4" s="265"/>
      <c r="F4" s="265"/>
      <c r="G4" s="265"/>
      <c r="H4" s="265"/>
      <c r="I4" s="265"/>
    </row>
    <row r="5" spans="1:9" ht="16.5" customHeight="1">
      <c r="A5" s="262"/>
      <c r="B5" s="264"/>
      <c r="C5" s="68">
        <v>2014</v>
      </c>
      <c r="D5" s="68">
        <v>2015</v>
      </c>
      <c r="E5" s="68">
        <v>2016</v>
      </c>
      <c r="F5" s="68">
        <v>2017</v>
      </c>
      <c r="G5" s="68">
        <v>2018</v>
      </c>
      <c r="H5" s="68">
        <v>2019</v>
      </c>
      <c r="I5" s="168">
        <v>2020</v>
      </c>
    </row>
    <row r="6" spans="1:9" ht="16.5" customHeight="1">
      <c r="A6" s="169">
        <v>1</v>
      </c>
      <c r="B6" s="170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2">
        <v>9</v>
      </c>
    </row>
    <row r="7" spans="1:9" ht="34.5" customHeight="1">
      <c r="A7" s="69" t="s">
        <v>46</v>
      </c>
      <c r="B7" s="70">
        <f>B9+B10+B11+B12</f>
        <v>123451466.56</v>
      </c>
      <c r="C7" s="70">
        <f aca="true" t="shared" si="0" ref="C7:I7">C9+C10+C11+C12</f>
        <v>17676119</v>
      </c>
      <c r="D7" s="70">
        <f t="shared" si="0"/>
        <v>17261571.560000002</v>
      </c>
      <c r="E7" s="70">
        <f t="shared" si="0"/>
        <v>17818936</v>
      </c>
      <c r="F7" s="70">
        <f t="shared" si="0"/>
        <v>17673710</v>
      </c>
      <c r="G7" s="70">
        <f t="shared" si="0"/>
        <v>17673710</v>
      </c>
      <c r="H7" s="70">
        <f t="shared" si="0"/>
        <v>17673710</v>
      </c>
      <c r="I7" s="70">
        <f t="shared" si="0"/>
        <v>17673710</v>
      </c>
    </row>
    <row r="8" spans="1:9" ht="15.75">
      <c r="A8" s="255" t="s">
        <v>166</v>
      </c>
      <c r="B8" s="256"/>
      <c r="C8" s="256"/>
      <c r="D8" s="256"/>
      <c r="E8" s="256"/>
      <c r="F8" s="256"/>
      <c r="G8" s="256"/>
      <c r="H8" s="256"/>
      <c r="I8" s="257"/>
    </row>
    <row r="9" spans="1:9" ht="20.25" customHeight="1">
      <c r="A9" s="71" t="s">
        <v>167</v>
      </c>
      <c r="B9" s="70">
        <f>C9+D9+E9+F9+G9+H9+I9</f>
        <v>66664404.56</v>
      </c>
      <c r="C9" s="75">
        <f>C16</f>
        <v>10150939</v>
      </c>
      <c r="D9" s="75">
        <f aca="true" t="shared" si="1" ref="D9:I9">D16</f>
        <v>9539509.56</v>
      </c>
      <c r="E9" s="75">
        <f t="shared" si="1"/>
        <v>9510972</v>
      </c>
      <c r="F9" s="75">
        <f t="shared" si="1"/>
        <v>9365746</v>
      </c>
      <c r="G9" s="75">
        <f t="shared" si="1"/>
        <v>9365746</v>
      </c>
      <c r="H9" s="75">
        <f t="shared" si="1"/>
        <v>9365746</v>
      </c>
      <c r="I9" s="75">
        <f t="shared" si="1"/>
        <v>9365746</v>
      </c>
    </row>
    <row r="10" spans="1:9" ht="20.25" customHeight="1">
      <c r="A10" s="71" t="s">
        <v>47</v>
      </c>
      <c r="B10" s="70">
        <f>C10+D10+E10+F10+G10+H10+I10</f>
        <v>20496904</v>
      </c>
      <c r="C10" s="75">
        <f aca="true" t="shared" si="2" ref="C10:I12">C17</f>
        <v>3072400</v>
      </c>
      <c r="D10" s="75">
        <f t="shared" si="2"/>
        <v>2824004</v>
      </c>
      <c r="E10" s="75">
        <f t="shared" si="2"/>
        <v>2920100</v>
      </c>
      <c r="F10" s="75">
        <f t="shared" si="2"/>
        <v>2920100</v>
      </c>
      <c r="G10" s="75">
        <f t="shared" si="2"/>
        <v>2920100</v>
      </c>
      <c r="H10" s="75">
        <f t="shared" si="2"/>
        <v>2920100</v>
      </c>
      <c r="I10" s="75">
        <f t="shared" si="2"/>
        <v>2920100</v>
      </c>
    </row>
    <row r="11" spans="1:9" ht="20.25" customHeight="1">
      <c r="A11" s="71" t="s">
        <v>48</v>
      </c>
      <c r="B11" s="70">
        <f>C11+D11+E11+F11+G11+H11+I11</f>
        <v>0</v>
      </c>
      <c r="C11" s="75">
        <f>C18</f>
        <v>0</v>
      </c>
      <c r="D11" s="75">
        <f t="shared" si="2"/>
        <v>0</v>
      </c>
      <c r="E11" s="75">
        <f t="shared" si="2"/>
        <v>0</v>
      </c>
      <c r="F11" s="75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</row>
    <row r="12" spans="1:9" ht="20.25" customHeight="1">
      <c r="A12" s="71" t="s">
        <v>170</v>
      </c>
      <c r="B12" s="70">
        <f>C12+D12+E12+F12+G12+H12+I12</f>
        <v>36290158</v>
      </c>
      <c r="C12" s="75">
        <f t="shared" si="2"/>
        <v>4452780</v>
      </c>
      <c r="D12" s="75">
        <f t="shared" si="2"/>
        <v>4898058</v>
      </c>
      <c r="E12" s="75">
        <f t="shared" si="2"/>
        <v>5387864</v>
      </c>
      <c r="F12" s="75">
        <f t="shared" si="2"/>
        <v>5387864</v>
      </c>
      <c r="G12" s="75">
        <f t="shared" si="2"/>
        <v>5387864</v>
      </c>
      <c r="H12" s="75">
        <f t="shared" si="2"/>
        <v>5387864</v>
      </c>
      <c r="I12" s="75">
        <f t="shared" si="2"/>
        <v>5387864</v>
      </c>
    </row>
    <row r="13" spans="1:9" ht="20.25" customHeight="1">
      <c r="A13" s="258" t="s">
        <v>171</v>
      </c>
      <c r="B13" s="259"/>
      <c r="C13" s="259"/>
      <c r="D13" s="259"/>
      <c r="E13" s="259"/>
      <c r="F13" s="259"/>
      <c r="G13" s="259"/>
      <c r="H13" s="259"/>
      <c r="I13" s="260"/>
    </row>
    <row r="14" spans="1:9" ht="49.5" customHeight="1">
      <c r="A14" s="73" t="s">
        <v>178</v>
      </c>
      <c r="B14" s="70">
        <f>B16+B17+B18+B19</f>
        <v>123451466.56</v>
      </c>
      <c r="C14" s="70">
        <f>C16+C17+C18+C19</f>
        <v>17676119</v>
      </c>
      <c r="D14" s="70">
        <f aca="true" t="shared" si="3" ref="D14:I14">D16+D17+D18+D19</f>
        <v>17261571.560000002</v>
      </c>
      <c r="E14" s="70">
        <f t="shared" si="3"/>
        <v>17818936</v>
      </c>
      <c r="F14" s="70">
        <f t="shared" si="3"/>
        <v>17673710</v>
      </c>
      <c r="G14" s="70">
        <f t="shared" si="3"/>
        <v>17673710</v>
      </c>
      <c r="H14" s="70">
        <f t="shared" si="3"/>
        <v>17673710</v>
      </c>
      <c r="I14" s="70">
        <f t="shared" si="3"/>
        <v>17673710</v>
      </c>
    </row>
    <row r="15" spans="1:9" ht="15.75">
      <c r="A15" s="255" t="s">
        <v>166</v>
      </c>
      <c r="B15" s="256"/>
      <c r="C15" s="256"/>
      <c r="D15" s="256"/>
      <c r="E15" s="256"/>
      <c r="F15" s="256"/>
      <c r="G15" s="256"/>
      <c r="H15" s="256"/>
      <c r="I15" s="257"/>
    </row>
    <row r="16" spans="1:9" ht="25.5" customHeight="1">
      <c r="A16" s="71" t="s">
        <v>167</v>
      </c>
      <c r="B16" s="70">
        <f>C16+D16+E16+F16+G16+H16+I16</f>
        <v>66664404.56</v>
      </c>
      <c r="C16" s="75">
        <f>'таб 3(7)'!F29</f>
        <v>10150939</v>
      </c>
      <c r="D16" s="75">
        <f>+'таб 3(7)'!G29</f>
        <v>9539509.56</v>
      </c>
      <c r="E16" s="75">
        <v>9510972</v>
      </c>
      <c r="F16" s="75">
        <v>9365746</v>
      </c>
      <c r="G16" s="75">
        <v>9365746</v>
      </c>
      <c r="H16" s="75">
        <v>9365746</v>
      </c>
      <c r="I16" s="75">
        <v>9365746</v>
      </c>
    </row>
    <row r="17" spans="1:9" ht="25.5" customHeight="1">
      <c r="A17" s="178" t="s">
        <v>47</v>
      </c>
      <c r="B17" s="70">
        <f>C17+D17+E17+F17+G17+H17+I17</f>
        <v>20496904</v>
      </c>
      <c r="C17" s="75">
        <v>3072400</v>
      </c>
      <c r="D17" s="75">
        <f>+'таб 3(7)'!G30</f>
        <v>2824004</v>
      </c>
      <c r="E17" s="75">
        <v>2920100</v>
      </c>
      <c r="F17" s="75">
        <v>2920100</v>
      </c>
      <c r="G17" s="75">
        <v>2920100</v>
      </c>
      <c r="H17" s="75">
        <v>2920100</v>
      </c>
      <c r="I17" s="75">
        <v>2920100</v>
      </c>
    </row>
    <row r="18" spans="1:9" ht="25.5" customHeight="1">
      <c r="A18" s="71" t="s">
        <v>48</v>
      </c>
      <c r="B18" s="70">
        <f>C18+D18+E18+F18+G18+H18+I18</f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</row>
    <row r="19" spans="1:9" ht="25.5" customHeight="1">
      <c r="A19" s="71" t="s">
        <v>170</v>
      </c>
      <c r="B19" s="70">
        <f>C19+D19+E19+F19+G19+H19+I19</f>
        <v>36290158</v>
      </c>
      <c r="C19" s="75">
        <f>'таб 3(7)'!F32</f>
        <v>4452780</v>
      </c>
      <c r="D19" s="75">
        <f>+'таб 3(7)'!G32</f>
        <v>4898058</v>
      </c>
      <c r="E19" s="75">
        <f>'таб 3(7)'!H32</f>
        <v>5387864</v>
      </c>
      <c r="F19" s="75">
        <f>'таб 3(7)'!I32</f>
        <v>5387864</v>
      </c>
      <c r="G19" s="75">
        <f>'таб 3(7)'!J32</f>
        <v>5387864</v>
      </c>
      <c r="H19" s="75">
        <f>'таб 3(7)'!K32</f>
        <v>5387864</v>
      </c>
      <c r="I19" s="75">
        <f>'таб 3(7)'!L32</f>
        <v>5387864</v>
      </c>
    </row>
    <row r="20" spans="1:9" ht="30.75" customHeight="1">
      <c r="A20" s="77" t="s">
        <v>172</v>
      </c>
      <c r="B20" s="70">
        <f>C20+D20+E20+F20+G20+H20+I20</f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SheetLayoutView="11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" sqref="D1:G16384"/>
    </sheetView>
  </sheetViews>
  <sheetFormatPr defaultColWidth="9.140625" defaultRowHeight="15"/>
  <cols>
    <col min="1" max="1" width="5.00390625" style="82" customWidth="1"/>
    <col min="2" max="2" width="27.28125" style="82" customWidth="1"/>
    <col min="3" max="3" width="10.8515625" style="82" customWidth="1"/>
    <col min="4" max="4" width="10.00390625" style="82" customWidth="1"/>
    <col min="5" max="5" width="14.00390625" style="82" customWidth="1"/>
    <col min="6" max="6" width="12.8515625" style="82" customWidth="1"/>
    <col min="7" max="12" width="12.8515625" style="82" bestFit="1" customWidth="1"/>
    <col min="13" max="13" width="25.421875" style="82" customWidth="1"/>
    <col min="14" max="20" width="5.7109375" style="82" bestFit="1" customWidth="1"/>
    <col min="21" max="21" width="17.8515625" style="82" customWidth="1"/>
    <col min="22" max="16384" width="9.140625" style="82" customWidth="1"/>
  </cols>
  <sheetData>
    <row r="1" spans="20:21" s="52" customFormat="1" ht="27" customHeight="1">
      <c r="T1" s="61"/>
      <c r="U1" s="67" t="s">
        <v>294</v>
      </c>
    </row>
    <row r="2" spans="1:21" s="52" customFormat="1" ht="15.75">
      <c r="A2" s="386" t="s">
        <v>49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s="52" customFormat="1" ht="15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85"/>
    </row>
    <row r="4" spans="1:21" ht="31.5" customHeight="1">
      <c r="A4" s="296" t="s">
        <v>161</v>
      </c>
      <c r="B4" s="237" t="s">
        <v>173</v>
      </c>
      <c r="C4" s="237" t="s">
        <v>174</v>
      </c>
      <c r="D4" s="237" t="s">
        <v>163</v>
      </c>
      <c r="E4" s="237" t="s">
        <v>175</v>
      </c>
      <c r="F4" s="237"/>
      <c r="G4" s="237"/>
      <c r="H4" s="237"/>
      <c r="I4" s="237"/>
      <c r="J4" s="237"/>
      <c r="K4" s="237"/>
      <c r="L4" s="237"/>
      <c r="M4" s="296" t="s">
        <v>64</v>
      </c>
      <c r="N4" s="296"/>
      <c r="O4" s="296"/>
      <c r="P4" s="296"/>
      <c r="Q4" s="296"/>
      <c r="R4" s="296"/>
      <c r="S4" s="296"/>
      <c r="T4" s="296"/>
      <c r="U4" s="294" t="s">
        <v>176</v>
      </c>
    </row>
    <row r="5" spans="1:21" ht="21" customHeight="1">
      <c r="A5" s="296"/>
      <c r="B5" s="237"/>
      <c r="C5" s="237"/>
      <c r="D5" s="237"/>
      <c r="E5" s="83" t="s">
        <v>152</v>
      </c>
      <c r="F5" s="177" t="s">
        <v>141</v>
      </c>
      <c r="G5" s="177" t="s">
        <v>142</v>
      </c>
      <c r="H5" s="177" t="s">
        <v>143</v>
      </c>
      <c r="I5" s="177" t="s">
        <v>144</v>
      </c>
      <c r="J5" s="177" t="s">
        <v>145</v>
      </c>
      <c r="K5" s="177" t="s">
        <v>146</v>
      </c>
      <c r="L5" s="177" t="s">
        <v>147</v>
      </c>
      <c r="M5" s="12" t="s">
        <v>162</v>
      </c>
      <c r="N5" s="177" t="s">
        <v>141</v>
      </c>
      <c r="O5" s="177" t="s">
        <v>142</v>
      </c>
      <c r="P5" s="177" t="s">
        <v>143</v>
      </c>
      <c r="Q5" s="177" t="s">
        <v>144</v>
      </c>
      <c r="R5" s="177" t="s">
        <v>145</v>
      </c>
      <c r="S5" s="177" t="s">
        <v>146</v>
      </c>
      <c r="T5" s="177" t="s">
        <v>147</v>
      </c>
      <c r="U5" s="295"/>
    </row>
    <row r="6" spans="1:21" ht="12.75">
      <c r="A6" s="132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9</v>
      </c>
      <c r="J6" s="132">
        <v>10</v>
      </c>
      <c r="K6" s="132">
        <v>11</v>
      </c>
      <c r="L6" s="132">
        <v>12</v>
      </c>
      <c r="M6" s="132">
        <v>13</v>
      </c>
      <c r="N6" s="132">
        <v>14</v>
      </c>
      <c r="O6" s="132">
        <v>15</v>
      </c>
      <c r="P6" s="132">
        <v>16</v>
      </c>
      <c r="Q6" s="132">
        <v>17</v>
      </c>
      <c r="R6" s="132">
        <v>18</v>
      </c>
      <c r="S6" s="132">
        <v>19</v>
      </c>
      <c r="T6" s="132">
        <v>20</v>
      </c>
      <c r="U6" s="132">
        <v>21</v>
      </c>
    </row>
    <row r="7" spans="1:21" ht="12.75">
      <c r="A7" s="84"/>
      <c r="B7" s="288" t="s">
        <v>295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2.75">
      <c r="A8" s="84">
        <v>1</v>
      </c>
      <c r="B8" s="179" t="s">
        <v>42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/>
    </row>
    <row r="9" spans="1:21" ht="16.5" customHeight="1">
      <c r="A9" s="286" t="s">
        <v>192</v>
      </c>
      <c r="B9" s="353" t="s">
        <v>307</v>
      </c>
      <c r="C9" s="277" t="s">
        <v>132</v>
      </c>
      <c r="D9" s="85" t="s">
        <v>152</v>
      </c>
      <c r="E9" s="86">
        <f>E11+E12+E13+E14</f>
        <v>87422984</v>
      </c>
      <c r="F9" s="86">
        <f aca="true" t="shared" si="0" ref="F9:L9">F11+F12+F13+F14</f>
        <v>12453039</v>
      </c>
      <c r="G9" s="86">
        <f t="shared" si="0"/>
        <v>12307112</v>
      </c>
      <c r="H9" s="86">
        <f t="shared" si="0"/>
        <v>12648737</v>
      </c>
      <c r="I9" s="86">
        <f t="shared" si="0"/>
        <v>12503524</v>
      </c>
      <c r="J9" s="86">
        <f t="shared" si="0"/>
        <v>12503524</v>
      </c>
      <c r="K9" s="86">
        <f t="shared" si="0"/>
        <v>12503524</v>
      </c>
      <c r="L9" s="86">
        <f t="shared" si="0"/>
        <v>12503524</v>
      </c>
      <c r="M9" s="324" t="s">
        <v>13</v>
      </c>
      <c r="N9" s="269">
        <v>96</v>
      </c>
      <c r="O9" s="269">
        <v>96</v>
      </c>
      <c r="P9" s="269">
        <v>96</v>
      </c>
      <c r="Q9" s="269">
        <v>96</v>
      </c>
      <c r="R9" s="269">
        <v>96</v>
      </c>
      <c r="S9" s="269">
        <v>96</v>
      </c>
      <c r="T9" s="269">
        <v>96</v>
      </c>
      <c r="U9" s="324" t="s">
        <v>346</v>
      </c>
    </row>
    <row r="10" spans="1:21" ht="16.5" customHeight="1">
      <c r="A10" s="286"/>
      <c r="B10" s="354"/>
      <c r="C10" s="278"/>
      <c r="D10" s="283" t="s">
        <v>177</v>
      </c>
      <c r="E10" s="284"/>
      <c r="F10" s="284"/>
      <c r="G10" s="284"/>
      <c r="H10" s="284"/>
      <c r="I10" s="284"/>
      <c r="J10" s="284"/>
      <c r="K10" s="284"/>
      <c r="L10" s="285"/>
      <c r="M10" s="325"/>
      <c r="N10" s="270"/>
      <c r="O10" s="270"/>
      <c r="P10" s="270"/>
      <c r="Q10" s="270"/>
      <c r="R10" s="270"/>
      <c r="S10" s="270"/>
      <c r="T10" s="270"/>
      <c r="U10" s="325"/>
    </row>
    <row r="11" spans="1:21" ht="12.75">
      <c r="A11" s="286"/>
      <c r="B11" s="354"/>
      <c r="C11" s="278"/>
      <c r="D11" s="87" t="s">
        <v>150</v>
      </c>
      <c r="E11" s="88">
        <f>F11+G11+H11+I11+J11+K11+L11</f>
        <v>51132826</v>
      </c>
      <c r="F11" s="88">
        <f>7560259+440000</f>
        <v>8000259</v>
      </c>
      <c r="G11" s="88">
        <f>7409054-393939.4+393939.4</f>
        <v>7409054</v>
      </c>
      <c r="H11" s="88">
        <v>7260873</v>
      </c>
      <c r="I11" s="182">
        <v>7115660</v>
      </c>
      <c r="J11" s="182">
        <v>7115660</v>
      </c>
      <c r="K11" s="182">
        <v>7115660</v>
      </c>
      <c r="L11" s="182">
        <v>7115660</v>
      </c>
      <c r="M11" s="325"/>
      <c r="N11" s="270"/>
      <c r="O11" s="270"/>
      <c r="P11" s="270"/>
      <c r="Q11" s="270"/>
      <c r="R11" s="270"/>
      <c r="S11" s="270"/>
      <c r="T11" s="270"/>
      <c r="U11" s="325"/>
    </row>
    <row r="12" spans="1:21" ht="12.75">
      <c r="A12" s="286"/>
      <c r="B12" s="354"/>
      <c r="C12" s="278"/>
      <c r="D12" s="87" t="s">
        <v>148</v>
      </c>
      <c r="E12" s="88">
        <f>F12+G12+H12+I12+J12+K12+L12</f>
        <v>0</v>
      </c>
      <c r="F12" s="88"/>
      <c r="G12" s="88"/>
      <c r="H12" s="88"/>
      <c r="I12" s="88"/>
      <c r="J12" s="88"/>
      <c r="K12" s="88"/>
      <c r="L12" s="88"/>
      <c r="M12" s="325"/>
      <c r="N12" s="270"/>
      <c r="O12" s="270"/>
      <c r="P12" s="270"/>
      <c r="Q12" s="270"/>
      <c r="R12" s="270"/>
      <c r="S12" s="270"/>
      <c r="T12" s="270"/>
      <c r="U12" s="325"/>
    </row>
    <row r="13" spans="1:21" ht="12.75" customHeight="1">
      <c r="A13" s="286"/>
      <c r="B13" s="354"/>
      <c r="C13" s="278"/>
      <c r="D13" s="87" t="s">
        <v>149</v>
      </c>
      <c r="E13" s="88">
        <f>F13+G13+H13+I13+J13+K13+L13</f>
        <v>0</v>
      </c>
      <c r="F13" s="88"/>
      <c r="G13" s="88"/>
      <c r="H13" s="88"/>
      <c r="I13" s="88"/>
      <c r="J13" s="88"/>
      <c r="K13" s="88"/>
      <c r="L13" s="88"/>
      <c r="M13" s="325"/>
      <c r="N13" s="270"/>
      <c r="O13" s="270"/>
      <c r="P13" s="270"/>
      <c r="Q13" s="270"/>
      <c r="R13" s="270"/>
      <c r="S13" s="270"/>
      <c r="T13" s="270"/>
      <c r="U13" s="325"/>
    </row>
    <row r="14" spans="1:21" ht="18.75" customHeight="1">
      <c r="A14" s="286"/>
      <c r="B14" s="355"/>
      <c r="C14" s="279"/>
      <c r="D14" s="87" t="s">
        <v>151</v>
      </c>
      <c r="E14" s="88">
        <f>F14+G14+H14+I14+J14+K14+L14</f>
        <v>36290158</v>
      </c>
      <c r="F14" s="183">
        <v>4452780</v>
      </c>
      <c r="G14" s="183">
        <v>4898058</v>
      </c>
      <c r="H14" s="183">
        <v>5387864</v>
      </c>
      <c r="I14" s="183">
        <v>5387864</v>
      </c>
      <c r="J14" s="183">
        <v>5387864</v>
      </c>
      <c r="K14" s="183">
        <v>5387864</v>
      </c>
      <c r="L14" s="183">
        <v>5387864</v>
      </c>
      <c r="M14" s="326"/>
      <c r="N14" s="271"/>
      <c r="O14" s="271"/>
      <c r="P14" s="271"/>
      <c r="Q14" s="271"/>
      <c r="R14" s="271"/>
      <c r="S14" s="271"/>
      <c r="T14" s="271"/>
      <c r="U14" s="326"/>
    </row>
    <row r="15" spans="1:21" ht="24" customHeight="1">
      <c r="A15" s="286" t="s">
        <v>193</v>
      </c>
      <c r="B15" s="353" t="s">
        <v>288</v>
      </c>
      <c r="C15" s="277" t="s">
        <v>132</v>
      </c>
      <c r="D15" s="85" t="s">
        <v>152</v>
      </c>
      <c r="E15" s="86">
        <f>E17+E18+E19+E20</f>
        <v>36028482.56</v>
      </c>
      <c r="F15" s="86">
        <f aca="true" t="shared" si="1" ref="F15:L15">F17+F18+F19+F20</f>
        <v>5223080</v>
      </c>
      <c r="G15" s="86">
        <f t="shared" si="1"/>
        <v>4954459.5600000005</v>
      </c>
      <c r="H15" s="86">
        <f t="shared" si="1"/>
        <v>5170199</v>
      </c>
      <c r="I15" s="86">
        <f t="shared" si="1"/>
        <v>5170186</v>
      </c>
      <c r="J15" s="86">
        <f t="shared" si="1"/>
        <v>5170186</v>
      </c>
      <c r="K15" s="86">
        <f t="shared" si="1"/>
        <v>5170186</v>
      </c>
      <c r="L15" s="86">
        <f t="shared" si="1"/>
        <v>5170186</v>
      </c>
      <c r="M15" s="324" t="s">
        <v>292</v>
      </c>
      <c r="N15" s="269">
        <v>100</v>
      </c>
      <c r="O15" s="269">
        <v>100</v>
      </c>
      <c r="P15" s="269">
        <v>100</v>
      </c>
      <c r="Q15" s="269">
        <v>100</v>
      </c>
      <c r="R15" s="269">
        <v>100</v>
      </c>
      <c r="S15" s="269">
        <v>100</v>
      </c>
      <c r="T15" s="269">
        <v>100</v>
      </c>
      <c r="U15" s="324" t="s">
        <v>346</v>
      </c>
    </row>
    <row r="16" spans="1:21" ht="16.5" customHeight="1">
      <c r="A16" s="286"/>
      <c r="B16" s="354"/>
      <c r="C16" s="278"/>
      <c r="D16" s="283" t="s">
        <v>177</v>
      </c>
      <c r="E16" s="284"/>
      <c r="F16" s="284"/>
      <c r="G16" s="284"/>
      <c r="H16" s="284"/>
      <c r="I16" s="284"/>
      <c r="J16" s="284"/>
      <c r="K16" s="284"/>
      <c r="L16" s="285"/>
      <c r="M16" s="325"/>
      <c r="N16" s="270"/>
      <c r="O16" s="270"/>
      <c r="P16" s="270"/>
      <c r="Q16" s="270"/>
      <c r="R16" s="270"/>
      <c r="S16" s="270"/>
      <c r="T16" s="270"/>
      <c r="U16" s="325"/>
    </row>
    <row r="17" spans="1:21" ht="18" customHeight="1">
      <c r="A17" s="286"/>
      <c r="B17" s="354"/>
      <c r="C17" s="278"/>
      <c r="D17" s="87" t="s">
        <v>150</v>
      </c>
      <c r="E17" s="88">
        <f>F17+G17+H17+I17+J17+K17+L17</f>
        <v>15531578.56</v>
      </c>
      <c r="F17" s="88">
        <v>2150680</v>
      </c>
      <c r="G17" s="88">
        <f>2250093-119637.44</f>
        <v>2130455.56</v>
      </c>
      <c r="H17" s="88">
        <v>2250099</v>
      </c>
      <c r="I17" s="88">
        <v>2250086</v>
      </c>
      <c r="J17" s="88">
        <v>2250086</v>
      </c>
      <c r="K17" s="88">
        <v>2250086</v>
      </c>
      <c r="L17" s="88">
        <v>2250086</v>
      </c>
      <c r="M17" s="325"/>
      <c r="N17" s="270"/>
      <c r="O17" s="270"/>
      <c r="P17" s="270"/>
      <c r="Q17" s="270"/>
      <c r="R17" s="270"/>
      <c r="S17" s="270"/>
      <c r="T17" s="270"/>
      <c r="U17" s="325"/>
    </row>
    <row r="18" spans="1:21" ht="12.75" customHeight="1">
      <c r="A18" s="286"/>
      <c r="B18" s="354"/>
      <c r="C18" s="278"/>
      <c r="D18" s="87" t="s">
        <v>148</v>
      </c>
      <c r="E18" s="88">
        <f>F18+G18+H18+I18+J18+K18+L18</f>
        <v>20496904</v>
      </c>
      <c r="F18" s="88">
        <v>3072400</v>
      </c>
      <c r="G18" s="223">
        <f>2920100-96096</f>
        <v>2824004</v>
      </c>
      <c r="H18" s="16">
        <v>2920100</v>
      </c>
      <c r="I18" s="16">
        <v>2920100</v>
      </c>
      <c r="J18" s="16">
        <v>2920100</v>
      </c>
      <c r="K18" s="16">
        <v>2920100</v>
      </c>
      <c r="L18" s="16">
        <v>2920100</v>
      </c>
      <c r="M18" s="325"/>
      <c r="N18" s="270"/>
      <c r="O18" s="270"/>
      <c r="P18" s="270"/>
      <c r="Q18" s="270"/>
      <c r="R18" s="270"/>
      <c r="S18" s="270"/>
      <c r="T18" s="270"/>
      <c r="U18" s="325"/>
    </row>
    <row r="19" spans="1:21" ht="12.75" customHeight="1">
      <c r="A19" s="286"/>
      <c r="B19" s="354"/>
      <c r="C19" s="278"/>
      <c r="D19" s="87" t="s">
        <v>149</v>
      </c>
      <c r="E19" s="88">
        <f>F19+G19+H19+I19+J19+K19+L19</f>
        <v>0</v>
      </c>
      <c r="F19" s="88"/>
      <c r="G19" s="88"/>
      <c r="H19" s="88"/>
      <c r="I19" s="88"/>
      <c r="J19" s="88"/>
      <c r="K19" s="88"/>
      <c r="L19" s="88"/>
      <c r="M19" s="325"/>
      <c r="N19" s="270"/>
      <c r="O19" s="270"/>
      <c r="P19" s="270"/>
      <c r="Q19" s="270"/>
      <c r="R19" s="270"/>
      <c r="S19" s="270"/>
      <c r="T19" s="270"/>
      <c r="U19" s="325"/>
    </row>
    <row r="20" spans="1:21" ht="24" customHeight="1">
      <c r="A20" s="286"/>
      <c r="B20" s="355"/>
      <c r="C20" s="279"/>
      <c r="D20" s="87" t="s">
        <v>151</v>
      </c>
      <c r="E20" s="88">
        <f>F20+G20+H20+I20+J20+K20+L20</f>
        <v>0</v>
      </c>
      <c r="F20" s="88"/>
      <c r="G20" s="88"/>
      <c r="H20" s="88"/>
      <c r="I20" s="88"/>
      <c r="J20" s="88"/>
      <c r="K20" s="88"/>
      <c r="L20" s="88"/>
      <c r="M20" s="326"/>
      <c r="N20" s="271"/>
      <c r="O20" s="271"/>
      <c r="P20" s="271"/>
      <c r="Q20" s="271"/>
      <c r="R20" s="271"/>
      <c r="S20" s="271"/>
      <c r="T20" s="271"/>
      <c r="U20" s="326"/>
    </row>
    <row r="21" spans="1:21" ht="13.5" customHeight="1">
      <c r="A21" s="297"/>
      <c r="B21" s="330" t="s">
        <v>236</v>
      </c>
      <c r="C21" s="297"/>
      <c r="D21" s="90" t="s">
        <v>152</v>
      </c>
      <c r="E21" s="91">
        <f aca="true" t="shared" si="2" ref="E21:L21">E23+E24+E25+E26</f>
        <v>123451466.56</v>
      </c>
      <c r="F21" s="91">
        <f t="shared" si="2"/>
        <v>17676119</v>
      </c>
      <c r="G21" s="91">
        <f>G23+G24+G25+G26</f>
        <v>17261571.560000002</v>
      </c>
      <c r="H21" s="91">
        <f t="shared" si="2"/>
        <v>17818936</v>
      </c>
      <c r="I21" s="91">
        <f t="shared" si="2"/>
        <v>17673710</v>
      </c>
      <c r="J21" s="91">
        <f t="shared" si="2"/>
        <v>17673710</v>
      </c>
      <c r="K21" s="91">
        <f t="shared" si="2"/>
        <v>17673710</v>
      </c>
      <c r="L21" s="91">
        <f t="shared" si="2"/>
        <v>17673710</v>
      </c>
      <c r="M21" s="309"/>
      <c r="N21" s="303"/>
      <c r="O21" s="303"/>
      <c r="P21" s="303"/>
      <c r="Q21" s="303"/>
      <c r="R21" s="303"/>
      <c r="S21" s="303"/>
      <c r="T21" s="303"/>
      <c r="U21" s="306"/>
    </row>
    <row r="22" spans="1:21" ht="12.75" customHeight="1">
      <c r="A22" s="297"/>
      <c r="B22" s="331"/>
      <c r="C22" s="297"/>
      <c r="D22" s="312" t="s">
        <v>177</v>
      </c>
      <c r="E22" s="313"/>
      <c r="F22" s="313"/>
      <c r="G22" s="313"/>
      <c r="H22" s="313"/>
      <c r="I22" s="313"/>
      <c r="J22" s="313"/>
      <c r="K22" s="313"/>
      <c r="L22" s="314"/>
      <c r="M22" s="310"/>
      <c r="N22" s="304"/>
      <c r="O22" s="304"/>
      <c r="P22" s="304"/>
      <c r="Q22" s="304"/>
      <c r="R22" s="304"/>
      <c r="S22" s="304"/>
      <c r="T22" s="304"/>
      <c r="U22" s="307"/>
    </row>
    <row r="23" spans="1:21" ht="13.5" customHeight="1">
      <c r="A23" s="297"/>
      <c r="B23" s="331"/>
      <c r="C23" s="297"/>
      <c r="D23" s="92" t="s">
        <v>150</v>
      </c>
      <c r="E23" s="91">
        <f>F23+G23+H23+I23+J23+K23+L23</f>
        <v>66664404.56</v>
      </c>
      <c r="F23" s="93">
        <f aca="true" t="shared" si="3" ref="F23:L23">F11+F17</f>
        <v>10150939</v>
      </c>
      <c r="G23" s="93">
        <f t="shared" si="3"/>
        <v>9539509.56</v>
      </c>
      <c r="H23" s="93">
        <f t="shared" si="3"/>
        <v>9510972</v>
      </c>
      <c r="I23" s="93">
        <f t="shared" si="3"/>
        <v>9365746</v>
      </c>
      <c r="J23" s="93">
        <f t="shared" si="3"/>
        <v>9365746</v>
      </c>
      <c r="K23" s="93">
        <f t="shared" si="3"/>
        <v>9365746</v>
      </c>
      <c r="L23" s="93">
        <f t="shared" si="3"/>
        <v>9365746</v>
      </c>
      <c r="M23" s="310"/>
      <c r="N23" s="304"/>
      <c r="O23" s="304"/>
      <c r="P23" s="304"/>
      <c r="Q23" s="304"/>
      <c r="R23" s="304"/>
      <c r="S23" s="304"/>
      <c r="T23" s="304"/>
      <c r="U23" s="307"/>
    </row>
    <row r="24" spans="1:21" ht="13.5" customHeight="1">
      <c r="A24" s="297"/>
      <c r="B24" s="331"/>
      <c r="C24" s="297"/>
      <c r="D24" s="92" t="s">
        <v>148</v>
      </c>
      <c r="E24" s="91">
        <f>F24+G24+H24+I24+J24+K24+L24</f>
        <v>20496904</v>
      </c>
      <c r="F24" s="93">
        <f aca="true" t="shared" si="4" ref="F24:L27">F12+F18</f>
        <v>3072400</v>
      </c>
      <c r="G24" s="93">
        <f t="shared" si="4"/>
        <v>2824004</v>
      </c>
      <c r="H24" s="93">
        <f t="shared" si="4"/>
        <v>2920100</v>
      </c>
      <c r="I24" s="93">
        <f t="shared" si="4"/>
        <v>2920100</v>
      </c>
      <c r="J24" s="93">
        <f t="shared" si="4"/>
        <v>2920100</v>
      </c>
      <c r="K24" s="93">
        <f t="shared" si="4"/>
        <v>2920100</v>
      </c>
      <c r="L24" s="93">
        <f t="shared" si="4"/>
        <v>2920100</v>
      </c>
      <c r="M24" s="310"/>
      <c r="N24" s="304"/>
      <c r="O24" s="304"/>
      <c r="P24" s="304"/>
      <c r="Q24" s="304"/>
      <c r="R24" s="304"/>
      <c r="S24" s="304"/>
      <c r="T24" s="304"/>
      <c r="U24" s="307"/>
    </row>
    <row r="25" spans="1:21" ht="13.5" customHeight="1">
      <c r="A25" s="297"/>
      <c r="B25" s="331"/>
      <c r="C25" s="297"/>
      <c r="D25" s="92" t="s">
        <v>149</v>
      </c>
      <c r="E25" s="91">
        <f>F25+G25+H25+I25+J25+K25+L25</f>
        <v>0</v>
      </c>
      <c r="F25" s="93">
        <f t="shared" si="4"/>
        <v>0</v>
      </c>
      <c r="G25" s="93">
        <f t="shared" si="4"/>
        <v>0</v>
      </c>
      <c r="H25" s="93">
        <f t="shared" si="4"/>
        <v>0</v>
      </c>
      <c r="I25" s="93">
        <f t="shared" si="4"/>
        <v>0</v>
      </c>
      <c r="J25" s="93">
        <f t="shared" si="4"/>
        <v>0</v>
      </c>
      <c r="K25" s="93">
        <f t="shared" si="4"/>
        <v>0</v>
      </c>
      <c r="L25" s="93">
        <f t="shared" si="4"/>
        <v>0</v>
      </c>
      <c r="M25" s="310"/>
      <c r="N25" s="304"/>
      <c r="O25" s="304"/>
      <c r="P25" s="304"/>
      <c r="Q25" s="304"/>
      <c r="R25" s="304"/>
      <c r="S25" s="304"/>
      <c r="T25" s="304"/>
      <c r="U25" s="307"/>
    </row>
    <row r="26" spans="1:21" ht="13.5" customHeight="1">
      <c r="A26" s="297"/>
      <c r="B26" s="332"/>
      <c r="C26" s="297"/>
      <c r="D26" s="92" t="s">
        <v>151</v>
      </c>
      <c r="E26" s="91">
        <f>F26+G26+H26+I26+J26+K26+L26</f>
        <v>36290158</v>
      </c>
      <c r="F26" s="93">
        <f t="shared" si="4"/>
        <v>4452780</v>
      </c>
      <c r="G26" s="93">
        <f t="shared" si="4"/>
        <v>4898058</v>
      </c>
      <c r="H26" s="93">
        <f t="shared" si="4"/>
        <v>5387864</v>
      </c>
      <c r="I26" s="93">
        <f t="shared" si="4"/>
        <v>5387864</v>
      </c>
      <c r="J26" s="93">
        <f t="shared" si="4"/>
        <v>5387864</v>
      </c>
      <c r="K26" s="93">
        <f t="shared" si="4"/>
        <v>5387864</v>
      </c>
      <c r="L26" s="93">
        <f t="shared" si="4"/>
        <v>5387864</v>
      </c>
      <c r="M26" s="311"/>
      <c r="N26" s="305"/>
      <c r="O26" s="305"/>
      <c r="P26" s="305"/>
      <c r="Q26" s="305"/>
      <c r="R26" s="305"/>
      <c r="S26" s="305"/>
      <c r="T26" s="305"/>
      <c r="U26" s="308"/>
    </row>
    <row r="27" spans="1:21" ht="13.5" customHeight="1">
      <c r="A27" s="297"/>
      <c r="B27" s="330" t="s">
        <v>50</v>
      </c>
      <c r="C27" s="297"/>
      <c r="D27" s="90" t="s">
        <v>152</v>
      </c>
      <c r="E27" s="91">
        <f>E29+E30+E31+E32</f>
        <v>123451466.56</v>
      </c>
      <c r="F27" s="216">
        <f t="shared" si="4"/>
        <v>22899199</v>
      </c>
      <c r="G27" s="93">
        <f aca="true" t="shared" si="5" ref="G27:L27">+G29+G30+G32</f>
        <v>17261571.560000002</v>
      </c>
      <c r="H27" s="93">
        <f t="shared" si="5"/>
        <v>17818936</v>
      </c>
      <c r="I27" s="93">
        <f t="shared" si="5"/>
        <v>17673710</v>
      </c>
      <c r="J27" s="93">
        <f t="shared" si="5"/>
        <v>17673710</v>
      </c>
      <c r="K27" s="93">
        <f t="shared" si="5"/>
        <v>17673710</v>
      </c>
      <c r="L27" s="93">
        <f t="shared" si="5"/>
        <v>17673710</v>
      </c>
      <c r="M27" s="309"/>
      <c r="N27" s="303"/>
      <c r="O27" s="303"/>
      <c r="P27" s="303"/>
      <c r="Q27" s="303"/>
      <c r="R27" s="303"/>
      <c r="S27" s="303"/>
      <c r="T27" s="303"/>
      <c r="U27" s="306"/>
    </row>
    <row r="28" spans="1:21" ht="12.75" customHeight="1">
      <c r="A28" s="297"/>
      <c r="B28" s="331"/>
      <c r="C28" s="297"/>
      <c r="D28" s="312" t="s">
        <v>177</v>
      </c>
      <c r="E28" s="313"/>
      <c r="F28" s="313"/>
      <c r="G28" s="313"/>
      <c r="H28" s="313"/>
      <c r="I28" s="313"/>
      <c r="J28" s="313"/>
      <c r="K28" s="313"/>
      <c r="L28" s="314"/>
      <c r="M28" s="310"/>
      <c r="N28" s="304"/>
      <c r="O28" s="304"/>
      <c r="P28" s="304"/>
      <c r="Q28" s="304"/>
      <c r="R28" s="304"/>
      <c r="S28" s="304"/>
      <c r="T28" s="304"/>
      <c r="U28" s="307"/>
    </row>
    <row r="29" spans="1:21" ht="13.5" customHeight="1">
      <c r="A29" s="297"/>
      <c r="B29" s="331"/>
      <c r="C29" s="297"/>
      <c r="D29" s="92" t="s">
        <v>150</v>
      </c>
      <c r="E29" s="91">
        <f>F29+G29+H29+I29+J29+K29+L29</f>
        <v>66664404.56</v>
      </c>
      <c r="F29" s="93">
        <f>F23</f>
        <v>10150939</v>
      </c>
      <c r="G29" s="93">
        <f aca="true" t="shared" si="6" ref="G29:L29">G23</f>
        <v>9539509.56</v>
      </c>
      <c r="H29" s="93">
        <f t="shared" si="6"/>
        <v>9510972</v>
      </c>
      <c r="I29" s="93">
        <f t="shared" si="6"/>
        <v>9365746</v>
      </c>
      <c r="J29" s="93">
        <f t="shared" si="6"/>
        <v>9365746</v>
      </c>
      <c r="K29" s="93">
        <f t="shared" si="6"/>
        <v>9365746</v>
      </c>
      <c r="L29" s="93">
        <f t="shared" si="6"/>
        <v>9365746</v>
      </c>
      <c r="M29" s="310"/>
      <c r="N29" s="304"/>
      <c r="O29" s="304"/>
      <c r="P29" s="304"/>
      <c r="Q29" s="304"/>
      <c r="R29" s="304"/>
      <c r="S29" s="304"/>
      <c r="T29" s="304"/>
      <c r="U29" s="307"/>
    </row>
    <row r="30" spans="1:21" ht="13.5" customHeight="1">
      <c r="A30" s="297"/>
      <c r="B30" s="331"/>
      <c r="C30" s="297"/>
      <c r="D30" s="92" t="s">
        <v>148</v>
      </c>
      <c r="E30" s="91">
        <f>F30+G30+H30+I30+J30+K30+L30</f>
        <v>20496904</v>
      </c>
      <c r="F30" s="93">
        <f aca="true" t="shared" si="7" ref="F30:L32">F24</f>
        <v>3072400</v>
      </c>
      <c r="G30" s="93">
        <f t="shared" si="7"/>
        <v>2824004</v>
      </c>
      <c r="H30" s="93">
        <f t="shared" si="7"/>
        <v>2920100</v>
      </c>
      <c r="I30" s="93">
        <f t="shared" si="7"/>
        <v>2920100</v>
      </c>
      <c r="J30" s="93">
        <f t="shared" si="7"/>
        <v>2920100</v>
      </c>
      <c r="K30" s="93">
        <f t="shared" si="7"/>
        <v>2920100</v>
      </c>
      <c r="L30" s="93">
        <f t="shared" si="7"/>
        <v>2920100</v>
      </c>
      <c r="M30" s="310"/>
      <c r="N30" s="304"/>
      <c r="O30" s="304"/>
      <c r="P30" s="304"/>
      <c r="Q30" s="304"/>
      <c r="R30" s="304"/>
      <c r="S30" s="304"/>
      <c r="T30" s="304"/>
      <c r="U30" s="307"/>
    </row>
    <row r="31" spans="1:21" ht="13.5" customHeight="1">
      <c r="A31" s="297"/>
      <c r="B31" s="331"/>
      <c r="C31" s="297"/>
      <c r="D31" s="92" t="s">
        <v>149</v>
      </c>
      <c r="E31" s="91">
        <f>F31+G31+H31+I31+J31+K31+L31</f>
        <v>0</v>
      </c>
      <c r="F31" s="93">
        <f t="shared" si="7"/>
        <v>0</v>
      </c>
      <c r="G31" s="93">
        <f t="shared" si="7"/>
        <v>0</v>
      </c>
      <c r="H31" s="93">
        <f t="shared" si="7"/>
        <v>0</v>
      </c>
      <c r="I31" s="93">
        <f t="shared" si="7"/>
        <v>0</v>
      </c>
      <c r="J31" s="93">
        <f t="shared" si="7"/>
        <v>0</v>
      </c>
      <c r="K31" s="93">
        <f t="shared" si="7"/>
        <v>0</v>
      </c>
      <c r="L31" s="93">
        <f t="shared" si="7"/>
        <v>0</v>
      </c>
      <c r="M31" s="310"/>
      <c r="N31" s="304"/>
      <c r="O31" s="304"/>
      <c r="P31" s="304"/>
      <c r="Q31" s="304"/>
      <c r="R31" s="304"/>
      <c r="S31" s="304"/>
      <c r="T31" s="304"/>
      <c r="U31" s="307"/>
    </row>
    <row r="32" spans="1:21" ht="13.5" customHeight="1">
      <c r="A32" s="297"/>
      <c r="B32" s="332"/>
      <c r="C32" s="297"/>
      <c r="D32" s="92" t="s">
        <v>151</v>
      </c>
      <c r="E32" s="91">
        <f>F32+G32+H32+I32+J32+K32+L32</f>
        <v>36290158</v>
      </c>
      <c r="F32" s="93">
        <f t="shared" si="7"/>
        <v>4452780</v>
      </c>
      <c r="G32" s="93">
        <f t="shared" si="7"/>
        <v>4898058</v>
      </c>
      <c r="H32" s="93">
        <f t="shared" si="7"/>
        <v>5387864</v>
      </c>
      <c r="I32" s="93">
        <f t="shared" si="7"/>
        <v>5387864</v>
      </c>
      <c r="J32" s="93">
        <f t="shared" si="7"/>
        <v>5387864</v>
      </c>
      <c r="K32" s="93">
        <f t="shared" si="7"/>
        <v>5387864</v>
      </c>
      <c r="L32" s="93">
        <f t="shared" si="7"/>
        <v>5387864</v>
      </c>
      <c r="M32" s="311"/>
      <c r="N32" s="305"/>
      <c r="O32" s="305"/>
      <c r="P32" s="305"/>
      <c r="Q32" s="305"/>
      <c r="R32" s="305"/>
      <c r="S32" s="305"/>
      <c r="T32" s="305"/>
      <c r="U32" s="308"/>
    </row>
    <row r="35" spans="6:7" ht="12.75">
      <c r="F35" s="184"/>
      <c r="G35" s="95"/>
    </row>
    <row r="36" ht="12.75">
      <c r="F36" s="184"/>
    </row>
    <row r="37" ht="12.75">
      <c r="F37" s="184"/>
    </row>
    <row r="38" ht="12.75">
      <c r="F38" s="184"/>
    </row>
    <row r="39" ht="12.75">
      <c r="F39" s="184"/>
    </row>
    <row r="40" ht="12.75">
      <c r="F40" s="184"/>
    </row>
    <row r="41" ht="12.75">
      <c r="F41" s="184"/>
    </row>
  </sheetData>
  <sheetProtection/>
  <mergeCells count="61">
    <mergeCell ref="P27:P32"/>
    <mergeCell ref="Q27:Q32"/>
    <mergeCell ref="D22:L22"/>
    <mergeCell ref="R21:R26"/>
    <mergeCell ref="U15:U20"/>
    <mergeCell ref="T27:T32"/>
    <mergeCell ref="U27:U32"/>
    <mergeCell ref="D28:L28"/>
    <mergeCell ref="N27:N32"/>
    <mergeCell ref="O27:O32"/>
    <mergeCell ref="R27:R32"/>
    <mergeCell ref="S27:S32"/>
    <mergeCell ref="R15:R20"/>
    <mergeCell ref="S15:S20"/>
    <mergeCell ref="A27:A32"/>
    <mergeCell ref="B27:B32"/>
    <mergeCell ref="C27:C32"/>
    <mergeCell ref="M27:M32"/>
    <mergeCell ref="A21:A26"/>
    <mergeCell ref="B21:B26"/>
    <mergeCell ref="U21:U26"/>
    <mergeCell ref="T15:T20"/>
    <mergeCell ref="D16:L16"/>
    <mergeCell ref="N21:N26"/>
    <mergeCell ref="O21:O26"/>
    <mergeCell ref="P21:P26"/>
    <mergeCell ref="Q21:Q26"/>
    <mergeCell ref="P15:P20"/>
    <mergeCell ref="Q15:Q20"/>
    <mergeCell ref="S21:S26"/>
    <mergeCell ref="C21:C26"/>
    <mergeCell ref="M21:M26"/>
    <mergeCell ref="R9:R14"/>
    <mergeCell ref="S9:S14"/>
    <mergeCell ref="T9:T14"/>
    <mergeCell ref="T21:T26"/>
    <mergeCell ref="U9:U14"/>
    <mergeCell ref="A15:A20"/>
    <mergeCell ref="M15:M20"/>
    <mergeCell ref="O15:O20"/>
    <mergeCell ref="B15:B20"/>
    <mergeCell ref="C15:C20"/>
    <mergeCell ref="N15:N20"/>
    <mergeCell ref="B7:U7"/>
    <mergeCell ref="A9:A14"/>
    <mergeCell ref="B9:B14"/>
    <mergeCell ref="C9:C14"/>
    <mergeCell ref="M9:M14"/>
    <mergeCell ref="N9:N14"/>
    <mergeCell ref="O9:O14"/>
    <mergeCell ref="P9:P14"/>
    <mergeCell ref="Q9:Q14"/>
    <mergeCell ref="D10:L10"/>
    <mergeCell ref="A2:U2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57421875" style="152" customWidth="1"/>
    <col min="2" max="2" width="37.8515625" style="142" customWidth="1"/>
    <col min="3" max="3" width="7.421875" style="142" customWidth="1"/>
    <col min="4" max="4" width="10.28125" style="142" customWidth="1"/>
    <col min="5" max="7" width="9.140625" style="142" customWidth="1"/>
    <col min="8" max="8" width="10.421875" style="142" bestFit="1" customWidth="1"/>
    <col min="9" max="11" width="9.140625" style="142" customWidth="1"/>
    <col min="12" max="12" width="10.421875" style="142" bestFit="1" customWidth="1"/>
    <col min="13" max="16384" width="9.140625" style="142" customWidth="1"/>
  </cols>
  <sheetData>
    <row r="1" spans="1:11" s="139" customFormat="1" ht="15">
      <c r="A1" s="136"/>
      <c r="B1" s="137"/>
      <c r="C1" s="137"/>
      <c r="D1" s="137"/>
      <c r="E1" s="137"/>
      <c r="F1" s="137"/>
      <c r="G1" s="137"/>
      <c r="H1" s="137"/>
      <c r="I1" s="138"/>
      <c r="J1" s="138"/>
      <c r="K1" s="7" t="s">
        <v>297</v>
      </c>
    </row>
    <row r="2" spans="1:12" s="140" customFormat="1" ht="33.75" customHeight="1">
      <c r="A2" s="360" t="s">
        <v>51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5">
      <c r="A3" s="361" t="s">
        <v>156</v>
      </c>
      <c r="B3" s="361" t="s">
        <v>160</v>
      </c>
      <c r="C3" s="361" t="s">
        <v>157</v>
      </c>
      <c r="D3" s="363" t="s">
        <v>159</v>
      </c>
      <c r="E3" s="364"/>
      <c r="F3" s="364"/>
      <c r="G3" s="364"/>
      <c r="H3" s="364"/>
      <c r="I3" s="364"/>
      <c r="J3" s="364"/>
      <c r="K3" s="364"/>
      <c r="L3" s="365"/>
    </row>
    <row r="4" spans="1:12" ht="15">
      <c r="A4" s="361"/>
      <c r="B4" s="361"/>
      <c r="C4" s="361"/>
      <c r="D4" s="362" t="s">
        <v>118</v>
      </c>
      <c r="E4" s="362" t="s">
        <v>119</v>
      </c>
      <c r="F4" s="366" t="s">
        <v>43</v>
      </c>
      <c r="G4" s="367"/>
      <c r="H4" s="367"/>
      <c r="I4" s="367"/>
      <c r="J4" s="367"/>
      <c r="K4" s="367"/>
      <c r="L4" s="368"/>
    </row>
    <row r="5" spans="1:12" ht="19.5" customHeight="1">
      <c r="A5" s="362"/>
      <c r="B5" s="361"/>
      <c r="C5" s="362"/>
      <c r="D5" s="369"/>
      <c r="E5" s="369"/>
      <c r="F5" s="143">
        <v>2014</v>
      </c>
      <c r="G5" s="143">
        <v>2015</v>
      </c>
      <c r="H5" s="143">
        <v>2016</v>
      </c>
      <c r="I5" s="143">
        <v>2017</v>
      </c>
      <c r="J5" s="143">
        <v>2018</v>
      </c>
      <c r="K5" s="143">
        <v>2019</v>
      </c>
      <c r="L5" s="143">
        <v>2020</v>
      </c>
    </row>
    <row r="6" spans="1:12" ht="1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</row>
    <row r="7" spans="1:12" s="145" customFormat="1" ht="31.5" customHeight="1">
      <c r="A7" s="141"/>
      <c r="B7" s="359" t="s">
        <v>52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ht="51">
      <c r="A8" s="141">
        <v>1</v>
      </c>
      <c r="B8" s="2" t="s">
        <v>53</v>
      </c>
      <c r="C8" s="146" t="s">
        <v>158</v>
      </c>
      <c r="D8" s="146">
        <v>67.9</v>
      </c>
      <c r="E8" s="146">
        <v>85.7</v>
      </c>
      <c r="F8" s="146">
        <v>88.1</v>
      </c>
      <c r="G8" s="141">
        <v>98.7</v>
      </c>
      <c r="H8" s="141">
        <v>100</v>
      </c>
      <c r="I8" s="141">
        <v>100</v>
      </c>
      <c r="J8" s="141">
        <v>100</v>
      </c>
      <c r="K8" s="141">
        <v>100</v>
      </c>
      <c r="L8" s="141">
        <v>100</v>
      </c>
    </row>
    <row r="9" spans="1:12" ht="25.5">
      <c r="A9" s="141">
        <v>2</v>
      </c>
      <c r="B9" s="2" t="s">
        <v>308</v>
      </c>
      <c r="C9" s="146" t="s">
        <v>158</v>
      </c>
      <c r="D9" s="209">
        <v>51</v>
      </c>
      <c r="E9" s="209">
        <v>51</v>
      </c>
      <c r="F9" s="211">
        <v>51</v>
      </c>
      <c r="G9" s="141">
        <v>58.3</v>
      </c>
      <c r="H9" s="141">
        <v>58.3</v>
      </c>
      <c r="I9" s="141">
        <v>58.3</v>
      </c>
      <c r="J9" s="141">
        <v>58.3</v>
      </c>
      <c r="K9" s="141">
        <v>58.3</v>
      </c>
      <c r="L9" s="141">
        <v>58.3</v>
      </c>
    </row>
    <row r="10" spans="1:12" ht="80.25" customHeight="1">
      <c r="A10" s="141">
        <v>3</v>
      </c>
      <c r="B10" s="2" t="s">
        <v>298</v>
      </c>
      <c r="C10" s="146" t="s">
        <v>158</v>
      </c>
      <c r="D10" s="209">
        <v>70</v>
      </c>
      <c r="E10" s="209">
        <v>73</v>
      </c>
      <c r="F10" s="211">
        <v>73</v>
      </c>
      <c r="G10" s="211">
        <v>73</v>
      </c>
      <c r="H10" s="211">
        <v>75</v>
      </c>
      <c r="I10" s="211">
        <v>75</v>
      </c>
      <c r="J10" s="211">
        <v>75</v>
      </c>
      <c r="K10" s="211">
        <v>75</v>
      </c>
      <c r="L10" s="211">
        <v>75</v>
      </c>
    </row>
    <row r="11" spans="1:12" ht="56.25" customHeight="1">
      <c r="A11" s="141">
        <v>4</v>
      </c>
      <c r="B11" s="2" t="s">
        <v>299</v>
      </c>
      <c r="C11" s="146" t="s">
        <v>158</v>
      </c>
      <c r="D11" s="209">
        <v>69</v>
      </c>
      <c r="E11" s="209">
        <v>70</v>
      </c>
      <c r="F11" s="211">
        <v>70</v>
      </c>
      <c r="G11" s="211">
        <v>70</v>
      </c>
      <c r="H11" s="211">
        <v>77</v>
      </c>
      <c r="I11" s="211">
        <v>77</v>
      </c>
      <c r="J11" s="211">
        <v>77</v>
      </c>
      <c r="K11" s="211">
        <v>77</v>
      </c>
      <c r="L11" s="211">
        <v>77</v>
      </c>
    </row>
    <row r="12" spans="1:12" s="145" customFormat="1" ht="24" customHeight="1">
      <c r="A12" s="141"/>
      <c r="B12" s="359" t="s">
        <v>54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2" s="150" customFormat="1" ht="38.25">
      <c r="A13" s="147" t="s">
        <v>192</v>
      </c>
      <c r="B13" s="24" t="s">
        <v>309</v>
      </c>
      <c r="C13" s="146" t="s">
        <v>158</v>
      </c>
      <c r="D13" s="149">
        <v>0</v>
      </c>
      <c r="E13" s="149">
        <v>0.4</v>
      </c>
      <c r="F13" s="149">
        <v>37.7</v>
      </c>
      <c r="G13" s="212">
        <v>100</v>
      </c>
      <c r="H13" s="210">
        <v>100</v>
      </c>
      <c r="I13" s="210">
        <v>100</v>
      </c>
      <c r="J13" s="210">
        <v>100</v>
      </c>
      <c r="K13" s="210">
        <v>100</v>
      </c>
      <c r="L13" s="210">
        <v>100</v>
      </c>
    </row>
    <row r="14" spans="1:12" s="150" customFormat="1" ht="51" customHeight="1">
      <c r="A14" s="147" t="s">
        <v>193</v>
      </c>
      <c r="B14" s="24" t="s">
        <v>310</v>
      </c>
      <c r="C14" s="146" t="s">
        <v>158</v>
      </c>
      <c r="D14" s="149">
        <v>0</v>
      </c>
      <c r="E14" s="149">
        <v>12.4</v>
      </c>
      <c r="F14" s="149">
        <v>74.7</v>
      </c>
      <c r="G14" s="212">
        <v>100</v>
      </c>
      <c r="H14" s="212">
        <v>100</v>
      </c>
      <c r="I14" s="212">
        <v>100</v>
      </c>
      <c r="J14" s="212">
        <v>100</v>
      </c>
      <c r="K14" s="212">
        <v>100</v>
      </c>
      <c r="L14" s="212">
        <v>100</v>
      </c>
    </row>
    <row r="15" spans="1:12" ht="39" customHeight="1">
      <c r="A15" s="147" t="s">
        <v>194</v>
      </c>
      <c r="B15" s="24" t="s">
        <v>311</v>
      </c>
      <c r="C15" s="24" t="s">
        <v>190</v>
      </c>
      <c r="D15" s="146">
        <v>0</v>
      </c>
      <c r="E15" s="209">
        <v>92</v>
      </c>
      <c r="F15" s="209">
        <v>75</v>
      </c>
      <c r="G15" s="209">
        <v>100</v>
      </c>
      <c r="H15" s="212">
        <v>100</v>
      </c>
      <c r="I15" s="212">
        <v>100</v>
      </c>
      <c r="J15" s="212">
        <v>100</v>
      </c>
      <c r="K15" s="212">
        <v>100</v>
      </c>
      <c r="L15" s="212">
        <v>100</v>
      </c>
    </row>
    <row r="16" spans="1:12" ht="39" customHeight="1">
      <c r="A16" s="147" t="s">
        <v>344</v>
      </c>
      <c r="B16" s="24" t="s">
        <v>345</v>
      </c>
      <c r="C16" s="21" t="s">
        <v>158</v>
      </c>
      <c r="D16" s="146">
        <v>0</v>
      </c>
      <c r="E16" s="209">
        <v>0</v>
      </c>
      <c r="F16" s="209">
        <v>0</v>
      </c>
      <c r="G16" s="209">
        <v>0.4</v>
      </c>
      <c r="H16" s="212">
        <v>37.7</v>
      </c>
      <c r="I16" s="212">
        <v>100</v>
      </c>
      <c r="J16" s="212">
        <v>100</v>
      </c>
      <c r="K16" s="212">
        <v>100</v>
      </c>
      <c r="L16" s="212">
        <v>100</v>
      </c>
    </row>
    <row r="17" spans="1:12" s="145" customFormat="1" ht="15">
      <c r="A17" s="141"/>
      <c r="B17" s="359" t="s">
        <v>55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</row>
    <row r="18" spans="1:12" s="150" customFormat="1" ht="38.25">
      <c r="A18" s="147" t="s">
        <v>208</v>
      </c>
      <c r="B18" s="2" t="s">
        <v>312</v>
      </c>
      <c r="C18" s="146" t="s">
        <v>158</v>
      </c>
      <c r="D18" s="209">
        <v>100</v>
      </c>
      <c r="E18" s="209">
        <v>100</v>
      </c>
      <c r="F18" s="210">
        <v>100</v>
      </c>
      <c r="G18" s="210">
        <v>100</v>
      </c>
      <c r="H18" s="210">
        <v>100</v>
      </c>
      <c r="I18" s="210">
        <v>100</v>
      </c>
      <c r="J18" s="210">
        <v>100</v>
      </c>
      <c r="K18" s="210">
        <v>100</v>
      </c>
      <c r="L18" s="210">
        <v>100</v>
      </c>
    </row>
    <row r="19" ht="15">
      <c r="A19" s="151"/>
    </row>
    <row r="21" ht="15">
      <c r="B21" s="213"/>
    </row>
  </sheetData>
  <sheetProtection/>
  <mergeCells count="11">
    <mergeCell ref="B7:L7"/>
    <mergeCell ref="B12:L12"/>
    <mergeCell ref="B17:L17"/>
    <mergeCell ref="A2:L2"/>
    <mergeCell ref="A3:A5"/>
    <mergeCell ref="B3:B5"/>
    <mergeCell ref="C3:C5"/>
    <mergeCell ref="D3:L3"/>
    <mergeCell ref="F4:L4"/>
    <mergeCell ref="E4:E5"/>
    <mergeCell ref="D4:D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15" zoomScalePageLayoutView="0" workbookViewId="0" topLeftCell="A1">
      <selection activeCell="D16" sqref="D16"/>
    </sheetView>
  </sheetViews>
  <sheetFormatPr defaultColWidth="9.140625" defaultRowHeight="15"/>
  <cols>
    <col min="1" max="1" width="35.421875" style="137" customWidth="1"/>
    <col min="2" max="2" width="18.28125" style="137" customWidth="1"/>
    <col min="3" max="3" width="15.421875" style="137" customWidth="1"/>
    <col min="4" max="4" width="15.421875" style="137" bestFit="1" customWidth="1"/>
    <col min="5" max="5" width="11.00390625" style="137" bestFit="1" customWidth="1"/>
    <col min="6" max="8" width="14.28125" style="137" bestFit="1" customWidth="1"/>
    <col min="9" max="9" width="15.140625" style="137" bestFit="1" customWidth="1"/>
    <col min="10" max="16384" width="9.140625" style="137" customWidth="1"/>
  </cols>
  <sheetData>
    <row r="1" spans="5:9" ht="18.75" customHeight="1">
      <c r="E1" s="60"/>
      <c r="G1" s="194"/>
      <c r="H1" s="194"/>
      <c r="I1" s="7" t="s">
        <v>300</v>
      </c>
    </row>
    <row r="3" spans="1:9" ht="36.75" customHeight="1">
      <c r="A3" s="360" t="s">
        <v>56</v>
      </c>
      <c r="B3" s="360"/>
      <c r="C3" s="360"/>
      <c r="D3" s="360"/>
      <c r="E3" s="360"/>
      <c r="F3" s="360"/>
      <c r="G3" s="360"/>
      <c r="H3" s="360"/>
      <c r="I3" s="360"/>
    </row>
    <row r="4" spans="1:9" ht="30" customHeight="1">
      <c r="A4" s="390" t="s">
        <v>163</v>
      </c>
      <c r="B4" s="392" t="s">
        <v>164</v>
      </c>
      <c r="C4" s="394" t="s">
        <v>165</v>
      </c>
      <c r="D4" s="394"/>
      <c r="E4" s="394"/>
      <c r="F4" s="394"/>
      <c r="G4" s="394"/>
      <c r="H4" s="394"/>
      <c r="I4" s="394"/>
    </row>
    <row r="5" spans="1:9" ht="16.5" customHeight="1">
      <c r="A5" s="391"/>
      <c r="B5" s="393"/>
      <c r="C5" s="186">
        <v>2014</v>
      </c>
      <c r="D5" s="186">
        <v>2015</v>
      </c>
      <c r="E5" s="186">
        <v>2016</v>
      </c>
      <c r="F5" s="186">
        <v>2017</v>
      </c>
      <c r="G5" s="186">
        <v>2018</v>
      </c>
      <c r="H5" s="186">
        <v>2019</v>
      </c>
      <c r="I5" s="187">
        <v>2020</v>
      </c>
    </row>
    <row r="6" spans="1:9" ht="16.5" customHeigh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  <c r="H6" s="199">
        <v>8</v>
      </c>
      <c r="I6" s="200">
        <v>9</v>
      </c>
    </row>
    <row r="7" spans="1:9" ht="19.5" customHeight="1">
      <c r="A7" s="195" t="s">
        <v>57</v>
      </c>
      <c r="B7" s="193">
        <f>B9+B10+B11+B12</f>
        <v>784914057.0799999</v>
      </c>
      <c r="C7" s="193">
        <f aca="true" t="shared" si="0" ref="C7:I7">C9+C10+C11+C12</f>
        <v>378697560.7</v>
      </c>
      <c r="D7" s="193">
        <f>D9+D10+D11+D12</f>
        <v>266289735.18</v>
      </c>
      <c r="E7" s="193">
        <f t="shared" si="0"/>
        <v>0</v>
      </c>
      <c r="F7" s="193">
        <f t="shared" si="0"/>
        <v>34981690.3</v>
      </c>
      <c r="G7" s="193">
        <f t="shared" si="0"/>
        <v>34981690.3</v>
      </c>
      <c r="H7" s="193">
        <f t="shared" si="0"/>
        <v>34981690.3</v>
      </c>
      <c r="I7" s="193">
        <f t="shared" si="0"/>
        <v>34981690.3</v>
      </c>
    </row>
    <row r="8" spans="1:9" ht="16.5" customHeight="1">
      <c r="A8" s="387" t="s">
        <v>166</v>
      </c>
      <c r="B8" s="388"/>
      <c r="C8" s="388"/>
      <c r="D8" s="388"/>
      <c r="E8" s="388"/>
      <c r="F8" s="388"/>
      <c r="G8" s="388"/>
      <c r="H8" s="388"/>
      <c r="I8" s="389"/>
    </row>
    <row r="9" spans="1:9" ht="16.5" customHeight="1">
      <c r="A9" s="188" t="s">
        <v>167</v>
      </c>
      <c r="B9" s="193">
        <f>C9+D9+E9+F9+G9+H9+I9</f>
        <v>582343172.9</v>
      </c>
      <c r="C9" s="189">
        <f aca="true" t="shared" si="1" ref="C9:I9">C16+C23</f>
        <v>224841076.51999998</v>
      </c>
      <c r="D9" s="189">
        <f t="shared" si="1"/>
        <v>217575335.18</v>
      </c>
      <c r="E9" s="189">
        <f t="shared" si="1"/>
        <v>0</v>
      </c>
      <c r="F9" s="189">
        <f t="shared" si="1"/>
        <v>34981690.3</v>
      </c>
      <c r="G9" s="189">
        <f t="shared" si="1"/>
        <v>34981690.3</v>
      </c>
      <c r="H9" s="189">
        <f t="shared" si="1"/>
        <v>34981690.3</v>
      </c>
      <c r="I9" s="189">
        <f t="shared" si="1"/>
        <v>34981690.3</v>
      </c>
    </row>
    <row r="10" spans="1:9" ht="16.5" customHeight="1">
      <c r="A10" s="188" t="s">
        <v>47</v>
      </c>
      <c r="B10" s="193">
        <f>C10+D10+E10+F10+G10+H10+I10</f>
        <v>0</v>
      </c>
      <c r="C10" s="189">
        <f aca="true" t="shared" si="2" ref="C10:I12">C17+C24</f>
        <v>0</v>
      </c>
      <c r="D10" s="189">
        <f t="shared" si="2"/>
        <v>0</v>
      </c>
      <c r="E10" s="189">
        <f t="shared" si="2"/>
        <v>0</v>
      </c>
      <c r="F10" s="189">
        <f t="shared" si="2"/>
        <v>0</v>
      </c>
      <c r="G10" s="189">
        <f t="shared" si="2"/>
        <v>0</v>
      </c>
      <c r="H10" s="189">
        <f t="shared" si="2"/>
        <v>0</v>
      </c>
      <c r="I10" s="189">
        <f t="shared" si="2"/>
        <v>0</v>
      </c>
    </row>
    <row r="11" spans="1:9" ht="16.5" customHeight="1">
      <c r="A11" s="188" t="s">
        <v>48</v>
      </c>
      <c r="B11" s="193">
        <f>C11+D11+E11+F11+G11+H11+I11</f>
        <v>202570884.18</v>
      </c>
      <c r="C11" s="189">
        <f t="shared" si="2"/>
        <v>153856484.18</v>
      </c>
      <c r="D11" s="189">
        <f t="shared" si="2"/>
        <v>48714400</v>
      </c>
      <c r="E11" s="189">
        <f t="shared" si="2"/>
        <v>0</v>
      </c>
      <c r="F11" s="189">
        <f t="shared" si="2"/>
        <v>0</v>
      </c>
      <c r="G11" s="189">
        <f t="shared" si="2"/>
        <v>0</v>
      </c>
      <c r="H11" s="189">
        <f t="shared" si="2"/>
        <v>0</v>
      </c>
      <c r="I11" s="189">
        <f t="shared" si="2"/>
        <v>0</v>
      </c>
    </row>
    <row r="12" spans="1:9" ht="16.5" customHeight="1">
      <c r="A12" s="188" t="s">
        <v>170</v>
      </c>
      <c r="B12" s="193">
        <f>C12+D12+E12+F12+G12+H12+I12</f>
        <v>0</v>
      </c>
      <c r="C12" s="189">
        <f t="shared" si="2"/>
        <v>0</v>
      </c>
      <c r="D12" s="189">
        <f t="shared" si="2"/>
        <v>0</v>
      </c>
      <c r="E12" s="189">
        <f t="shared" si="2"/>
        <v>0</v>
      </c>
      <c r="F12" s="189">
        <f t="shared" si="2"/>
        <v>0</v>
      </c>
      <c r="G12" s="189">
        <f t="shared" si="2"/>
        <v>0</v>
      </c>
      <c r="H12" s="189">
        <f t="shared" si="2"/>
        <v>0</v>
      </c>
      <c r="I12" s="189">
        <f t="shared" si="2"/>
        <v>0</v>
      </c>
    </row>
    <row r="13" spans="1:9" ht="16.5" customHeight="1">
      <c r="A13" s="395" t="s">
        <v>171</v>
      </c>
      <c r="B13" s="396"/>
      <c r="C13" s="396"/>
      <c r="D13" s="396"/>
      <c r="E13" s="396"/>
      <c r="F13" s="396"/>
      <c r="G13" s="396"/>
      <c r="H13" s="396"/>
      <c r="I13" s="397"/>
    </row>
    <row r="14" spans="1:9" ht="47.25" customHeight="1">
      <c r="A14" s="196" t="s">
        <v>178</v>
      </c>
      <c r="B14" s="193">
        <f>B16+B17+B18+B19</f>
        <v>169472179.53000003</v>
      </c>
      <c r="C14" s="193">
        <f>C16+C17+C18+C19</f>
        <v>37890057.95</v>
      </c>
      <c r="D14" s="193">
        <f aca="true" t="shared" si="3" ref="D14:I14">D16+D17+D18+D19</f>
        <v>26637050.68</v>
      </c>
      <c r="E14" s="193">
        <f t="shared" si="3"/>
        <v>0</v>
      </c>
      <c r="F14" s="193">
        <f t="shared" si="3"/>
        <v>0</v>
      </c>
      <c r="G14" s="193">
        <f t="shared" si="3"/>
        <v>34981690.3</v>
      </c>
      <c r="H14" s="193">
        <f t="shared" si="3"/>
        <v>34981690.3</v>
      </c>
      <c r="I14" s="193">
        <f t="shared" si="3"/>
        <v>34981690.3</v>
      </c>
    </row>
    <row r="15" spans="1:9" ht="16.5" customHeight="1">
      <c r="A15" s="387" t="s">
        <v>166</v>
      </c>
      <c r="B15" s="388"/>
      <c r="C15" s="388"/>
      <c r="D15" s="388"/>
      <c r="E15" s="388"/>
      <c r="F15" s="388"/>
      <c r="G15" s="388"/>
      <c r="H15" s="388"/>
      <c r="I15" s="389"/>
    </row>
    <row r="16" spans="1:9" ht="16.5" customHeight="1">
      <c r="A16" s="188" t="s">
        <v>167</v>
      </c>
      <c r="B16" s="193">
        <f>C16+D16+E16+F16+G16+H16+I16</f>
        <v>169472179.53000003</v>
      </c>
      <c r="C16" s="189">
        <v>37890057.95</v>
      </c>
      <c r="D16" s="189">
        <f>+'таб 3(8)'!G32+'таб 3(8)'!G72+9442710.68</f>
        <v>26637050.68</v>
      </c>
      <c r="E16" s="189">
        <v>0</v>
      </c>
      <c r="F16" s="189">
        <v>0</v>
      </c>
      <c r="G16" s="189">
        <v>34981690.3</v>
      </c>
      <c r="H16" s="189">
        <v>34981690.3</v>
      </c>
      <c r="I16" s="189">
        <v>34981690.3</v>
      </c>
    </row>
    <row r="17" spans="1:9" ht="16.5" customHeight="1">
      <c r="A17" s="188" t="s">
        <v>47</v>
      </c>
      <c r="B17" s="193">
        <f>C17+D17+E17+F17+G17+H17+I17</f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</row>
    <row r="18" spans="1:9" ht="16.5" customHeight="1">
      <c r="A18" s="188" t="s">
        <v>48</v>
      </c>
      <c r="B18" s="193">
        <f>C18+D18+E18+F18+G18+H18+I18</f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</row>
    <row r="19" spans="1:9" ht="16.5" customHeight="1">
      <c r="A19" s="188" t="s">
        <v>170</v>
      </c>
      <c r="B19" s="193">
        <f>C19+D19+E19+F19+G19+H19+I19</f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</row>
    <row r="20" spans="1:9" ht="30">
      <c r="A20" s="192" t="s">
        <v>172</v>
      </c>
      <c r="B20" s="193">
        <f>C20+D20+E20+F20+G20+H20+I20</f>
        <v>20333549.72</v>
      </c>
      <c r="C20" s="189">
        <f>'таб 3(8)'!F26</f>
        <v>20333549.72</v>
      </c>
      <c r="D20" s="189">
        <f>'таб 3(8)'!G26</f>
        <v>0</v>
      </c>
      <c r="E20" s="189">
        <f>'таб 3(8)'!H26</f>
        <v>0</v>
      </c>
      <c r="F20" s="189">
        <f>'таб 3(8)'!I26</f>
        <v>0</v>
      </c>
      <c r="G20" s="189">
        <f>'таб 3(8)'!J26</f>
        <v>0</v>
      </c>
      <c r="H20" s="189">
        <f>'таб 3(8)'!K26</f>
        <v>0</v>
      </c>
      <c r="I20" s="189">
        <f>'таб 3(8)'!L26</f>
        <v>0</v>
      </c>
    </row>
    <row r="21" spans="1:9" ht="45" customHeight="1">
      <c r="A21" s="196" t="s">
        <v>313</v>
      </c>
      <c r="B21" s="193">
        <f>B23+B24+B25+B26</f>
        <v>615441877.55</v>
      </c>
      <c r="C21" s="193">
        <f>C23+C24+C25+C26</f>
        <v>340807502.75</v>
      </c>
      <c r="D21" s="193">
        <f aca="true" t="shared" si="4" ref="D21:I21">D23+D24+D25+D26</f>
        <v>239652684.5</v>
      </c>
      <c r="E21" s="193">
        <f t="shared" si="4"/>
        <v>0</v>
      </c>
      <c r="F21" s="193">
        <f t="shared" si="4"/>
        <v>34981690.3</v>
      </c>
      <c r="G21" s="193">
        <f t="shared" si="4"/>
        <v>0</v>
      </c>
      <c r="H21" s="193">
        <f t="shared" si="4"/>
        <v>0</v>
      </c>
      <c r="I21" s="193">
        <f t="shared" si="4"/>
        <v>0</v>
      </c>
    </row>
    <row r="22" spans="1:9" ht="16.5" customHeight="1">
      <c r="A22" s="387" t="s">
        <v>166</v>
      </c>
      <c r="B22" s="388"/>
      <c r="C22" s="388"/>
      <c r="D22" s="388"/>
      <c r="E22" s="388"/>
      <c r="F22" s="388"/>
      <c r="G22" s="388"/>
      <c r="H22" s="388"/>
      <c r="I22" s="389"/>
    </row>
    <row r="23" spans="1:9" ht="16.5" customHeight="1">
      <c r="A23" s="188" t="s">
        <v>167</v>
      </c>
      <c r="B23" s="193">
        <f>C23+D23+E23+F23+G23+H23+I23</f>
        <v>412870993.37</v>
      </c>
      <c r="C23" s="189">
        <v>186951018.57</v>
      </c>
      <c r="D23" s="228">
        <f>+'таб 3(8)'!G10+'таб 3(8)'!G16-9442710.68+'таб 3(8)'!G22</f>
        <v>190938284.5</v>
      </c>
      <c r="E23" s="189"/>
      <c r="F23" s="189">
        <v>34981690.3</v>
      </c>
      <c r="G23" s="189"/>
      <c r="H23" s="189"/>
      <c r="I23" s="189"/>
    </row>
    <row r="24" spans="1:9" ht="16.5" customHeight="1">
      <c r="A24" s="188" t="s">
        <v>47</v>
      </c>
      <c r="B24" s="193">
        <f>C24+D24+E24+F24+G24+H24+I24</f>
        <v>0</v>
      </c>
      <c r="C24" s="191"/>
      <c r="D24" s="189">
        <f>+'таб 3(8)'!G11</f>
        <v>0</v>
      </c>
      <c r="E24" s="189"/>
      <c r="F24" s="189"/>
      <c r="G24" s="189"/>
      <c r="H24" s="189"/>
      <c r="I24" s="189"/>
    </row>
    <row r="25" spans="1:9" ht="16.5" customHeight="1">
      <c r="A25" s="188" t="s">
        <v>48</v>
      </c>
      <c r="B25" s="193">
        <f>C25+D25+E25+F25+G25+H25+I25</f>
        <v>202570884.18</v>
      </c>
      <c r="C25" s="189">
        <f>'таб 3(8)'!F82</f>
        <v>153856484.18</v>
      </c>
      <c r="D25" s="189">
        <f>+'таб 3(8)'!G12</f>
        <v>48714400</v>
      </c>
      <c r="E25" s="189"/>
      <c r="F25" s="189"/>
      <c r="G25" s="189"/>
      <c r="H25" s="189"/>
      <c r="I25" s="189"/>
    </row>
    <row r="26" spans="1:9" ht="16.5" customHeight="1">
      <c r="A26" s="188" t="s">
        <v>170</v>
      </c>
      <c r="B26" s="193">
        <f>C26+D26+E26+F26+G26+H26+I26</f>
        <v>0</v>
      </c>
      <c r="C26" s="189">
        <f aca="true" t="shared" si="5" ref="C26:I26">C33+C40</f>
        <v>0</v>
      </c>
      <c r="D26" s="189">
        <f t="shared" si="5"/>
        <v>0</v>
      </c>
      <c r="E26" s="189">
        <f t="shared" si="5"/>
        <v>0</v>
      </c>
      <c r="F26" s="189">
        <f t="shared" si="5"/>
        <v>0</v>
      </c>
      <c r="G26" s="189">
        <f t="shared" si="5"/>
        <v>0</v>
      </c>
      <c r="H26" s="189">
        <f t="shared" si="5"/>
        <v>0</v>
      </c>
      <c r="I26" s="189">
        <f t="shared" si="5"/>
        <v>0</v>
      </c>
    </row>
    <row r="27" spans="1:9" ht="30">
      <c r="A27" s="192" t="s">
        <v>172</v>
      </c>
      <c r="B27" s="193">
        <f>B21</f>
        <v>615441877.55</v>
      </c>
      <c r="C27" s="190">
        <f aca="true" t="shared" si="6" ref="C27:I27">C21</f>
        <v>340807502.75</v>
      </c>
      <c r="D27" s="190">
        <f t="shared" si="6"/>
        <v>239652684.5</v>
      </c>
      <c r="E27" s="190">
        <f t="shared" si="6"/>
        <v>0</v>
      </c>
      <c r="F27" s="190">
        <f t="shared" si="6"/>
        <v>34981690.3</v>
      </c>
      <c r="G27" s="190">
        <f t="shared" si="6"/>
        <v>0</v>
      </c>
      <c r="H27" s="190">
        <f t="shared" si="6"/>
        <v>0</v>
      </c>
      <c r="I27" s="190">
        <f t="shared" si="6"/>
        <v>0</v>
      </c>
    </row>
  </sheetData>
  <sheetProtection/>
  <mergeCells count="8">
    <mergeCell ref="A15:I15"/>
    <mergeCell ref="A22:I22"/>
    <mergeCell ref="A3:I3"/>
    <mergeCell ref="A4:A5"/>
    <mergeCell ref="B4:B5"/>
    <mergeCell ref="C4:I4"/>
    <mergeCell ref="A8:I8"/>
    <mergeCell ref="A13:I13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SheetLayoutView="115" zoomScalePageLayoutView="0" workbookViewId="0" topLeftCell="A1">
      <pane xSplit="4" ySplit="4" topLeftCell="E6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37" sqref="G37"/>
    </sheetView>
  </sheetViews>
  <sheetFormatPr defaultColWidth="9.140625" defaultRowHeight="15"/>
  <cols>
    <col min="1" max="1" width="9.140625" style="82" customWidth="1"/>
    <col min="2" max="2" width="38.00390625" style="82" customWidth="1"/>
    <col min="3" max="3" width="10.8515625" style="82" customWidth="1"/>
    <col min="4" max="4" width="10.00390625" style="82" customWidth="1"/>
    <col min="5" max="6" width="14.00390625" style="82" customWidth="1"/>
    <col min="7" max="7" width="14.00390625" style="82" bestFit="1" customWidth="1"/>
    <col min="8" max="8" width="7.57421875" style="82" customWidth="1"/>
    <col min="9" max="12" width="12.8515625" style="82" bestFit="1" customWidth="1"/>
    <col min="13" max="13" width="25.421875" style="82" customWidth="1"/>
    <col min="14" max="20" width="4.421875" style="82" bestFit="1" customWidth="1"/>
    <col min="21" max="21" width="20.7109375" style="82" customWidth="1"/>
    <col min="22" max="16384" width="9.140625" style="82" customWidth="1"/>
  </cols>
  <sheetData>
    <row r="1" spans="20:21" s="52" customFormat="1" ht="15" customHeight="1">
      <c r="T1" s="61"/>
      <c r="U1" s="67" t="s">
        <v>301</v>
      </c>
    </row>
    <row r="2" spans="1:21" s="52" customFormat="1" ht="15.75">
      <c r="A2" s="300" t="s">
        <v>58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24.75" customHeight="1">
      <c r="A3" s="296" t="s">
        <v>161</v>
      </c>
      <c r="B3" s="237" t="s">
        <v>173</v>
      </c>
      <c r="C3" s="237" t="s">
        <v>174</v>
      </c>
      <c r="D3" s="237" t="s">
        <v>163</v>
      </c>
      <c r="E3" s="237" t="s">
        <v>175</v>
      </c>
      <c r="F3" s="237"/>
      <c r="G3" s="237"/>
      <c r="H3" s="237"/>
      <c r="I3" s="237"/>
      <c r="J3" s="237"/>
      <c r="K3" s="237"/>
      <c r="L3" s="237"/>
      <c r="M3" s="296" t="s">
        <v>62</v>
      </c>
      <c r="N3" s="296"/>
      <c r="O3" s="296"/>
      <c r="P3" s="296"/>
      <c r="Q3" s="296"/>
      <c r="R3" s="296"/>
      <c r="S3" s="296"/>
      <c r="T3" s="296"/>
      <c r="U3" s="294" t="s">
        <v>176</v>
      </c>
    </row>
    <row r="4" spans="1:21" ht="21" customHeight="1">
      <c r="A4" s="296"/>
      <c r="B4" s="237"/>
      <c r="C4" s="237"/>
      <c r="D4" s="237"/>
      <c r="E4" s="83" t="s">
        <v>152</v>
      </c>
      <c r="F4" s="177" t="s">
        <v>141</v>
      </c>
      <c r="G4" s="177" t="s">
        <v>142</v>
      </c>
      <c r="H4" s="177" t="s">
        <v>143</v>
      </c>
      <c r="I4" s="177" t="s">
        <v>144</v>
      </c>
      <c r="J4" s="177" t="s">
        <v>145</v>
      </c>
      <c r="K4" s="177" t="s">
        <v>146</v>
      </c>
      <c r="L4" s="177" t="s">
        <v>147</v>
      </c>
      <c r="M4" s="12" t="s">
        <v>162</v>
      </c>
      <c r="N4" s="177" t="s">
        <v>141</v>
      </c>
      <c r="O4" s="177" t="s">
        <v>142</v>
      </c>
      <c r="P4" s="177" t="s">
        <v>143</v>
      </c>
      <c r="Q4" s="177" t="s">
        <v>144</v>
      </c>
      <c r="R4" s="177" t="s">
        <v>145</v>
      </c>
      <c r="S4" s="177" t="s">
        <v>146</v>
      </c>
      <c r="T4" s="177" t="s">
        <v>147</v>
      </c>
      <c r="U4" s="295"/>
    </row>
    <row r="5" spans="1:21" ht="12.7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</row>
    <row r="6" spans="1:21" ht="12.75">
      <c r="A6" s="84"/>
      <c r="B6" s="288" t="s">
        <v>60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21" ht="12.75">
      <c r="A7" s="84">
        <v>1</v>
      </c>
      <c r="B7" s="288" t="s">
        <v>314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2.75">
      <c r="A8" s="406" t="s">
        <v>154</v>
      </c>
      <c r="B8" s="287" t="s">
        <v>96</v>
      </c>
      <c r="C8" s="375">
        <v>2015</v>
      </c>
      <c r="D8" s="201" t="s">
        <v>152</v>
      </c>
      <c r="E8" s="86">
        <f aca="true" t="shared" si="0" ref="E8:L8">E10+E11+E12+E13</f>
        <v>313670022.25</v>
      </c>
      <c r="F8" s="86">
        <f t="shared" si="0"/>
        <v>155467418.57</v>
      </c>
      <c r="G8" s="86">
        <f t="shared" si="0"/>
        <v>158202603.68</v>
      </c>
      <c r="H8" s="8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400" t="s">
        <v>327</v>
      </c>
      <c r="N8" s="398"/>
      <c r="O8" s="407">
        <v>1</v>
      </c>
      <c r="P8" s="398"/>
      <c r="Q8" s="398"/>
      <c r="R8" s="398"/>
      <c r="S8" s="398"/>
      <c r="T8" s="398"/>
      <c r="U8" s="403" t="s">
        <v>359</v>
      </c>
    </row>
    <row r="9" spans="1:21" ht="12.75">
      <c r="A9" s="375"/>
      <c r="B9" s="287"/>
      <c r="C9" s="375"/>
      <c r="D9" s="283" t="s">
        <v>177</v>
      </c>
      <c r="E9" s="284"/>
      <c r="F9" s="284"/>
      <c r="G9" s="284"/>
      <c r="H9" s="284"/>
      <c r="I9" s="284"/>
      <c r="J9" s="284"/>
      <c r="K9" s="284"/>
      <c r="L9" s="285"/>
      <c r="M9" s="401"/>
      <c r="N9" s="398"/>
      <c r="O9" s="407"/>
      <c r="P9" s="398"/>
      <c r="Q9" s="398"/>
      <c r="R9" s="398"/>
      <c r="S9" s="398"/>
      <c r="T9" s="398"/>
      <c r="U9" s="404"/>
    </row>
    <row r="10" spans="1:21" ht="12.75">
      <c r="A10" s="375"/>
      <c r="B10" s="287"/>
      <c r="C10" s="375"/>
      <c r="D10" s="87" t="s">
        <v>150</v>
      </c>
      <c r="E10" s="88">
        <f>F10+G10+H10+I10+J10+K10+L10</f>
        <v>140205622.25</v>
      </c>
      <c r="F10" s="88">
        <f>53237500-22520081.43</f>
        <v>30717418.57</v>
      </c>
      <c r="G10" s="88">
        <f>100045493+9442710.68</f>
        <v>109488203.68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401"/>
      <c r="N10" s="398"/>
      <c r="O10" s="407"/>
      <c r="P10" s="398"/>
      <c r="Q10" s="398"/>
      <c r="R10" s="398"/>
      <c r="S10" s="398"/>
      <c r="T10" s="398"/>
      <c r="U10" s="404"/>
    </row>
    <row r="11" spans="1:21" ht="12.75">
      <c r="A11" s="375"/>
      <c r="B11" s="287"/>
      <c r="C11" s="375"/>
      <c r="D11" s="87" t="s">
        <v>148</v>
      </c>
      <c r="E11" s="88">
        <f>F11+G11+H11+I11+J11+K11+L11</f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401"/>
      <c r="N11" s="398"/>
      <c r="O11" s="407"/>
      <c r="P11" s="398"/>
      <c r="Q11" s="398"/>
      <c r="R11" s="398"/>
      <c r="S11" s="398"/>
      <c r="T11" s="398"/>
      <c r="U11" s="404"/>
    </row>
    <row r="12" spans="1:21" ht="12.75">
      <c r="A12" s="375"/>
      <c r="B12" s="287"/>
      <c r="C12" s="375"/>
      <c r="D12" s="87" t="s">
        <v>149</v>
      </c>
      <c r="E12" s="88">
        <f>F12+G12+H12+I12+J12+K12+L12</f>
        <v>173464400</v>
      </c>
      <c r="F12" s="88">
        <v>124750000</v>
      </c>
      <c r="G12" s="88">
        <v>48714400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401"/>
      <c r="N12" s="398"/>
      <c r="O12" s="407"/>
      <c r="P12" s="398"/>
      <c r="Q12" s="398"/>
      <c r="R12" s="398"/>
      <c r="S12" s="398"/>
      <c r="T12" s="398"/>
      <c r="U12" s="404"/>
    </row>
    <row r="13" spans="1:21" ht="12.75">
      <c r="A13" s="375"/>
      <c r="B13" s="287"/>
      <c r="C13" s="375"/>
      <c r="D13" s="87" t="s">
        <v>151</v>
      </c>
      <c r="E13" s="88">
        <f>F13+G13+H13+I13+J13+K13+L13</f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402"/>
      <c r="N13" s="398"/>
      <c r="O13" s="407"/>
      <c r="P13" s="398"/>
      <c r="Q13" s="398"/>
      <c r="R13" s="398"/>
      <c r="S13" s="398"/>
      <c r="T13" s="398"/>
      <c r="U13" s="405"/>
    </row>
    <row r="14" spans="1:21" ht="12.75">
      <c r="A14" s="375" t="s">
        <v>153</v>
      </c>
      <c r="B14" s="287" t="s">
        <v>95</v>
      </c>
      <c r="C14" s="375">
        <v>2015</v>
      </c>
      <c r="D14" s="85" t="s">
        <v>152</v>
      </c>
      <c r="E14" s="86">
        <f aca="true" t="shared" si="1" ref="E14:L14">E16+E17+E18+E19</f>
        <v>273802875.68</v>
      </c>
      <c r="F14" s="86">
        <f t="shared" si="1"/>
        <v>185340084.18</v>
      </c>
      <c r="G14" s="86">
        <f t="shared" si="1"/>
        <v>88462791.5</v>
      </c>
      <c r="H14" s="86">
        <f t="shared" si="1"/>
        <v>0</v>
      </c>
      <c r="I14" s="86">
        <f t="shared" si="1"/>
        <v>0</v>
      </c>
      <c r="J14" s="86">
        <f t="shared" si="1"/>
        <v>0</v>
      </c>
      <c r="K14" s="86">
        <f t="shared" si="1"/>
        <v>0</v>
      </c>
      <c r="L14" s="86">
        <f t="shared" si="1"/>
        <v>0</v>
      </c>
      <c r="M14" s="400" t="s">
        <v>327</v>
      </c>
      <c r="N14" s="398"/>
      <c r="O14" s="407">
        <v>1</v>
      </c>
      <c r="P14" s="398"/>
      <c r="Q14" s="398"/>
      <c r="R14" s="398"/>
      <c r="S14" s="398"/>
      <c r="T14" s="398"/>
      <c r="U14" s="403" t="s">
        <v>328</v>
      </c>
    </row>
    <row r="15" spans="1:21" ht="12.75">
      <c r="A15" s="375"/>
      <c r="B15" s="287"/>
      <c r="C15" s="375"/>
      <c r="D15" s="283" t="s">
        <v>177</v>
      </c>
      <c r="E15" s="284"/>
      <c r="F15" s="284"/>
      <c r="G15" s="284"/>
      <c r="H15" s="284"/>
      <c r="I15" s="284"/>
      <c r="J15" s="284"/>
      <c r="K15" s="284"/>
      <c r="L15" s="285"/>
      <c r="M15" s="401"/>
      <c r="N15" s="398"/>
      <c r="O15" s="407"/>
      <c r="P15" s="398"/>
      <c r="Q15" s="398"/>
      <c r="R15" s="398"/>
      <c r="S15" s="398"/>
      <c r="T15" s="398"/>
      <c r="U15" s="404"/>
    </row>
    <row r="16" spans="1:21" ht="12.75">
      <c r="A16" s="375"/>
      <c r="B16" s="287"/>
      <c r="C16" s="375"/>
      <c r="D16" s="87" t="s">
        <v>150</v>
      </c>
      <c r="E16" s="88">
        <f>F16+G16+H16+I16+J16+K16+L16</f>
        <v>244696391.5</v>
      </c>
      <c r="F16" s="88">
        <v>156233600</v>
      </c>
      <c r="G16" s="88">
        <f>85221880+3240911.5</f>
        <v>88462791.5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401"/>
      <c r="N16" s="398"/>
      <c r="O16" s="407"/>
      <c r="P16" s="398"/>
      <c r="Q16" s="398"/>
      <c r="R16" s="398"/>
      <c r="S16" s="398"/>
      <c r="T16" s="398"/>
      <c r="U16" s="404"/>
    </row>
    <row r="17" spans="1:21" ht="12.75">
      <c r="A17" s="375"/>
      <c r="B17" s="287"/>
      <c r="C17" s="375"/>
      <c r="D17" s="87" t="s">
        <v>148</v>
      </c>
      <c r="E17" s="88">
        <f>F17+G17+H17+I17+J17+K17+L17</f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401"/>
      <c r="N17" s="398"/>
      <c r="O17" s="407"/>
      <c r="P17" s="398"/>
      <c r="Q17" s="398"/>
      <c r="R17" s="398"/>
      <c r="S17" s="398"/>
      <c r="T17" s="398"/>
      <c r="U17" s="404"/>
    </row>
    <row r="18" spans="1:21" ht="12.75">
      <c r="A18" s="375"/>
      <c r="B18" s="287"/>
      <c r="C18" s="375"/>
      <c r="D18" s="87" t="s">
        <v>149</v>
      </c>
      <c r="E18" s="88">
        <f>F18+G18+H18+I18+J18+K18+L18</f>
        <v>29106484.18</v>
      </c>
      <c r="F18" s="88">
        <v>29106484.18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401"/>
      <c r="N18" s="398"/>
      <c r="O18" s="407"/>
      <c r="P18" s="398"/>
      <c r="Q18" s="398"/>
      <c r="R18" s="398"/>
      <c r="S18" s="398"/>
      <c r="T18" s="398"/>
      <c r="U18" s="404"/>
    </row>
    <row r="19" spans="1:21" ht="12.75">
      <c r="A19" s="375"/>
      <c r="B19" s="287"/>
      <c r="C19" s="375"/>
      <c r="D19" s="87" t="s">
        <v>151</v>
      </c>
      <c r="E19" s="88">
        <f>F19+G19+H19+I19+J19+K19+L19</f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402"/>
      <c r="N19" s="398"/>
      <c r="O19" s="407"/>
      <c r="P19" s="398"/>
      <c r="Q19" s="398"/>
      <c r="R19" s="398"/>
      <c r="S19" s="398"/>
      <c r="T19" s="398"/>
      <c r="U19" s="405"/>
    </row>
    <row r="20" spans="1:21" ht="12.75">
      <c r="A20" s="399" t="s">
        <v>155</v>
      </c>
      <c r="B20" s="287" t="s">
        <v>97</v>
      </c>
      <c r="C20" s="375">
        <v>2017</v>
      </c>
      <c r="D20" s="85" t="s">
        <v>152</v>
      </c>
      <c r="E20" s="86">
        <f aca="true" t="shared" si="2" ref="E20:L20">E22+E23+E24+E25</f>
        <v>37411690.3</v>
      </c>
      <c r="F20" s="86">
        <f t="shared" si="2"/>
        <v>0</v>
      </c>
      <c r="G20" s="86">
        <f t="shared" si="2"/>
        <v>2430000</v>
      </c>
      <c r="H20" s="86">
        <f t="shared" si="2"/>
        <v>0</v>
      </c>
      <c r="I20" s="86">
        <f t="shared" si="2"/>
        <v>34981690.3</v>
      </c>
      <c r="J20" s="86">
        <f t="shared" si="2"/>
        <v>0</v>
      </c>
      <c r="K20" s="86">
        <f t="shared" si="2"/>
        <v>0</v>
      </c>
      <c r="L20" s="86">
        <f t="shared" si="2"/>
        <v>0</v>
      </c>
      <c r="M20" s="400" t="s">
        <v>327</v>
      </c>
      <c r="N20" s="398"/>
      <c r="O20" s="398"/>
      <c r="P20" s="398"/>
      <c r="Q20" s="407">
        <v>1</v>
      </c>
      <c r="R20" s="398"/>
      <c r="S20" s="398"/>
      <c r="T20" s="398"/>
      <c r="U20" s="403" t="s">
        <v>328</v>
      </c>
    </row>
    <row r="21" spans="1:21" ht="12.75">
      <c r="A21" s="375"/>
      <c r="B21" s="287"/>
      <c r="C21" s="375"/>
      <c r="D21" s="283" t="s">
        <v>177</v>
      </c>
      <c r="E21" s="284"/>
      <c r="F21" s="284"/>
      <c r="G21" s="284"/>
      <c r="H21" s="284"/>
      <c r="I21" s="284"/>
      <c r="J21" s="284"/>
      <c r="K21" s="284"/>
      <c r="L21" s="285"/>
      <c r="M21" s="401"/>
      <c r="N21" s="398"/>
      <c r="O21" s="398"/>
      <c r="P21" s="398"/>
      <c r="Q21" s="407"/>
      <c r="R21" s="398"/>
      <c r="S21" s="398"/>
      <c r="T21" s="398"/>
      <c r="U21" s="404"/>
    </row>
    <row r="22" spans="1:21" ht="12.75">
      <c r="A22" s="375"/>
      <c r="B22" s="287"/>
      <c r="C22" s="375"/>
      <c r="D22" s="87" t="s">
        <v>150</v>
      </c>
      <c r="E22" s="88">
        <f>F22+G22+H22+I22+J22+K22+L22</f>
        <v>37411690.3</v>
      </c>
      <c r="F22" s="88">
        <v>0</v>
      </c>
      <c r="G22" s="88">
        <v>2430000</v>
      </c>
      <c r="H22" s="88">
        <v>0</v>
      </c>
      <c r="I22" s="88">
        <v>34981690.3</v>
      </c>
      <c r="J22" s="88">
        <v>0</v>
      </c>
      <c r="K22" s="88">
        <v>0</v>
      </c>
      <c r="L22" s="88">
        <v>0</v>
      </c>
      <c r="M22" s="401"/>
      <c r="N22" s="398"/>
      <c r="O22" s="398"/>
      <c r="P22" s="398"/>
      <c r="Q22" s="407"/>
      <c r="R22" s="398"/>
      <c r="S22" s="398"/>
      <c r="T22" s="398"/>
      <c r="U22" s="404"/>
    </row>
    <row r="23" spans="1:21" ht="12.75">
      <c r="A23" s="375"/>
      <c r="B23" s="287"/>
      <c r="C23" s="375"/>
      <c r="D23" s="87" t="s">
        <v>148</v>
      </c>
      <c r="E23" s="88">
        <f>F23+G23+H23+I23+J23+K23+L23</f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401"/>
      <c r="N23" s="398"/>
      <c r="O23" s="398"/>
      <c r="P23" s="398"/>
      <c r="Q23" s="407"/>
      <c r="R23" s="398"/>
      <c r="S23" s="398"/>
      <c r="T23" s="398"/>
      <c r="U23" s="404"/>
    </row>
    <row r="24" spans="1:21" ht="12.75">
      <c r="A24" s="375"/>
      <c r="B24" s="287"/>
      <c r="C24" s="375"/>
      <c r="D24" s="87" t="s">
        <v>149</v>
      </c>
      <c r="E24" s="88">
        <f>F24+G24+H24+I24+J24+K24+L24</f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401"/>
      <c r="N24" s="398"/>
      <c r="O24" s="398"/>
      <c r="P24" s="398"/>
      <c r="Q24" s="407"/>
      <c r="R24" s="398"/>
      <c r="S24" s="398"/>
      <c r="T24" s="398"/>
      <c r="U24" s="404"/>
    </row>
    <row r="25" spans="1:21" ht="12.75">
      <c r="A25" s="375"/>
      <c r="B25" s="287"/>
      <c r="C25" s="375"/>
      <c r="D25" s="87" t="s">
        <v>151</v>
      </c>
      <c r="E25" s="88">
        <f>F25+G25+H25+I25+J25+K25+L25</f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402"/>
      <c r="N25" s="398"/>
      <c r="O25" s="398"/>
      <c r="P25" s="398"/>
      <c r="Q25" s="407"/>
      <c r="R25" s="398"/>
      <c r="S25" s="398"/>
      <c r="T25" s="398"/>
      <c r="U25" s="405"/>
    </row>
    <row r="26" spans="1:21" ht="12.75">
      <c r="A26" s="286" t="s">
        <v>203</v>
      </c>
      <c r="B26" s="353" t="s">
        <v>357</v>
      </c>
      <c r="C26" s="277" t="s">
        <v>132</v>
      </c>
      <c r="D26" s="85" t="s">
        <v>152</v>
      </c>
      <c r="E26" s="86">
        <f>E28+E29+E30+E31</f>
        <v>20333549.72</v>
      </c>
      <c r="F26" s="86">
        <f aca="true" t="shared" si="3" ref="F26:L26">F28+F29+F30+F31</f>
        <v>20333549.72</v>
      </c>
      <c r="G26" s="86">
        <f t="shared" si="3"/>
        <v>0</v>
      </c>
      <c r="H26" s="86">
        <f t="shared" si="3"/>
        <v>0</v>
      </c>
      <c r="I26" s="86">
        <f t="shared" si="3"/>
        <v>0</v>
      </c>
      <c r="J26" s="86">
        <f t="shared" si="3"/>
        <v>0</v>
      </c>
      <c r="K26" s="86">
        <f t="shared" si="3"/>
        <v>0</v>
      </c>
      <c r="L26" s="86">
        <f t="shared" si="3"/>
        <v>0</v>
      </c>
      <c r="M26" s="400" t="s">
        <v>327</v>
      </c>
      <c r="N26" s="272">
        <v>1</v>
      </c>
      <c r="O26" s="272"/>
      <c r="P26" s="269"/>
      <c r="Q26" s="269"/>
      <c r="R26" s="269"/>
      <c r="S26" s="269"/>
      <c r="T26" s="269"/>
      <c r="U26" s="324" t="s">
        <v>59</v>
      </c>
    </row>
    <row r="27" spans="1:21" ht="12.75">
      <c r="A27" s="286"/>
      <c r="B27" s="354"/>
      <c r="C27" s="278"/>
      <c r="D27" s="283" t="s">
        <v>177</v>
      </c>
      <c r="E27" s="284"/>
      <c r="F27" s="284"/>
      <c r="G27" s="284"/>
      <c r="H27" s="284"/>
      <c r="I27" s="284"/>
      <c r="J27" s="284"/>
      <c r="K27" s="284"/>
      <c r="L27" s="285"/>
      <c r="M27" s="401"/>
      <c r="N27" s="273"/>
      <c r="O27" s="273"/>
      <c r="P27" s="270"/>
      <c r="Q27" s="270"/>
      <c r="R27" s="270"/>
      <c r="S27" s="270"/>
      <c r="T27" s="270"/>
      <c r="U27" s="325"/>
    </row>
    <row r="28" spans="1:21" ht="12.75">
      <c r="A28" s="286"/>
      <c r="B28" s="354"/>
      <c r="C28" s="278"/>
      <c r="D28" s="87" t="s">
        <v>150</v>
      </c>
      <c r="E28" s="88">
        <f>F28+G28+H28+I28+J28+K28+L28</f>
        <v>20333549.72</v>
      </c>
      <c r="F28" s="88">
        <v>20333549.72</v>
      </c>
      <c r="G28" s="88"/>
      <c r="H28" s="88"/>
      <c r="I28" s="88"/>
      <c r="J28" s="88"/>
      <c r="K28" s="88"/>
      <c r="L28" s="88"/>
      <c r="M28" s="401"/>
      <c r="N28" s="273"/>
      <c r="O28" s="273"/>
      <c r="P28" s="270"/>
      <c r="Q28" s="270"/>
      <c r="R28" s="270"/>
      <c r="S28" s="270"/>
      <c r="T28" s="270"/>
      <c r="U28" s="325"/>
    </row>
    <row r="29" spans="1:21" ht="12.75">
      <c r="A29" s="286"/>
      <c r="B29" s="354"/>
      <c r="C29" s="278"/>
      <c r="D29" s="87" t="s">
        <v>148</v>
      </c>
      <c r="E29" s="88">
        <f>F29+G29+H29+I29+J29+K29+L29</f>
        <v>0</v>
      </c>
      <c r="F29" s="88"/>
      <c r="G29" s="88"/>
      <c r="H29" s="88"/>
      <c r="I29" s="88"/>
      <c r="J29" s="88"/>
      <c r="K29" s="88"/>
      <c r="L29" s="88"/>
      <c r="M29" s="401"/>
      <c r="N29" s="273"/>
      <c r="O29" s="273"/>
      <c r="P29" s="270"/>
      <c r="Q29" s="270"/>
      <c r="R29" s="270"/>
      <c r="S29" s="270"/>
      <c r="T29" s="270"/>
      <c r="U29" s="325"/>
    </row>
    <row r="30" spans="1:21" ht="12.75">
      <c r="A30" s="286"/>
      <c r="B30" s="354"/>
      <c r="C30" s="278"/>
      <c r="D30" s="87" t="s">
        <v>149</v>
      </c>
      <c r="E30" s="88">
        <f>F30+G30+H30+I30+J30+K30+L30</f>
        <v>0</v>
      </c>
      <c r="F30" s="88"/>
      <c r="G30" s="88"/>
      <c r="H30" s="88"/>
      <c r="I30" s="88"/>
      <c r="J30" s="88"/>
      <c r="K30" s="88"/>
      <c r="L30" s="88"/>
      <c r="M30" s="401"/>
      <c r="N30" s="273"/>
      <c r="O30" s="273"/>
      <c r="P30" s="270"/>
      <c r="Q30" s="270"/>
      <c r="R30" s="270"/>
      <c r="S30" s="270"/>
      <c r="T30" s="270"/>
      <c r="U30" s="325"/>
    </row>
    <row r="31" spans="1:21" ht="43.5" customHeight="1">
      <c r="A31" s="286"/>
      <c r="B31" s="355"/>
      <c r="C31" s="279"/>
      <c r="D31" s="87" t="s">
        <v>151</v>
      </c>
      <c r="E31" s="88">
        <f>F31+G31+H31+I31+J31+K31+L31</f>
        <v>0</v>
      </c>
      <c r="F31" s="88"/>
      <c r="G31" s="88"/>
      <c r="H31" s="88"/>
      <c r="I31" s="88"/>
      <c r="J31" s="88"/>
      <c r="K31" s="88"/>
      <c r="L31" s="88"/>
      <c r="M31" s="402"/>
      <c r="N31" s="276"/>
      <c r="O31" s="276"/>
      <c r="P31" s="271"/>
      <c r="Q31" s="271"/>
      <c r="R31" s="271"/>
      <c r="S31" s="271"/>
      <c r="T31" s="271"/>
      <c r="U31" s="326"/>
    </row>
    <row r="32" spans="1:21" ht="32.25" customHeight="1">
      <c r="A32" s="338" t="s">
        <v>204</v>
      </c>
      <c r="B32" s="353" t="s">
        <v>358</v>
      </c>
      <c r="C32" s="277">
        <v>2015</v>
      </c>
      <c r="D32" s="87" t="s">
        <v>152</v>
      </c>
      <c r="E32" s="88">
        <f>+F32+G32+H32+I32+J32+K32+L32</f>
        <v>3694340</v>
      </c>
      <c r="F32" s="88">
        <f aca="true" t="shared" si="4" ref="F32:L32">+F34</f>
        <v>0</v>
      </c>
      <c r="G32" s="88">
        <f t="shared" si="4"/>
        <v>3694340</v>
      </c>
      <c r="H32" s="88">
        <f t="shared" si="4"/>
        <v>0</v>
      </c>
      <c r="I32" s="88">
        <f t="shared" si="4"/>
        <v>0</v>
      </c>
      <c r="J32" s="88">
        <f t="shared" si="4"/>
        <v>0</v>
      </c>
      <c r="K32" s="88">
        <f t="shared" si="4"/>
        <v>0</v>
      </c>
      <c r="L32" s="88">
        <f t="shared" si="4"/>
        <v>0</v>
      </c>
      <c r="M32" s="222"/>
      <c r="N32" s="220"/>
      <c r="O32" s="220"/>
      <c r="P32" s="219"/>
      <c r="Q32" s="219"/>
      <c r="R32" s="219"/>
      <c r="S32" s="219"/>
      <c r="T32" s="219"/>
      <c r="U32" s="221"/>
    </row>
    <row r="33" spans="1:21" ht="20.25" customHeight="1">
      <c r="A33" s="408"/>
      <c r="B33" s="410"/>
      <c r="C33" s="408"/>
      <c r="D33" s="87" t="s">
        <v>177</v>
      </c>
      <c r="E33" s="412"/>
      <c r="F33" s="413"/>
      <c r="G33" s="413"/>
      <c r="H33" s="413"/>
      <c r="I33" s="413"/>
      <c r="J33" s="413"/>
      <c r="K33" s="413"/>
      <c r="L33" s="414"/>
      <c r="M33" s="222"/>
      <c r="N33" s="220"/>
      <c r="O33" s="220"/>
      <c r="P33" s="219"/>
      <c r="Q33" s="219"/>
      <c r="R33" s="219"/>
      <c r="S33" s="219"/>
      <c r="T33" s="219"/>
      <c r="U33" s="221"/>
    </row>
    <row r="34" spans="1:21" ht="32.25" customHeight="1">
      <c r="A34" s="409"/>
      <c r="B34" s="411"/>
      <c r="C34" s="409"/>
      <c r="D34" s="87" t="s">
        <v>150</v>
      </c>
      <c r="E34" s="88">
        <v>0</v>
      </c>
      <c r="F34" s="88">
        <v>0</v>
      </c>
      <c r="G34" s="88">
        <v>3694340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222"/>
      <c r="N34" s="220"/>
      <c r="O34" s="220"/>
      <c r="P34" s="219"/>
      <c r="Q34" s="219"/>
      <c r="R34" s="219"/>
      <c r="S34" s="219"/>
      <c r="T34" s="219"/>
      <c r="U34" s="221"/>
    </row>
    <row r="35" spans="1:21" ht="13.5">
      <c r="A35" s="297"/>
      <c r="B35" s="330" t="s">
        <v>236</v>
      </c>
      <c r="C35" s="297"/>
      <c r="D35" s="90" t="s">
        <v>152</v>
      </c>
      <c r="E35" s="91">
        <f aca="true" t="shared" si="5" ref="E35:L35">E37+E38+E39+E40</f>
        <v>648912477.95</v>
      </c>
      <c r="F35" s="91">
        <f t="shared" si="5"/>
        <v>361141052.47</v>
      </c>
      <c r="G35" s="91">
        <f t="shared" si="5"/>
        <v>252789735.18</v>
      </c>
      <c r="H35" s="91">
        <f t="shared" si="5"/>
        <v>0</v>
      </c>
      <c r="I35" s="91">
        <f t="shared" si="5"/>
        <v>34981690.3</v>
      </c>
      <c r="J35" s="91">
        <f t="shared" si="5"/>
        <v>0</v>
      </c>
      <c r="K35" s="91">
        <f t="shared" si="5"/>
        <v>0</v>
      </c>
      <c r="L35" s="91">
        <f t="shared" si="5"/>
        <v>0</v>
      </c>
      <c r="M35" s="309"/>
      <c r="N35" s="303"/>
      <c r="O35" s="303"/>
      <c r="P35" s="303"/>
      <c r="Q35" s="303"/>
      <c r="R35" s="303"/>
      <c r="S35" s="303"/>
      <c r="T35" s="303"/>
      <c r="U35" s="306"/>
    </row>
    <row r="36" spans="1:21" ht="12.75">
      <c r="A36" s="297"/>
      <c r="B36" s="331"/>
      <c r="C36" s="297"/>
      <c r="D36" s="312" t="s">
        <v>177</v>
      </c>
      <c r="E36" s="313"/>
      <c r="F36" s="313"/>
      <c r="G36" s="313"/>
      <c r="H36" s="313"/>
      <c r="I36" s="313"/>
      <c r="J36" s="313"/>
      <c r="K36" s="313"/>
      <c r="L36" s="314"/>
      <c r="M36" s="310"/>
      <c r="N36" s="304"/>
      <c r="O36" s="304"/>
      <c r="P36" s="304"/>
      <c r="Q36" s="304"/>
      <c r="R36" s="304"/>
      <c r="S36" s="304"/>
      <c r="T36" s="304"/>
      <c r="U36" s="307"/>
    </row>
    <row r="37" spans="1:21" ht="13.5">
      <c r="A37" s="297"/>
      <c r="B37" s="331"/>
      <c r="C37" s="297"/>
      <c r="D37" s="92" t="s">
        <v>150</v>
      </c>
      <c r="E37" s="91">
        <f>F37+G37+H37+I37+J37+K37+L37</f>
        <v>446341593.77000004</v>
      </c>
      <c r="F37" s="93">
        <f>F10+F16+F22+F28</f>
        <v>207284568.29</v>
      </c>
      <c r="G37" s="93">
        <f>G10+G16+G22+G28+G34</f>
        <v>204075335.18</v>
      </c>
      <c r="H37" s="93">
        <f>H10+H16+H22+H28</f>
        <v>0</v>
      </c>
      <c r="I37" s="93">
        <f>I10+I16+I22+I28</f>
        <v>34981690.3</v>
      </c>
      <c r="J37" s="93">
        <f>J10+J16+J22+J28</f>
        <v>0</v>
      </c>
      <c r="K37" s="93">
        <f>K10+K16+K22+K28</f>
        <v>0</v>
      </c>
      <c r="L37" s="93">
        <f>L10+L16+L22+L28</f>
        <v>0</v>
      </c>
      <c r="M37" s="310"/>
      <c r="N37" s="304"/>
      <c r="O37" s="304"/>
      <c r="P37" s="304"/>
      <c r="Q37" s="304"/>
      <c r="R37" s="304"/>
      <c r="S37" s="304"/>
      <c r="T37" s="304"/>
      <c r="U37" s="307"/>
    </row>
    <row r="38" spans="1:21" ht="13.5">
      <c r="A38" s="297"/>
      <c r="B38" s="331"/>
      <c r="C38" s="297"/>
      <c r="D38" s="92" t="s">
        <v>148</v>
      </c>
      <c r="E38" s="91">
        <f>F38+G38+H38+I38+J38+K38+L38</f>
        <v>0</v>
      </c>
      <c r="F38" s="93">
        <f>F11+F17+F23+F29</f>
        <v>0</v>
      </c>
      <c r="G38" s="93">
        <f aca="true" t="shared" si="6" ref="G38:L38">G11+G17+G23+G29</f>
        <v>0</v>
      </c>
      <c r="H38" s="93">
        <f t="shared" si="6"/>
        <v>0</v>
      </c>
      <c r="I38" s="93">
        <f t="shared" si="6"/>
        <v>0</v>
      </c>
      <c r="J38" s="93">
        <f t="shared" si="6"/>
        <v>0</v>
      </c>
      <c r="K38" s="93">
        <f t="shared" si="6"/>
        <v>0</v>
      </c>
      <c r="L38" s="93">
        <f t="shared" si="6"/>
        <v>0</v>
      </c>
      <c r="M38" s="310"/>
      <c r="N38" s="304"/>
      <c r="O38" s="304"/>
      <c r="P38" s="304"/>
      <c r="Q38" s="304"/>
      <c r="R38" s="304"/>
      <c r="S38" s="304"/>
      <c r="T38" s="304"/>
      <c r="U38" s="307"/>
    </row>
    <row r="39" spans="1:21" ht="13.5">
      <c r="A39" s="297"/>
      <c r="B39" s="331"/>
      <c r="C39" s="297"/>
      <c r="D39" s="92" t="s">
        <v>149</v>
      </c>
      <c r="E39" s="91">
        <f>F39+G39+H39+I39+J39+K39+L39</f>
        <v>202570884.18</v>
      </c>
      <c r="F39" s="93">
        <f>F12+F18+F24+F30</f>
        <v>153856484.18</v>
      </c>
      <c r="G39" s="93">
        <f aca="true" t="shared" si="7" ref="G39:L39">G12+G18+G24+G30</f>
        <v>48714400</v>
      </c>
      <c r="H39" s="93">
        <f t="shared" si="7"/>
        <v>0</v>
      </c>
      <c r="I39" s="93">
        <f t="shared" si="7"/>
        <v>0</v>
      </c>
      <c r="J39" s="93">
        <f t="shared" si="7"/>
        <v>0</v>
      </c>
      <c r="K39" s="93">
        <f t="shared" si="7"/>
        <v>0</v>
      </c>
      <c r="L39" s="93">
        <f t="shared" si="7"/>
        <v>0</v>
      </c>
      <c r="M39" s="310"/>
      <c r="N39" s="304"/>
      <c r="O39" s="304"/>
      <c r="P39" s="304"/>
      <c r="Q39" s="304"/>
      <c r="R39" s="304"/>
      <c r="S39" s="304"/>
      <c r="T39" s="304"/>
      <c r="U39" s="307"/>
    </row>
    <row r="40" spans="1:21" ht="13.5">
      <c r="A40" s="297"/>
      <c r="B40" s="332"/>
      <c r="C40" s="297"/>
      <c r="D40" s="92" t="s">
        <v>151</v>
      </c>
      <c r="E40" s="91">
        <f>F40+G40+H40+I40+J40+K40+L40</f>
        <v>0</v>
      </c>
      <c r="F40" s="93"/>
      <c r="G40" s="93"/>
      <c r="H40" s="93"/>
      <c r="I40" s="93"/>
      <c r="J40" s="93"/>
      <c r="K40" s="93"/>
      <c r="L40" s="93"/>
      <c r="M40" s="311"/>
      <c r="N40" s="305"/>
      <c r="O40" s="305"/>
      <c r="P40" s="305"/>
      <c r="Q40" s="305"/>
      <c r="R40" s="305"/>
      <c r="S40" s="305"/>
      <c r="T40" s="305"/>
      <c r="U40" s="308"/>
    </row>
    <row r="41" spans="1:21" ht="12.75">
      <c r="A41" s="84">
        <v>2</v>
      </c>
      <c r="B41" s="288" t="s">
        <v>55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90"/>
    </row>
    <row r="42" spans="1:21" ht="12.75">
      <c r="A42" s="286" t="s">
        <v>208</v>
      </c>
      <c r="B42" s="353" t="s">
        <v>302</v>
      </c>
      <c r="C42" s="277" t="s">
        <v>132</v>
      </c>
      <c r="D42" s="85" t="s">
        <v>152</v>
      </c>
      <c r="E42" s="86">
        <f>E44+E45+E46+E47</f>
        <v>6174402.86</v>
      </c>
      <c r="F42" s="86">
        <f aca="true" t="shared" si="8" ref="F42:L42">F44+F45+F46+F47</f>
        <v>4391930.86</v>
      </c>
      <c r="G42" s="86">
        <f t="shared" si="8"/>
        <v>1782472</v>
      </c>
      <c r="H42" s="86">
        <f t="shared" si="8"/>
        <v>0</v>
      </c>
      <c r="I42" s="86">
        <f t="shared" si="8"/>
        <v>0</v>
      </c>
      <c r="J42" s="86">
        <f t="shared" si="8"/>
        <v>0</v>
      </c>
      <c r="K42" s="86">
        <f t="shared" si="8"/>
        <v>0</v>
      </c>
      <c r="L42" s="86">
        <f t="shared" si="8"/>
        <v>0</v>
      </c>
      <c r="M42" s="324" t="s">
        <v>93</v>
      </c>
      <c r="N42" s="272">
        <v>1</v>
      </c>
      <c r="O42" s="272">
        <v>1</v>
      </c>
      <c r="P42" s="272">
        <v>1</v>
      </c>
      <c r="Q42" s="272">
        <v>1</v>
      </c>
      <c r="R42" s="272">
        <v>1</v>
      </c>
      <c r="S42" s="272">
        <v>1</v>
      </c>
      <c r="T42" s="272">
        <v>1</v>
      </c>
      <c r="U42" s="324" t="s">
        <v>343</v>
      </c>
    </row>
    <row r="43" spans="1:21" ht="12.75">
      <c r="A43" s="286"/>
      <c r="B43" s="354"/>
      <c r="C43" s="278"/>
      <c r="D43" s="283" t="s">
        <v>177</v>
      </c>
      <c r="E43" s="284"/>
      <c r="F43" s="284"/>
      <c r="G43" s="284"/>
      <c r="H43" s="284"/>
      <c r="I43" s="284"/>
      <c r="J43" s="284"/>
      <c r="K43" s="284"/>
      <c r="L43" s="285"/>
      <c r="M43" s="325"/>
      <c r="N43" s="273"/>
      <c r="O43" s="273"/>
      <c r="P43" s="273"/>
      <c r="Q43" s="273"/>
      <c r="R43" s="273"/>
      <c r="S43" s="273"/>
      <c r="T43" s="273"/>
      <c r="U43" s="325"/>
    </row>
    <row r="44" spans="1:21" ht="12.75">
      <c r="A44" s="286"/>
      <c r="B44" s="354"/>
      <c r="C44" s="278"/>
      <c r="D44" s="87" t="s">
        <v>150</v>
      </c>
      <c r="E44" s="88">
        <f>F44+G44+H44+I44+J44+K44+L44</f>
        <v>6174402.86</v>
      </c>
      <c r="F44" s="88">
        <v>4391930.86</v>
      </c>
      <c r="G44" s="88">
        <f>1782472</f>
        <v>1782472</v>
      </c>
      <c r="H44" s="88"/>
      <c r="I44" s="88"/>
      <c r="J44" s="88"/>
      <c r="K44" s="88"/>
      <c r="L44" s="88"/>
      <c r="M44" s="325"/>
      <c r="N44" s="273"/>
      <c r="O44" s="273"/>
      <c r="P44" s="273"/>
      <c r="Q44" s="273"/>
      <c r="R44" s="273"/>
      <c r="S44" s="273"/>
      <c r="T44" s="273"/>
      <c r="U44" s="325"/>
    </row>
    <row r="45" spans="1:21" ht="12.75">
      <c r="A45" s="286"/>
      <c r="B45" s="354"/>
      <c r="C45" s="278"/>
      <c r="D45" s="87" t="s">
        <v>148</v>
      </c>
      <c r="E45" s="88">
        <f>F45+G45+H45+I45+J45+K45+L45</f>
        <v>0</v>
      </c>
      <c r="F45" s="88"/>
      <c r="G45" s="88"/>
      <c r="H45" s="88"/>
      <c r="I45" s="88"/>
      <c r="J45" s="88"/>
      <c r="K45" s="88"/>
      <c r="L45" s="88"/>
      <c r="M45" s="325"/>
      <c r="N45" s="273"/>
      <c r="O45" s="273"/>
      <c r="P45" s="273"/>
      <c r="Q45" s="273"/>
      <c r="R45" s="273"/>
      <c r="S45" s="273"/>
      <c r="T45" s="273"/>
      <c r="U45" s="325"/>
    </row>
    <row r="46" spans="1:21" ht="12.75">
      <c r="A46" s="286"/>
      <c r="B46" s="354"/>
      <c r="C46" s="278"/>
      <c r="D46" s="87" t="s">
        <v>149</v>
      </c>
      <c r="E46" s="88">
        <f>F46+G46+H46+I46+J46+K46+L46</f>
        <v>0</v>
      </c>
      <c r="F46" s="88"/>
      <c r="G46" s="88"/>
      <c r="H46" s="88"/>
      <c r="I46" s="88"/>
      <c r="J46" s="88"/>
      <c r="K46" s="88"/>
      <c r="L46" s="88"/>
      <c r="M46" s="325"/>
      <c r="N46" s="273"/>
      <c r="O46" s="273"/>
      <c r="P46" s="273"/>
      <c r="Q46" s="273"/>
      <c r="R46" s="273"/>
      <c r="S46" s="273"/>
      <c r="T46" s="273"/>
      <c r="U46" s="325"/>
    </row>
    <row r="47" spans="1:21" ht="12.75">
      <c r="A47" s="286"/>
      <c r="B47" s="355"/>
      <c r="C47" s="279"/>
      <c r="D47" s="87" t="s">
        <v>151</v>
      </c>
      <c r="E47" s="88">
        <f>F47+G47+H47+I47+J47+K47+L47</f>
        <v>0</v>
      </c>
      <c r="F47" s="88"/>
      <c r="G47" s="88"/>
      <c r="H47" s="88"/>
      <c r="I47" s="88"/>
      <c r="J47" s="88"/>
      <c r="K47" s="88"/>
      <c r="L47" s="88"/>
      <c r="M47" s="326"/>
      <c r="N47" s="276"/>
      <c r="O47" s="276"/>
      <c r="P47" s="276"/>
      <c r="Q47" s="276"/>
      <c r="R47" s="276"/>
      <c r="S47" s="276"/>
      <c r="T47" s="276"/>
      <c r="U47" s="326"/>
    </row>
    <row r="48" spans="1:21" ht="12.75" customHeight="1">
      <c r="A48" s="286" t="s">
        <v>209</v>
      </c>
      <c r="B48" s="353" t="s">
        <v>303</v>
      </c>
      <c r="C48" s="277" t="s">
        <v>132</v>
      </c>
      <c r="D48" s="85" t="s">
        <v>152</v>
      </c>
      <c r="E48" s="86">
        <f>E50+E51+E52+E53</f>
        <v>124459817.64999999</v>
      </c>
      <c r="F48" s="86">
        <f aca="true" t="shared" si="9" ref="F48:L48">F50+F51+F52+F53</f>
        <v>9671279.75</v>
      </c>
      <c r="G48" s="86">
        <f t="shared" si="9"/>
        <v>9843467</v>
      </c>
      <c r="H48" s="86">
        <f t="shared" si="9"/>
        <v>0</v>
      </c>
      <c r="I48" s="86">
        <f t="shared" si="9"/>
        <v>0</v>
      </c>
      <c r="J48" s="86">
        <f t="shared" si="9"/>
        <v>34981690.3</v>
      </c>
      <c r="K48" s="86">
        <f t="shared" si="9"/>
        <v>34981690.3</v>
      </c>
      <c r="L48" s="86">
        <f t="shared" si="9"/>
        <v>34981690.3</v>
      </c>
      <c r="M48" s="324" t="s">
        <v>92</v>
      </c>
      <c r="N48" s="272">
        <v>1</v>
      </c>
      <c r="O48" s="272">
        <v>1</v>
      </c>
      <c r="P48" s="272">
        <v>1</v>
      </c>
      <c r="Q48" s="272">
        <v>1</v>
      </c>
      <c r="R48" s="272">
        <v>1</v>
      </c>
      <c r="S48" s="272">
        <v>1</v>
      </c>
      <c r="T48" s="272">
        <v>1</v>
      </c>
      <c r="U48" s="324" t="s">
        <v>343</v>
      </c>
    </row>
    <row r="49" spans="1:21" ht="12.75">
      <c r="A49" s="286"/>
      <c r="B49" s="354"/>
      <c r="C49" s="278"/>
      <c r="D49" s="283" t="s">
        <v>177</v>
      </c>
      <c r="E49" s="284"/>
      <c r="F49" s="284"/>
      <c r="G49" s="284"/>
      <c r="H49" s="284"/>
      <c r="I49" s="284"/>
      <c r="J49" s="284"/>
      <c r="K49" s="284"/>
      <c r="L49" s="285"/>
      <c r="M49" s="325"/>
      <c r="N49" s="273"/>
      <c r="O49" s="273"/>
      <c r="P49" s="273"/>
      <c r="Q49" s="273"/>
      <c r="R49" s="273"/>
      <c r="S49" s="273"/>
      <c r="T49" s="273"/>
      <c r="U49" s="325"/>
    </row>
    <row r="50" spans="1:21" ht="12.75">
      <c r="A50" s="286"/>
      <c r="B50" s="354"/>
      <c r="C50" s="278"/>
      <c r="D50" s="87" t="s">
        <v>150</v>
      </c>
      <c r="E50" s="88">
        <f>F50+G50+H50+I50+J50+K50+L50</f>
        <v>124459817.64999999</v>
      </c>
      <c r="F50" s="88">
        <v>9671279.75</v>
      </c>
      <c r="G50" s="88">
        <f>5987749.76+3705717.24+150000</f>
        <v>9843467</v>
      </c>
      <c r="H50" s="88"/>
      <c r="I50" s="88"/>
      <c r="J50" s="88">
        <v>34981690.3</v>
      </c>
      <c r="K50" s="88">
        <v>34981690.3</v>
      </c>
      <c r="L50" s="88">
        <v>34981690.3</v>
      </c>
      <c r="M50" s="325"/>
      <c r="N50" s="273"/>
      <c r="O50" s="273"/>
      <c r="P50" s="273"/>
      <c r="Q50" s="273"/>
      <c r="R50" s="273"/>
      <c r="S50" s="273"/>
      <c r="T50" s="273"/>
      <c r="U50" s="325"/>
    </row>
    <row r="51" spans="1:21" ht="12.75">
      <c r="A51" s="286"/>
      <c r="B51" s="354"/>
      <c r="C51" s="278"/>
      <c r="D51" s="87" t="s">
        <v>148</v>
      </c>
      <c r="E51" s="88">
        <f>F51+G51+H51+I51+J51+K51+L51</f>
        <v>0</v>
      </c>
      <c r="F51" s="88"/>
      <c r="G51" s="88"/>
      <c r="H51" s="88"/>
      <c r="I51" s="88"/>
      <c r="J51" s="88"/>
      <c r="K51" s="88"/>
      <c r="L51" s="88"/>
      <c r="M51" s="325"/>
      <c r="N51" s="273"/>
      <c r="O51" s="273"/>
      <c r="P51" s="273"/>
      <c r="Q51" s="273"/>
      <c r="R51" s="273"/>
      <c r="S51" s="273"/>
      <c r="T51" s="273"/>
      <c r="U51" s="325"/>
    </row>
    <row r="52" spans="1:21" ht="12.75">
      <c r="A52" s="286"/>
      <c r="B52" s="354"/>
      <c r="C52" s="278"/>
      <c r="D52" s="87" t="s">
        <v>149</v>
      </c>
      <c r="E52" s="88">
        <f>F52+G52+H52+I52+J52+K52+L52</f>
        <v>0</v>
      </c>
      <c r="F52" s="88"/>
      <c r="G52" s="88"/>
      <c r="H52" s="88"/>
      <c r="I52" s="88"/>
      <c r="J52" s="88"/>
      <c r="K52" s="88"/>
      <c r="L52" s="88"/>
      <c r="M52" s="325"/>
      <c r="N52" s="273"/>
      <c r="O52" s="273"/>
      <c r="P52" s="273"/>
      <c r="Q52" s="273"/>
      <c r="R52" s="273"/>
      <c r="S52" s="273"/>
      <c r="T52" s="273"/>
      <c r="U52" s="325"/>
    </row>
    <row r="53" spans="1:21" ht="12.75">
      <c r="A53" s="286"/>
      <c r="B53" s="355"/>
      <c r="C53" s="279"/>
      <c r="D53" s="87" t="s">
        <v>151</v>
      </c>
      <c r="E53" s="88">
        <f>F53+G53+H53+I53+J53+K53+L53</f>
        <v>0</v>
      </c>
      <c r="F53" s="88"/>
      <c r="G53" s="88"/>
      <c r="H53" s="88"/>
      <c r="I53" s="88"/>
      <c r="J53" s="88"/>
      <c r="K53" s="88"/>
      <c r="L53" s="88"/>
      <c r="M53" s="326"/>
      <c r="N53" s="276"/>
      <c r="O53" s="276"/>
      <c r="P53" s="276"/>
      <c r="Q53" s="276"/>
      <c r="R53" s="276"/>
      <c r="S53" s="276"/>
      <c r="T53" s="276"/>
      <c r="U53" s="326"/>
    </row>
    <row r="54" spans="1:21" ht="12.75">
      <c r="A54" s="286" t="s">
        <v>210</v>
      </c>
      <c r="B54" s="353" t="s">
        <v>304</v>
      </c>
      <c r="C54" s="277" t="s">
        <v>132</v>
      </c>
      <c r="D54" s="85" t="s">
        <v>152</v>
      </c>
      <c r="E54" s="86">
        <f>E56+E57+E58+E59</f>
        <v>0</v>
      </c>
      <c r="F54" s="86">
        <f aca="true" t="shared" si="10" ref="F54:L54">F56+F57+F58+F59</f>
        <v>0</v>
      </c>
      <c r="G54" s="86">
        <f t="shared" si="10"/>
        <v>0</v>
      </c>
      <c r="H54" s="86">
        <f t="shared" si="10"/>
        <v>0</v>
      </c>
      <c r="I54" s="86">
        <f t="shared" si="10"/>
        <v>0</v>
      </c>
      <c r="J54" s="86">
        <f t="shared" si="10"/>
        <v>0</v>
      </c>
      <c r="K54" s="86">
        <f t="shared" si="10"/>
        <v>0</v>
      </c>
      <c r="L54" s="86">
        <f t="shared" si="10"/>
        <v>0</v>
      </c>
      <c r="M54" s="324" t="s">
        <v>91</v>
      </c>
      <c r="N54" s="272">
        <v>1</v>
      </c>
      <c r="O54" s="272">
        <v>1</v>
      </c>
      <c r="P54" s="272">
        <v>1</v>
      </c>
      <c r="Q54" s="272">
        <v>1</v>
      </c>
      <c r="R54" s="272">
        <v>1</v>
      </c>
      <c r="S54" s="272">
        <v>1</v>
      </c>
      <c r="T54" s="272">
        <v>1</v>
      </c>
      <c r="U54" s="324" t="s">
        <v>343</v>
      </c>
    </row>
    <row r="55" spans="1:21" ht="12.75">
      <c r="A55" s="286"/>
      <c r="B55" s="354"/>
      <c r="C55" s="278"/>
      <c r="D55" s="283" t="s">
        <v>177</v>
      </c>
      <c r="E55" s="284"/>
      <c r="F55" s="284"/>
      <c r="G55" s="284"/>
      <c r="H55" s="284"/>
      <c r="I55" s="284"/>
      <c r="J55" s="284"/>
      <c r="K55" s="284"/>
      <c r="L55" s="285"/>
      <c r="M55" s="325"/>
      <c r="N55" s="273"/>
      <c r="O55" s="273"/>
      <c r="P55" s="273"/>
      <c r="Q55" s="273"/>
      <c r="R55" s="273"/>
      <c r="S55" s="273"/>
      <c r="T55" s="273"/>
      <c r="U55" s="325"/>
    </row>
    <row r="56" spans="1:21" ht="12.75">
      <c r="A56" s="286"/>
      <c r="B56" s="354"/>
      <c r="C56" s="278"/>
      <c r="D56" s="87" t="s">
        <v>150</v>
      </c>
      <c r="E56" s="88">
        <f>F56+G56+H56+I56+J56+K56+L56</f>
        <v>0</v>
      </c>
      <c r="F56" s="88"/>
      <c r="G56" s="88"/>
      <c r="H56" s="88"/>
      <c r="I56" s="88"/>
      <c r="J56" s="88"/>
      <c r="K56" s="88"/>
      <c r="L56" s="88"/>
      <c r="M56" s="325"/>
      <c r="N56" s="273"/>
      <c r="O56" s="273"/>
      <c r="P56" s="273"/>
      <c r="Q56" s="273"/>
      <c r="R56" s="273"/>
      <c r="S56" s="273"/>
      <c r="T56" s="273"/>
      <c r="U56" s="325"/>
    </row>
    <row r="57" spans="1:21" ht="12.75">
      <c r="A57" s="286"/>
      <c r="B57" s="354"/>
      <c r="C57" s="278"/>
      <c r="D57" s="87" t="s">
        <v>148</v>
      </c>
      <c r="E57" s="88">
        <f>F57+G57+H57+I57+J57+K57+L57</f>
        <v>0</v>
      </c>
      <c r="F57" s="88"/>
      <c r="G57" s="88"/>
      <c r="H57" s="88"/>
      <c r="I57" s="88"/>
      <c r="J57" s="88"/>
      <c r="K57" s="88"/>
      <c r="L57" s="88"/>
      <c r="M57" s="325"/>
      <c r="N57" s="273"/>
      <c r="O57" s="273"/>
      <c r="P57" s="273"/>
      <c r="Q57" s="273"/>
      <c r="R57" s="273"/>
      <c r="S57" s="273"/>
      <c r="T57" s="273"/>
      <c r="U57" s="325"/>
    </row>
    <row r="58" spans="1:21" ht="12.75">
      <c r="A58" s="286"/>
      <c r="B58" s="354"/>
      <c r="C58" s="278"/>
      <c r="D58" s="87" t="s">
        <v>149</v>
      </c>
      <c r="E58" s="88">
        <f>F58+G58+H58+I58+J58+K58+L58</f>
        <v>0</v>
      </c>
      <c r="F58" s="88"/>
      <c r="G58" s="88"/>
      <c r="H58" s="88"/>
      <c r="I58" s="88"/>
      <c r="J58" s="88"/>
      <c r="K58" s="88"/>
      <c r="L58" s="88"/>
      <c r="M58" s="325"/>
      <c r="N58" s="273"/>
      <c r="O58" s="273"/>
      <c r="P58" s="273"/>
      <c r="Q58" s="273"/>
      <c r="R58" s="273"/>
      <c r="S58" s="273"/>
      <c r="T58" s="273"/>
      <c r="U58" s="325"/>
    </row>
    <row r="59" spans="1:21" ht="12.75">
      <c r="A59" s="286"/>
      <c r="B59" s="355"/>
      <c r="C59" s="279"/>
      <c r="D59" s="87" t="s">
        <v>151</v>
      </c>
      <c r="E59" s="88">
        <f>F59+G59+H59+I59+J59+K59+L59</f>
        <v>0</v>
      </c>
      <c r="F59" s="88"/>
      <c r="G59" s="88"/>
      <c r="H59" s="88"/>
      <c r="I59" s="88"/>
      <c r="J59" s="88"/>
      <c r="K59" s="88"/>
      <c r="L59" s="88"/>
      <c r="M59" s="326"/>
      <c r="N59" s="276"/>
      <c r="O59" s="276"/>
      <c r="P59" s="276"/>
      <c r="Q59" s="276"/>
      <c r="R59" s="276"/>
      <c r="S59" s="276"/>
      <c r="T59" s="276"/>
      <c r="U59" s="326"/>
    </row>
    <row r="60" spans="1:21" ht="12.75" customHeight="1">
      <c r="A60" s="286" t="s">
        <v>232</v>
      </c>
      <c r="B60" s="353" t="s">
        <v>305</v>
      </c>
      <c r="C60" s="277" t="s">
        <v>132</v>
      </c>
      <c r="D60" s="85" t="s">
        <v>152</v>
      </c>
      <c r="E60" s="86">
        <f>E62+E63+E64+E65</f>
        <v>5367358.62</v>
      </c>
      <c r="F60" s="86">
        <f aca="true" t="shared" si="11" ref="F60:L60">F62+F63+F64+F65</f>
        <v>3493297.62</v>
      </c>
      <c r="G60" s="86">
        <f t="shared" si="11"/>
        <v>1874061</v>
      </c>
      <c r="H60" s="86">
        <f t="shared" si="11"/>
        <v>0</v>
      </c>
      <c r="I60" s="86">
        <f t="shared" si="11"/>
        <v>0</v>
      </c>
      <c r="J60" s="86">
        <f t="shared" si="11"/>
        <v>0</v>
      </c>
      <c r="K60" s="86">
        <f t="shared" si="11"/>
        <v>0</v>
      </c>
      <c r="L60" s="86">
        <f t="shared" si="11"/>
        <v>0</v>
      </c>
      <c r="M60" s="324" t="s">
        <v>90</v>
      </c>
      <c r="N60" s="272">
        <v>1</v>
      </c>
      <c r="O60" s="272">
        <v>1</v>
      </c>
      <c r="P60" s="272">
        <v>1</v>
      </c>
      <c r="Q60" s="272">
        <v>1</v>
      </c>
      <c r="R60" s="272">
        <v>1</v>
      </c>
      <c r="S60" s="272">
        <v>1</v>
      </c>
      <c r="T60" s="272">
        <v>1</v>
      </c>
      <c r="U60" s="324" t="s">
        <v>343</v>
      </c>
    </row>
    <row r="61" spans="1:21" ht="12.75">
      <c r="A61" s="286"/>
      <c r="B61" s="354"/>
      <c r="C61" s="278"/>
      <c r="D61" s="283" t="s">
        <v>177</v>
      </c>
      <c r="E61" s="284"/>
      <c r="F61" s="284"/>
      <c r="G61" s="284"/>
      <c r="H61" s="284"/>
      <c r="I61" s="284"/>
      <c r="J61" s="284"/>
      <c r="K61" s="284"/>
      <c r="L61" s="285"/>
      <c r="M61" s="325"/>
      <c r="N61" s="273"/>
      <c r="O61" s="273"/>
      <c r="P61" s="273"/>
      <c r="Q61" s="273"/>
      <c r="R61" s="273"/>
      <c r="S61" s="273"/>
      <c r="T61" s="273"/>
      <c r="U61" s="325"/>
    </row>
    <row r="62" spans="1:21" ht="12.75">
      <c r="A62" s="286"/>
      <c r="B62" s="354"/>
      <c r="C62" s="278"/>
      <c r="D62" s="87" t="s">
        <v>150</v>
      </c>
      <c r="E62" s="88">
        <f>F62+G62+H62+I62+J62+K62+L62</f>
        <v>5367358.62</v>
      </c>
      <c r="F62" s="88">
        <v>3493297.62</v>
      </c>
      <c r="G62" s="88">
        <f>1874061</f>
        <v>1874061</v>
      </c>
      <c r="H62" s="88"/>
      <c r="I62" s="88"/>
      <c r="J62" s="88"/>
      <c r="K62" s="88"/>
      <c r="L62" s="88"/>
      <c r="M62" s="325"/>
      <c r="N62" s="273"/>
      <c r="O62" s="273"/>
      <c r="P62" s="273"/>
      <c r="Q62" s="273"/>
      <c r="R62" s="273"/>
      <c r="S62" s="273"/>
      <c r="T62" s="273"/>
      <c r="U62" s="325"/>
    </row>
    <row r="63" spans="1:21" ht="12.75">
      <c r="A63" s="286"/>
      <c r="B63" s="354"/>
      <c r="C63" s="278"/>
      <c r="D63" s="87" t="s">
        <v>148</v>
      </c>
      <c r="E63" s="88">
        <f>F63+G63+H63+I63+J63+K63+L63</f>
        <v>0</v>
      </c>
      <c r="F63" s="88"/>
      <c r="G63" s="88"/>
      <c r="H63" s="88"/>
      <c r="I63" s="88"/>
      <c r="J63" s="88"/>
      <c r="K63" s="88"/>
      <c r="L63" s="88"/>
      <c r="M63" s="325"/>
      <c r="N63" s="273"/>
      <c r="O63" s="273"/>
      <c r="P63" s="273"/>
      <c r="Q63" s="273"/>
      <c r="R63" s="273"/>
      <c r="S63" s="273"/>
      <c r="T63" s="273"/>
      <c r="U63" s="325"/>
    </row>
    <row r="64" spans="1:21" ht="12.75">
      <c r="A64" s="286"/>
      <c r="B64" s="354"/>
      <c r="C64" s="278"/>
      <c r="D64" s="87" t="s">
        <v>149</v>
      </c>
      <c r="E64" s="88">
        <f>F64+G64+H64+I64+J64+K64+L64</f>
        <v>0</v>
      </c>
      <c r="F64" s="88"/>
      <c r="G64" s="88"/>
      <c r="H64" s="88"/>
      <c r="I64" s="88"/>
      <c r="J64" s="88"/>
      <c r="K64" s="88"/>
      <c r="L64" s="88"/>
      <c r="M64" s="325"/>
      <c r="N64" s="273"/>
      <c r="O64" s="273"/>
      <c r="P64" s="273"/>
      <c r="Q64" s="273"/>
      <c r="R64" s="273"/>
      <c r="S64" s="273"/>
      <c r="T64" s="273"/>
      <c r="U64" s="325"/>
    </row>
    <row r="65" spans="1:21" ht="12.75">
      <c r="A65" s="286"/>
      <c r="B65" s="355"/>
      <c r="C65" s="279"/>
      <c r="D65" s="87" t="s">
        <v>151</v>
      </c>
      <c r="E65" s="88">
        <f>F65+G65+H65+I65+J65+K65+L65</f>
        <v>0</v>
      </c>
      <c r="F65" s="88"/>
      <c r="G65" s="88"/>
      <c r="H65" s="88"/>
      <c r="I65" s="88"/>
      <c r="J65" s="88"/>
      <c r="K65" s="88"/>
      <c r="L65" s="88"/>
      <c r="M65" s="326"/>
      <c r="N65" s="276"/>
      <c r="O65" s="276"/>
      <c r="P65" s="276"/>
      <c r="Q65" s="276"/>
      <c r="R65" s="276"/>
      <c r="S65" s="276"/>
      <c r="T65" s="276"/>
      <c r="U65" s="326"/>
    </row>
    <row r="66" spans="1:21" ht="12.75" customHeight="1">
      <c r="A66" s="286" t="s">
        <v>233</v>
      </c>
      <c r="B66" s="353" t="s">
        <v>306</v>
      </c>
      <c r="C66" s="277" t="s">
        <v>132</v>
      </c>
      <c r="D66" s="85" t="s">
        <v>152</v>
      </c>
      <c r="E66" s="86">
        <f>E68+E69+E70+E71</f>
        <v>0</v>
      </c>
      <c r="F66" s="86">
        <f aca="true" t="shared" si="12" ref="F66:L66">F68+F69+F70+F71</f>
        <v>0</v>
      </c>
      <c r="G66" s="86">
        <f t="shared" si="12"/>
        <v>0</v>
      </c>
      <c r="H66" s="86">
        <f t="shared" si="12"/>
        <v>0</v>
      </c>
      <c r="I66" s="86">
        <f t="shared" si="12"/>
        <v>0</v>
      </c>
      <c r="J66" s="86">
        <f t="shared" si="12"/>
        <v>0</v>
      </c>
      <c r="K66" s="86">
        <f t="shared" si="12"/>
        <v>0</v>
      </c>
      <c r="L66" s="86">
        <f t="shared" si="12"/>
        <v>0</v>
      </c>
      <c r="M66" s="324" t="s">
        <v>89</v>
      </c>
      <c r="N66" s="272">
        <v>1</v>
      </c>
      <c r="O66" s="272">
        <v>1</v>
      </c>
      <c r="P66" s="272">
        <v>1</v>
      </c>
      <c r="Q66" s="272">
        <v>1</v>
      </c>
      <c r="R66" s="272">
        <v>1</v>
      </c>
      <c r="S66" s="272">
        <v>1</v>
      </c>
      <c r="T66" s="272">
        <v>1</v>
      </c>
      <c r="U66" s="266" t="s">
        <v>98</v>
      </c>
    </row>
    <row r="67" spans="1:21" ht="12.75">
      <c r="A67" s="286"/>
      <c r="B67" s="354"/>
      <c r="C67" s="278"/>
      <c r="D67" s="283" t="s">
        <v>177</v>
      </c>
      <c r="E67" s="284"/>
      <c r="F67" s="284"/>
      <c r="G67" s="284"/>
      <c r="H67" s="284"/>
      <c r="I67" s="284"/>
      <c r="J67" s="284"/>
      <c r="K67" s="284"/>
      <c r="L67" s="285"/>
      <c r="M67" s="325"/>
      <c r="N67" s="273"/>
      <c r="O67" s="273"/>
      <c r="P67" s="273"/>
      <c r="Q67" s="273"/>
      <c r="R67" s="273"/>
      <c r="S67" s="273"/>
      <c r="T67" s="273"/>
      <c r="U67" s="267"/>
    </row>
    <row r="68" spans="1:21" ht="12.75">
      <c r="A68" s="286"/>
      <c r="B68" s="354"/>
      <c r="C68" s="278"/>
      <c r="D68" s="87" t="s">
        <v>150</v>
      </c>
      <c r="E68" s="88">
        <f>F68+G68+H68+I68+J68+K68+L68</f>
        <v>0</v>
      </c>
      <c r="F68" s="88"/>
      <c r="G68" s="88"/>
      <c r="H68" s="88"/>
      <c r="I68" s="88"/>
      <c r="J68" s="88"/>
      <c r="K68" s="88"/>
      <c r="L68" s="88"/>
      <c r="M68" s="325"/>
      <c r="N68" s="273"/>
      <c r="O68" s="273"/>
      <c r="P68" s="273"/>
      <c r="Q68" s="273"/>
      <c r="R68" s="273"/>
      <c r="S68" s="273"/>
      <c r="T68" s="273"/>
      <c r="U68" s="267"/>
    </row>
    <row r="69" spans="1:21" ht="12.75">
      <c r="A69" s="286"/>
      <c r="B69" s="354"/>
      <c r="C69" s="278"/>
      <c r="D69" s="87" t="s">
        <v>148</v>
      </c>
      <c r="E69" s="88">
        <f>F69+G69+H69+I69+J69+K69+L69</f>
        <v>0</v>
      </c>
      <c r="F69" s="88"/>
      <c r="G69" s="88"/>
      <c r="H69" s="88"/>
      <c r="I69" s="88"/>
      <c r="J69" s="88"/>
      <c r="K69" s="88"/>
      <c r="L69" s="88"/>
      <c r="M69" s="325"/>
      <c r="N69" s="273"/>
      <c r="O69" s="273"/>
      <c r="P69" s="273"/>
      <c r="Q69" s="273"/>
      <c r="R69" s="273"/>
      <c r="S69" s="273"/>
      <c r="T69" s="273"/>
      <c r="U69" s="267"/>
    </row>
    <row r="70" spans="1:21" ht="12.75">
      <c r="A70" s="286"/>
      <c r="B70" s="354"/>
      <c r="C70" s="278"/>
      <c r="D70" s="87" t="s">
        <v>149</v>
      </c>
      <c r="E70" s="88">
        <f>F70+G70+H70+I70+J70+K70+L70</f>
        <v>0</v>
      </c>
      <c r="F70" s="88"/>
      <c r="G70" s="88"/>
      <c r="H70" s="88"/>
      <c r="I70" s="88"/>
      <c r="J70" s="88"/>
      <c r="K70" s="88"/>
      <c r="L70" s="88"/>
      <c r="M70" s="325"/>
      <c r="N70" s="273"/>
      <c r="O70" s="273"/>
      <c r="P70" s="273"/>
      <c r="Q70" s="273"/>
      <c r="R70" s="273"/>
      <c r="S70" s="273"/>
      <c r="T70" s="273"/>
      <c r="U70" s="267"/>
    </row>
    <row r="71" spans="1:21" ht="12.75">
      <c r="A71" s="286"/>
      <c r="B71" s="355"/>
      <c r="C71" s="279"/>
      <c r="D71" s="87" t="s">
        <v>151</v>
      </c>
      <c r="E71" s="88">
        <f>F71+G71+H71+I71+J71+K71+L71</f>
        <v>0</v>
      </c>
      <c r="F71" s="88"/>
      <c r="G71" s="88"/>
      <c r="H71" s="88"/>
      <c r="I71" s="88"/>
      <c r="J71" s="88"/>
      <c r="K71" s="88"/>
      <c r="L71" s="88"/>
      <c r="M71" s="326"/>
      <c r="N71" s="276"/>
      <c r="O71" s="276"/>
      <c r="P71" s="276"/>
      <c r="Q71" s="276"/>
      <c r="R71" s="276"/>
      <c r="S71" s="276"/>
      <c r="T71" s="276"/>
      <c r="U71" s="268"/>
    </row>
    <row r="72" spans="1:21" ht="13.5" customHeight="1">
      <c r="A72" s="297"/>
      <c r="B72" s="330" t="s">
        <v>235</v>
      </c>
      <c r="C72" s="297"/>
      <c r="D72" s="90" t="s">
        <v>152</v>
      </c>
      <c r="E72" s="91">
        <f aca="true" t="shared" si="13" ref="E72:L72">E74+E75+E76+E77</f>
        <v>136001579.13</v>
      </c>
      <c r="F72" s="91">
        <f t="shared" si="13"/>
        <v>17556508.23</v>
      </c>
      <c r="G72" s="91">
        <f t="shared" si="13"/>
        <v>13500000</v>
      </c>
      <c r="H72" s="91">
        <f t="shared" si="13"/>
        <v>0</v>
      </c>
      <c r="I72" s="91">
        <f t="shared" si="13"/>
        <v>0</v>
      </c>
      <c r="J72" s="91">
        <f t="shared" si="13"/>
        <v>34981690.3</v>
      </c>
      <c r="K72" s="91">
        <f t="shared" si="13"/>
        <v>34981690.3</v>
      </c>
      <c r="L72" s="91">
        <f t="shared" si="13"/>
        <v>34981690.3</v>
      </c>
      <c r="M72" s="309"/>
      <c r="N72" s="303"/>
      <c r="O72" s="303"/>
      <c r="P72" s="303"/>
      <c r="Q72" s="303"/>
      <c r="R72" s="303"/>
      <c r="S72" s="303"/>
      <c r="T72" s="303"/>
      <c r="U72" s="306"/>
    </row>
    <row r="73" spans="1:21" ht="12.75" customHeight="1">
      <c r="A73" s="297"/>
      <c r="B73" s="331"/>
      <c r="C73" s="297"/>
      <c r="D73" s="312" t="s">
        <v>177</v>
      </c>
      <c r="E73" s="313"/>
      <c r="F73" s="313"/>
      <c r="G73" s="313"/>
      <c r="H73" s="313"/>
      <c r="I73" s="313"/>
      <c r="J73" s="313"/>
      <c r="K73" s="313"/>
      <c r="L73" s="314"/>
      <c r="M73" s="310"/>
      <c r="N73" s="304"/>
      <c r="O73" s="304"/>
      <c r="P73" s="304"/>
      <c r="Q73" s="304"/>
      <c r="R73" s="304"/>
      <c r="S73" s="304"/>
      <c r="T73" s="304"/>
      <c r="U73" s="307"/>
    </row>
    <row r="74" spans="1:21" ht="13.5" customHeight="1">
      <c r="A74" s="297"/>
      <c r="B74" s="331"/>
      <c r="C74" s="297"/>
      <c r="D74" s="92" t="s">
        <v>150</v>
      </c>
      <c r="E74" s="91">
        <f>F74+G74+H74+I74+J74+K74+L74</f>
        <v>136001579.13</v>
      </c>
      <c r="F74" s="93">
        <f>F44+F50+F56+F62+F68</f>
        <v>17556508.23</v>
      </c>
      <c r="G74" s="93">
        <f aca="true" t="shared" si="14" ref="G74:L74">G44+G50+G56+G62+G68</f>
        <v>13500000</v>
      </c>
      <c r="H74" s="93">
        <f t="shared" si="14"/>
        <v>0</v>
      </c>
      <c r="I74" s="93">
        <f t="shared" si="14"/>
        <v>0</v>
      </c>
      <c r="J74" s="93">
        <f t="shared" si="14"/>
        <v>34981690.3</v>
      </c>
      <c r="K74" s="93">
        <f t="shared" si="14"/>
        <v>34981690.3</v>
      </c>
      <c r="L74" s="93">
        <f t="shared" si="14"/>
        <v>34981690.3</v>
      </c>
      <c r="M74" s="310"/>
      <c r="N74" s="304"/>
      <c r="O74" s="304"/>
      <c r="P74" s="304"/>
      <c r="Q74" s="304"/>
      <c r="R74" s="304"/>
      <c r="S74" s="304"/>
      <c r="T74" s="304"/>
      <c r="U74" s="307"/>
    </row>
    <row r="75" spans="1:21" ht="13.5" customHeight="1">
      <c r="A75" s="297"/>
      <c r="B75" s="331"/>
      <c r="C75" s="297"/>
      <c r="D75" s="92" t="s">
        <v>148</v>
      </c>
      <c r="E75" s="91">
        <f>F75+G75+H75+I75+J75+K75+L75</f>
        <v>0</v>
      </c>
      <c r="F75" s="93">
        <f aca="true" t="shared" si="15" ref="F75:L77">F45+F51+F57+F63+F69</f>
        <v>0</v>
      </c>
      <c r="G75" s="93">
        <f t="shared" si="15"/>
        <v>0</v>
      </c>
      <c r="H75" s="93">
        <f t="shared" si="15"/>
        <v>0</v>
      </c>
      <c r="I75" s="93">
        <f t="shared" si="15"/>
        <v>0</v>
      </c>
      <c r="J75" s="93">
        <f t="shared" si="15"/>
        <v>0</v>
      </c>
      <c r="K75" s="93">
        <f t="shared" si="15"/>
        <v>0</v>
      </c>
      <c r="L75" s="93">
        <f t="shared" si="15"/>
        <v>0</v>
      </c>
      <c r="M75" s="310"/>
      <c r="N75" s="304"/>
      <c r="O75" s="304"/>
      <c r="P75" s="304"/>
      <c r="Q75" s="304"/>
      <c r="R75" s="304"/>
      <c r="S75" s="304"/>
      <c r="T75" s="304"/>
      <c r="U75" s="307"/>
    </row>
    <row r="76" spans="1:21" ht="13.5" customHeight="1">
      <c r="A76" s="297"/>
      <c r="B76" s="331"/>
      <c r="C76" s="297"/>
      <c r="D76" s="92" t="s">
        <v>149</v>
      </c>
      <c r="E76" s="91">
        <f>F76+G76+H76+I76+J76+K76+L76</f>
        <v>0</v>
      </c>
      <c r="F76" s="93">
        <f t="shared" si="15"/>
        <v>0</v>
      </c>
      <c r="G76" s="93">
        <f t="shared" si="15"/>
        <v>0</v>
      </c>
      <c r="H76" s="93">
        <f t="shared" si="15"/>
        <v>0</v>
      </c>
      <c r="I76" s="93">
        <f t="shared" si="15"/>
        <v>0</v>
      </c>
      <c r="J76" s="93">
        <f t="shared" si="15"/>
        <v>0</v>
      </c>
      <c r="K76" s="93">
        <f t="shared" si="15"/>
        <v>0</v>
      </c>
      <c r="L76" s="93">
        <f t="shared" si="15"/>
        <v>0</v>
      </c>
      <c r="M76" s="310"/>
      <c r="N76" s="304"/>
      <c r="O76" s="304"/>
      <c r="P76" s="304"/>
      <c r="Q76" s="304"/>
      <c r="R76" s="304"/>
      <c r="S76" s="304"/>
      <c r="T76" s="304"/>
      <c r="U76" s="307"/>
    </row>
    <row r="77" spans="1:21" ht="13.5" customHeight="1">
      <c r="A77" s="297"/>
      <c r="B77" s="332"/>
      <c r="C77" s="297"/>
      <c r="D77" s="92" t="s">
        <v>151</v>
      </c>
      <c r="E77" s="91">
        <f>F77+G77+H77+I77+J77+K77+L77</f>
        <v>0</v>
      </c>
      <c r="F77" s="93">
        <f t="shared" si="15"/>
        <v>0</v>
      </c>
      <c r="G77" s="93">
        <f t="shared" si="15"/>
        <v>0</v>
      </c>
      <c r="H77" s="93">
        <f t="shared" si="15"/>
        <v>0</v>
      </c>
      <c r="I77" s="93">
        <f t="shared" si="15"/>
        <v>0</v>
      </c>
      <c r="J77" s="93">
        <f t="shared" si="15"/>
        <v>0</v>
      </c>
      <c r="K77" s="93">
        <f t="shared" si="15"/>
        <v>0</v>
      </c>
      <c r="L77" s="93">
        <f t="shared" si="15"/>
        <v>0</v>
      </c>
      <c r="M77" s="311"/>
      <c r="N77" s="305"/>
      <c r="O77" s="305"/>
      <c r="P77" s="305"/>
      <c r="Q77" s="305"/>
      <c r="R77" s="305"/>
      <c r="S77" s="305"/>
      <c r="T77" s="305"/>
      <c r="U77" s="308"/>
    </row>
    <row r="78" spans="1:21" ht="13.5" customHeight="1">
      <c r="A78" s="297"/>
      <c r="B78" s="330" t="s">
        <v>61</v>
      </c>
      <c r="C78" s="297"/>
      <c r="D78" s="90" t="s">
        <v>152</v>
      </c>
      <c r="E78" s="91">
        <f aca="true" t="shared" si="16" ref="E78:L78">E80+E81+E82+E83</f>
        <v>784914057.0799999</v>
      </c>
      <c r="F78" s="91">
        <f t="shared" si="16"/>
        <v>378697560.7</v>
      </c>
      <c r="G78" s="91">
        <f t="shared" si="16"/>
        <v>266289735.18</v>
      </c>
      <c r="H78" s="91">
        <f t="shared" si="16"/>
        <v>0</v>
      </c>
      <c r="I78" s="91">
        <f t="shared" si="16"/>
        <v>34981690.3</v>
      </c>
      <c r="J78" s="91">
        <f t="shared" si="16"/>
        <v>34981690.3</v>
      </c>
      <c r="K78" s="91">
        <f t="shared" si="16"/>
        <v>34981690.3</v>
      </c>
      <c r="L78" s="91">
        <f t="shared" si="16"/>
        <v>34981690.3</v>
      </c>
      <c r="M78" s="309"/>
      <c r="N78" s="303"/>
      <c r="O78" s="303"/>
      <c r="P78" s="303"/>
      <c r="Q78" s="303"/>
      <c r="R78" s="303"/>
      <c r="S78" s="303"/>
      <c r="T78" s="303"/>
      <c r="U78" s="306"/>
    </row>
    <row r="79" spans="1:21" ht="12.75" customHeight="1">
      <c r="A79" s="297"/>
      <c r="B79" s="331"/>
      <c r="C79" s="297"/>
      <c r="D79" s="312" t="s">
        <v>177</v>
      </c>
      <c r="E79" s="313"/>
      <c r="F79" s="313"/>
      <c r="G79" s="313"/>
      <c r="H79" s="313"/>
      <c r="I79" s="313"/>
      <c r="J79" s="313"/>
      <c r="K79" s="313"/>
      <c r="L79" s="314"/>
      <c r="M79" s="310"/>
      <c r="N79" s="304"/>
      <c r="O79" s="304"/>
      <c r="P79" s="304"/>
      <c r="Q79" s="304"/>
      <c r="R79" s="304"/>
      <c r="S79" s="304"/>
      <c r="T79" s="304"/>
      <c r="U79" s="307"/>
    </row>
    <row r="80" spans="1:21" ht="13.5" customHeight="1">
      <c r="A80" s="297"/>
      <c r="B80" s="331"/>
      <c r="C80" s="297"/>
      <c r="D80" s="92" t="s">
        <v>150</v>
      </c>
      <c r="E80" s="91">
        <f>F80+G80+H80+I80+J80+K80+L80</f>
        <v>582343172.9</v>
      </c>
      <c r="F80" s="93">
        <f>F37+F74</f>
        <v>224841076.51999998</v>
      </c>
      <c r="G80" s="93">
        <f aca="true" t="shared" si="17" ref="G80:L80">G37+G74</f>
        <v>217575335.18</v>
      </c>
      <c r="H80" s="93">
        <f t="shared" si="17"/>
        <v>0</v>
      </c>
      <c r="I80" s="93">
        <f t="shared" si="17"/>
        <v>34981690.3</v>
      </c>
      <c r="J80" s="93">
        <f t="shared" si="17"/>
        <v>34981690.3</v>
      </c>
      <c r="K80" s="93">
        <f t="shared" si="17"/>
        <v>34981690.3</v>
      </c>
      <c r="L80" s="93">
        <f t="shared" si="17"/>
        <v>34981690.3</v>
      </c>
      <c r="M80" s="310"/>
      <c r="N80" s="304"/>
      <c r="O80" s="304"/>
      <c r="P80" s="304"/>
      <c r="Q80" s="304"/>
      <c r="R80" s="304"/>
      <c r="S80" s="304"/>
      <c r="T80" s="304"/>
      <c r="U80" s="307"/>
    </row>
    <row r="81" spans="1:21" ht="13.5" customHeight="1">
      <c r="A81" s="297"/>
      <c r="B81" s="331"/>
      <c r="C81" s="297"/>
      <c r="D81" s="92" t="s">
        <v>148</v>
      </c>
      <c r="E81" s="91">
        <f>F81+G81+H81+I81+J81+K81+L81</f>
        <v>0</v>
      </c>
      <c r="F81" s="93">
        <f aca="true" t="shared" si="18" ref="F81:L83">F38+F75</f>
        <v>0</v>
      </c>
      <c r="G81" s="93">
        <f t="shared" si="18"/>
        <v>0</v>
      </c>
      <c r="H81" s="93">
        <f t="shared" si="18"/>
        <v>0</v>
      </c>
      <c r="I81" s="93">
        <f t="shared" si="18"/>
        <v>0</v>
      </c>
      <c r="J81" s="93">
        <f t="shared" si="18"/>
        <v>0</v>
      </c>
      <c r="K81" s="93">
        <f t="shared" si="18"/>
        <v>0</v>
      </c>
      <c r="L81" s="93">
        <f t="shared" si="18"/>
        <v>0</v>
      </c>
      <c r="M81" s="310"/>
      <c r="N81" s="304"/>
      <c r="O81" s="304"/>
      <c r="P81" s="304"/>
      <c r="Q81" s="304"/>
      <c r="R81" s="304"/>
      <c r="S81" s="304"/>
      <c r="T81" s="304"/>
      <c r="U81" s="307"/>
    </row>
    <row r="82" spans="1:21" ht="13.5" customHeight="1">
      <c r="A82" s="297"/>
      <c r="B82" s="331"/>
      <c r="C82" s="297"/>
      <c r="D82" s="92" t="s">
        <v>149</v>
      </c>
      <c r="E82" s="91">
        <f>F82+G82+H82+I82+J82+K82+L82</f>
        <v>202570884.18</v>
      </c>
      <c r="F82" s="93">
        <f t="shared" si="18"/>
        <v>153856484.18</v>
      </c>
      <c r="G82" s="93">
        <f t="shared" si="18"/>
        <v>48714400</v>
      </c>
      <c r="H82" s="93">
        <f t="shared" si="18"/>
        <v>0</v>
      </c>
      <c r="I82" s="93">
        <f t="shared" si="18"/>
        <v>0</v>
      </c>
      <c r="J82" s="93">
        <f t="shared" si="18"/>
        <v>0</v>
      </c>
      <c r="K82" s="93">
        <f t="shared" si="18"/>
        <v>0</v>
      </c>
      <c r="L82" s="93">
        <f t="shared" si="18"/>
        <v>0</v>
      </c>
      <c r="M82" s="310"/>
      <c r="N82" s="304"/>
      <c r="O82" s="304"/>
      <c r="P82" s="304"/>
      <c r="Q82" s="304"/>
      <c r="R82" s="304"/>
      <c r="S82" s="304"/>
      <c r="T82" s="304"/>
      <c r="U82" s="307"/>
    </row>
    <row r="83" spans="1:21" ht="13.5" customHeight="1">
      <c r="A83" s="297"/>
      <c r="B83" s="332"/>
      <c r="C83" s="297"/>
      <c r="D83" s="92" t="s">
        <v>151</v>
      </c>
      <c r="E83" s="91">
        <f>F83+G83+H83+I83+J83+K83+L83</f>
        <v>0</v>
      </c>
      <c r="F83" s="93">
        <f t="shared" si="18"/>
        <v>0</v>
      </c>
      <c r="G83" s="93">
        <f t="shared" si="18"/>
        <v>0</v>
      </c>
      <c r="H83" s="93">
        <f t="shared" si="18"/>
        <v>0</v>
      </c>
      <c r="I83" s="93">
        <f t="shared" si="18"/>
        <v>0</v>
      </c>
      <c r="J83" s="93">
        <f t="shared" si="18"/>
        <v>0</v>
      </c>
      <c r="K83" s="93">
        <f t="shared" si="18"/>
        <v>0</v>
      </c>
      <c r="L83" s="93">
        <f t="shared" si="18"/>
        <v>0</v>
      </c>
      <c r="M83" s="311"/>
      <c r="N83" s="305"/>
      <c r="O83" s="305"/>
      <c r="P83" s="305"/>
      <c r="Q83" s="305"/>
      <c r="R83" s="305"/>
      <c r="S83" s="305"/>
      <c r="T83" s="305"/>
      <c r="U83" s="308"/>
    </row>
    <row r="86" ht="12.75">
      <c r="G86" s="95">
        <f>217575335.18-G80</f>
        <v>0</v>
      </c>
    </row>
  </sheetData>
  <sheetProtection/>
  <mergeCells count="171">
    <mergeCell ref="A32:A34"/>
    <mergeCell ref="B32:B34"/>
    <mergeCell ref="C32:C34"/>
    <mergeCell ref="E33:L33"/>
    <mergeCell ref="R35:R40"/>
    <mergeCell ref="S35:S40"/>
    <mergeCell ref="Q35:Q40"/>
    <mergeCell ref="T35:T40"/>
    <mergeCell ref="U35:U40"/>
    <mergeCell ref="A35:A40"/>
    <mergeCell ref="B35:B40"/>
    <mergeCell ref="C35:C40"/>
    <mergeCell ref="M35:M40"/>
    <mergeCell ref="N35:N40"/>
    <mergeCell ref="O35:O40"/>
    <mergeCell ref="D36:L36"/>
    <mergeCell ref="P35:P40"/>
    <mergeCell ref="U26:U31"/>
    <mergeCell ref="A26:A31"/>
    <mergeCell ref="B26:B31"/>
    <mergeCell ref="C26:C31"/>
    <mergeCell ref="M26:M31"/>
    <mergeCell ref="N26:N31"/>
    <mergeCell ref="O26:O31"/>
    <mergeCell ref="D27:L27"/>
    <mergeCell ref="P26:P31"/>
    <mergeCell ref="Q26:Q31"/>
    <mergeCell ref="O8:O13"/>
    <mergeCell ref="R14:R19"/>
    <mergeCell ref="S14:S19"/>
    <mergeCell ref="T14:T19"/>
    <mergeCell ref="T26:T31"/>
    <mergeCell ref="R26:R31"/>
    <mergeCell ref="S26:S31"/>
    <mergeCell ref="P20:P25"/>
    <mergeCell ref="O20:O25"/>
    <mergeCell ref="Q20:Q25"/>
    <mergeCell ref="C14:C19"/>
    <mergeCell ref="D15:L15"/>
    <mergeCell ref="U14:U19"/>
    <mergeCell ref="T8:T13"/>
    <mergeCell ref="U8:U13"/>
    <mergeCell ref="D9:L9"/>
    <mergeCell ref="N14:N19"/>
    <mergeCell ref="O14:O19"/>
    <mergeCell ref="P14:P19"/>
    <mergeCell ref="N8:N13"/>
    <mergeCell ref="D67:L67"/>
    <mergeCell ref="Q14:Q19"/>
    <mergeCell ref="O60:O65"/>
    <mergeCell ref="U72:U77"/>
    <mergeCell ref="A8:A13"/>
    <mergeCell ref="B8:B13"/>
    <mergeCell ref="C8:C13"/>
    <mergeCell ref="M8:M13"/>
    <mergeCell ref="A14:A19"/>
    <mergeCell ref="B14:B19"/>
    <mergeCell ref="O72:O77"/>
    <mergeCell ref="P72:P77"/>
    <mergeCell ref="M14:M19"/>
    <mergeCell ref="Q72:Q77"/>
    <mergeCell ref="D73:L73"/>
    <mergeCell ref="B7:U7"/>
    <mergeCell ref="P8:P13"/>
    <mergeCell ref="Q8:Q13"/>
    <mergeCell ref="R8:R13"/>
    <mergeCell ref="S8:S13"/>
    <mergeCell ref="D79:L79"/>
    <mergeCell ref="A72:A77"/>
    <mergeCell ref="B72:B77"/>
    <mergeCell ref="C72:C77"/>
    <mergeCell ref="M72:M77"/>
    <mergeCell ref="N72:N77"/>
    <mergeCell ref="R72:R77"/>
    <mergeCell ref="S72:S77"/>
    <mergeCell ref="T72:T77"/>
    <mergeCell ref="Q66:Q71"/>
    <mergeCell ref="T78:T83"/>
    <mergeCell ref="U78:U83"/>
    <mergeCell ref="U66:U71"/>
    <mergeCell ref="O78:O83"/>
    <mergeCell ref="P78:P83"/>
    <mergeCell ref="Q78:Q83"/>
    <mergeCell ref="R78:R83"/>
    <mergeCell ref="S78:S83"/>
    <mergeCell ref="A78:A83"/>
    <mergeCell ref="B78:B83"/>
    <mergeCell ref="C78:C83"/>
    <mergeCell ref="M78:M83"/>
    <mergeCell ref="N78:N83"/>
    <mergeCell ref="U60:U65"/>
    <mergeCell ref="D61:L61"/>
    <mergeCell ref="A66:A71"/>
    <mergeCell ref="B66:B71"/>
    <mergeCell ref="C66:C71"/>
    <mergeCell ref="M66:M71"/>
    <mergeCell ref="N66:N71"/>
    <mergeCell ref="O66:O71"/>
    <mergeCell ref="P66:P71"/>
    <mergeCell ref="S66:S71"/>
    <mergeCell ref="T54:T59"/>
    <mergeCell ref="P60:P65"/>
    <mergeCell ref="Q60:Q65"/>
    <mergeCell ref="R60:R65"/>
    <mergeCell ref="S60:S65"/>
    <mergeCell ref="R66:R71"/>
    <mergeCell ref="T66:T71"/>
    <mergeCell ref="U54:U59"/>
    <mergeCell ref="D55:L55"/>
    <mergeCell ref="A60:A65"/>
    <mergeCell ref="B60:B65"/>
    <mergeCell ref="C60:C65"/>
    <mergeCell ref="M60:M65"/>
    <mergeCell ref="N60:N65"/>
    <mergeCell ref="T60:T65"/>
    <mergeCell ref="R54:R59"/>
    <mergeCell ref="S54:S59"/>
    <mergeCell ref="U48:U53"/>
    <mergeCell ref="D49:L49"/>
    <mergeCell ref="A54:A59"/>
    <mergeCell ref="B54:B59"/>
    <mergeCell ref="C54:C59"/>
    <mergeCell ref="M54:M59"/>
    <mergeCell ref="N54:N59"/>
    <mergeCell ref="O54:O59"/>
    <mergeCell ref="P54:P59"/>
    <mergeCell ref="Q54:Q59"/>
    <mergeCell ref="S42:S47"/>
    <mergeCell ref="T42:T47"/>
    <mergeCell ref="O48:O53"/>
    <mergeCell ref="P48:P53"/>
    <mergeCell ref="Q48:Q53"/>
    <mergeCell ref="R48:R53"/>
    <mergeCell ref="Q42:Q47"/>
    <mergeCell ref="U42:U47"/>
    <mergeCell ref="D43:L43"/>
    <mergeCell ref="A48:A53"/>
    <mergeCell ref="B48:B53"/>
    <mergeCell ref="C48:C53"/>
    <mergeCell ref="M48:M53"/>
    <mergeCell ref="N48:N53"/>
    <mergeCell ref="S48:S53"/>
    <mergeCell ref="T48:T53"/>
    <mergeCell ref="R42:R47"/>
    <mergeCell ref="U20:U25"/>
    <mergeCell ref="B6:U6"/>
    <mergeCell ref="B41:U41"/>
    <mergeCell ref="A42:A47"/>
    <mergeCell ref="B42:B47"/>
    <mergeCell ref="C42:C47"/>
    <mergeCell ref="M42:M47"/>
    <mergeCell ref="N42:N47"/>
    <mergeCell ref="O42:O47"/>
    <mergeCell ref="P42:P47"/>
    <mergeCell ref="A2:U2"/>
    <mergeCell ref="A3:A4"/>
    <mergeCell ref="B3:B4"/>
    <mergeCell ref="C3:C4"/>
    <mergeCell ref="D3:D4"/>
    <mergeCell ref="E3:L3"/>
    <mergeCell ref="M3:T3"/>
    <mergeCell ref="U3:U4"/>
    <mergeCell ref="R20:R25"/>
    <mergeCell ref="S20:S25"/>
    <mergeCell ref="T20:T25"/>
    <mergeCell ref="A20:A25"/>
    <mergeCell ref="B20:B25"/>
    <mergeCell ref="C20:C25"/>
    <mergeCell ref="M20:M25"/>
    <mergeCell ref="N20:N25"/>
    <mergeCell ref="D21:L2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15" zoomScalePageLayoutView="0" workbookViewId="0" topLeftCell="A7">
      <selection activeCell="D19" sqref="D19"/>
    </sheetView>
  </sheetViews>
  <sheetFormatPr defaultColWidth="9.140625" defaultRowHeight="15"/>
  <cols>
    <col min="1" max="1" width="35.00390625" style="65" bestFit="1" customWidth="1"/>
    <col min="2" max="9" width="17.28125" style="65" customWidth="1"/>
    <col min="10" max="16384" width="9.140625" style="65" customWidth="1"/>
  </cols>
  <sheetData>
    <row r="1" spans="5:10" ht="39" customHeight="1">
      <c r="E1" s="66"/>
      <c r="F1" s="8"/>
      <c r="G1" s="8"/>
      <c r="I1" s="8" t="s">
        <v>187</v>
      </c>
      <c r="J1" s="67"/>
    </row>
    <row r="2" ht="15.75">
      <c r="F2" s="8"/>
    </row>
    <row r="3" spans="1:9" ht="36.75" customHeight="1">
      <c r="A3" s="244" t="s">
        <v>104</v>
      </c>
      <c r="B3" s="244"/>
      <c r="C3" s="244"/>
      <c r="D3" s="244"/>
      <c r="E3" s="244"/>
      <c r="F3" s="244"/>
      <c r="G3" s="244"/>
      <c r="H3" s="244"/>
      <c r="I3" s="244"/>
    </row>
    <row r="4" spans="1:9" ht="30" customHeight="1">
      <c r="A4" s="261" t="s">
        <v>163</v>
      </c>
      <c r="B4" s="263" t="s">
        <v>164</v>
      </c>
      <c r="C4" s="265" t="s">
        <v>165</v>
      </c>
      <c r="D4" s="265"/>
      <c r="E4" s="265"/>
      <c r="F4" s="265"/>
      <c r="G4" s="265"/>
      <c r="H4" s="265"/>
      <c r="I4" s="265"/>
    </row>
    <row r="5" spans="1:9" ht="16.5" customHeight="1">
      <c r="A5" s="262"/>
      <c r="B5" s="264"/>
      <c r="C5" s="68">
        <v>2014</v>
      </c>
      <c r="D5" s="68">
        <v>2015</v>
      </c>
      <c r="E5" s="68">
        <v>2016</v>
      </c>
      <c r="F5" s="68">
        <v>2017</v>
      </c>
      <c r="G5" s="68">
        <v>2018</v>
      </c>
      <c r="H5" s="68">
        <v>2019</v>
      </c>
      <c r="I5" s="50">
        <v>2020</v>
      </c>
    </row>
    <row r="6" spans="1:9" ht="16.5" customHeight="1">
      <c r="A6" s="129" t="s">
        <v>107</v>
      </c>
      <c r="B6" s="129" t="s">
        <v>108</v>
      </c>
      <c r="C6" s="129" t="s">
        <v>109</v>
      </c>
      <c r="D6" s="129" t="s">
        <v>110</v>
      </c>
      <c r="E6" s="129" t="s">
        <v>111</v>
      </c>
      <c r="F6" s="129" t="s">
        <v>112</v>
      </c>
      <c r="G6" s="129" t="s">
        <v>113</v>
      </c>
      <c r="H6" s="129" t="s">
        <v>114</v>
      </c>
      <c r="I6" s="129" t="s">
        <v>115</v>
      </c>
    </row>
    <row r="7" spans="1:9" ht="19.5" customHeight="1">
      <c r="A7" s="69" t="s">
        <v>105</v>
      </c>
      <c r="B7" s="70">
        <f>B9+B10+B11+B12</f>
        <v>4271770703.78</v>
      </c>
      <c r="C7" s="70">
        <f>C9+C10+C11+C12</f>
        <v>529444436.56</v>
      </c>
      <c r="D7" s="70">
        <f aca="true" t="shared" si="0" ref="D7:I7">D9+D10+D11+D12</f>
        <v>518079322.52</v>
      </c>
      <c r="E7" s="70">
        <f t="shared" si="0"/>
        <v>627930253.1</v>
      </c>
      <c r="F7" s="70">
        <f t="shared" si="0"/>
        <v>649079172.9</v>
      </c>
      <c r="G7" s="70">
        <f t="shared" si="0"/>
        <v>649079172.9</v>
      </c>
      <c r="H7" s="70">
        <f t="shared" si="0"/>
        <v>649079172.9</v>
      </c>
      <c r="I7" s="70">
        <f t="shared" si="0"/>
        <v>649079172.9</v>
      </c>
    </row>
    <row r="8" spans="1:9" ht="16.5" customHeight="1">
      <c r="A8" s="255" t="s">
        <v>166</v>
      </c>
      <c r="B8" s="256"/>
      <c r="C8" s="256"/>
      <c r="D8" s="256"/>
      <c r="E8" s="256"/>
      <c r="F8" s="256"/>
      <c r="G8" s="256"/>
      <c r="H8" s="256"/>
      <c r="I8" s="257"/>
    </row>
    <row r="9" spans="1:9" ht="16.5" customHeight="1">
      <c r="A9" s="71" t="s">
        <v>167</v>
      </c>
      <c r="B9" s="70">
        <f>B16</f>
        <v>1551448226.7800002</v>
      </c>
      <c r="C9" s="72">
        <f aca="true" t="shared" si="1" ref="C9:I9">C16</f>
        <v>188197260.56</v>
      </c>
      <c r="D9" s="72">
        <f t="shared" si="1"/>
        <v>178831996.51999998</v>
      </c>
      <c r="E9" s="72">
        <f t="shared" si="1"/>
        <v>231323730.1</v>
      </c>
      <c r="F9" s="72">
        <f t="shared" si="1"/>
        <v>238273809.9</v>
      </c>
      <c r="G9" s="72">
        <f t="shared" si="1"/>
        <v>238273809.9</v>
      </c>
      <c r="H9" s="72">
        <f t="shared" si="1"/>
        <v>238273809.9</v>
      </c>
      <c r="I9" s="72">
        <f t="shared" si="1"/>
        <v>238273809.9</v>
      </c>
    </row>
    <row r="10" spans="1:9" ht="16.5" customHeight="1">
      <c r="A10" s="71" t="s">
        <v>47</v>
      </c>
      <c r="B10" s="70">
        <f aca="true" t="shared" si="2" ref="B10:I10">B17</f>
        <v>2397258485</v>
      </c>
      <c r="C10" s="72">
        <f t="shared" si="2"/>
        <v>296853576</v>
      </c>
      <c r="D10" s="72">
        <f t="shared" si="2"/>
        <v>292861294</v>
      </c>
      <c r="E10" s="72">
        <f t="shared" si="2"/>
        <v>350206323</v>
      </c>
      <c r="F10" s="72">
        <f t="shared" si="2"/>
        <v>364334323</v>
      </c>
      <c r="G10" s="72">
        <f t="shared" si="2"/>
        <v>364334323</v>
      </c>
      <c r="H10" s="72">
        <f t="shared" si="2"/>
        <v>364334323</v>
      </c>
      <c r="I10" s="72">
        <f t="shared" si="2"/>
        <v>364334323</v>
      </c>
    </row>
    <row r="11" spans="1:9" ht="16.5" customHeight="1">
      <c r="A11" s="71" t="s">
        <v>48</v>
      </c>
      <c r="B11" s="70">
        <f aca="true" t="shared" si="3" ref="B11:I11">B18</f>
        <v>0</v>
      </c>
      <c r="C11" s="72">
        <f t="shared" si="3"/>
        <v>0</v>
      </c>
      <c r="D11" s="72">
        <f t="shared" si="3"/>
        <v>0</v>
      </c>
      <c r="E11" s="72">
        <f t="shared" si="3"/>
        <v>0</v>
      </c>
      <c r="F11" s="72">
        <f t="shared" si="3"/>
        <v>0</v>
      </c>
      <c r="G11" s="72">
        <f t="shared" si="3"/>
        <v>0</v>
      </c>
      <c r="H11" s="72">
        <f t="shared" si="3"/>
        <v>0</v>
      </c>
      <c r="I11" s="72">
        <f t="shared" si="3"/>
        <v>0</v>
      </c>
    </row>
    <row r="12" spans="1:9" ht="16.5" customHeight="1">
      <c r="A12" s="71" t="s">
        <v>170</v>
      </c>
      <c r="B12" s="70">
        <f aca="true" t="shared" si="4" ref="B12:I12">B19</f>
        <v>323063992</v>
      </c>
      <c r="C12" s="72">
        <f t="shared" si="4"/>
        <v>44393600</v>
      </c>
      <c r="D12" s="72">
        <f t="shared" si="4"/>
        <v>46386032</v>
      </c>
      <c r="E12" s="72">
        <f t="shared" si="4"/>
        <v>46400200</v>
      </c>
      <c r="F12" s="72">
        <f t="shared" si="4"/>
        <v>46471040</v>
      </c>
      <c r="G12" s="72">
        <f t="shared" si="4"/>
        <v>46471040</v>
      </c>
      <c r="H12" s="72">
        <f t="shared" si="4"/>
        <v>46471040</v>
      </c>
      <c r="I12" s="72">
        <f t="shared" si="4"/>
        <v>46471040</v>
      </c>
    </row>
    <row r="13" spans="1:9" ht="16.5" customHeight="1">
      <c r="A13" s="258" t="s">
        <v>171</v>
      </c>
      <c r="B13" s="259"/>
      <c r="C13" s="259"/>
      <c r="D13" s="259"/>
      <c r="E13" s="259"/>
      <c r="F13" s="259"/>
      <c r="G13" s="259"/>
      <c r="H13" s="259"/>
      <c r="I13" s="260"/>
    </row>
    <row r="14" spans="1:9" ht="46.5" customHeight="1">
      <c r="A14" s="73" t="s">
        <v>178</v>
      </c>
      <c r="B14" s="70">
        <f>B16+B17+B18+B19</f>
        <v>4271770703.78</v>
      </c>
      <c r="C14" s="70">
        <f>C16+C17+C18+C19</f>
        <v>529444436.56</v>
      </c>
      <c r="D14" s="70">
        <f>D16+D17+D19</f>
        <v>518079322.52</v>
      </c>
      <c r="E14" s="70">
        <f>E16+E17+E18+E19</f>
        <v>627930253.1</v>
      </c>
      <c r="F14" s="70">
        <f>F16+F17+F18+F19</f>
        <v>649079172.9</v>
      </c>
      <c r="G14" s="70">
        <f>G16+G17+G18+G19</f>
        <v>649079172.9</v>
      </c>
      <c r="H14" s="70">
        <f>H16+H17+H18+H19</f>
        <v>649079172.9</v>
      </c>
      <c r="I14" s="70">
        <f>I16+I17+I18+I19</f>
        <v>649079172.9</v>
      </c>
    </row>
    <row r="15" spans="1:9" ht="16.5" customHeight="1">
      <c r="A15" s="255" t="s">
        <v>166</v>
      </c>
      <c r="B15" s="256"/>
      <c r="C15" s="256"/>
      <c r="D15" s="256"/>
      <c r="E15" s="256"/>
      <c r="F15" s="256"/>
      <c r="G15" s="256"/>
      <c r="H15" s="256"/>
      <c r="I15" s="257"/>
    </row>
    <row r="16" spans="1:9" ht="16.5" customHeight="1">
      <c r="A16" s="71" t="s">
        <v>167</v>
      </c>
      <c r="B16" s="70">
        <f>SUM(C16:I16)</f>
        <v>1551448226.7800002</v>
      </c>
      <c r="C16" s="74">
        <f>'таб 3(1)'!F52</f>
        <v>188197260.56</v>
      </c>
      <c r="D16" s="75">
        <f>+'таб 3(1)'!G52</f>
        <v>178831996.51999998</v>
      </c>
      <c r="E16" s="75">
        <v>231323730.1</v>
      </c>
      <c r="F16" s="75">
        <v>238273809.9</v>
      </c>
      <c r="G16" s="75">
        <v>238273809.9</v>
      </c>
      <c r="H16" s="75">
        <v>238273809.9</v>
      </c>
      <c r="I16" s="75">
        <v>238273809.9</v>
      </c>
    </row>
    <row r="17" spans="1:9" ht="16.5" customHeight="1">
      <c r="A17" s="71" t="s">
        <v>47</v>
      </c>
      <c r="B17" s="70">
        <f>SUM(C17:I17)</f>
        <v>2397258485</v>
      </c>
      <c r="C17" s="76">
        <f>'таб 3(1)'!F53</f>
        <v>296853576</v>
      </c>
      <c r="D17" s="75">
        <f>+'таб 3(1)'!G53</f>
        <v>292861294</v>
      </c>
      <c r="E17" s="75">
        <v>350206323</v>
      </c>
      <c r="F17" s="75">
        <v>364334323</v>
      </c>
      <c r="G17" s="75">
        <v>364334323</v>
      </c>
      <c r="H17" s="75">
        <v>364334323</v>
      </c>
      <c r="I17" s="75">
        <v>364334323</v>
      </c>
    </row>
    <row r="18" spans="1:9" ht="16.5" customHeight="1">
      <c r="A18" s="71" t="s">
        <v>48</v>
      </c>
      <c r="B18" s="70">
        <f>SUM(C18:I18)</f>
        <v>0</v>
      </c>
      <c r="C18" s="75">
        <f>'таб 3(1)'!F54</f>
        <v>0</v>
      </c>
      <c r="D18" s="75">
        <f>'таб 3(1)'!G54</f>
        <v>0</v>
      </c>
      <c r="E18" s="75">
        <f>'таб 3(1)'!H54</f>
        <v>0</v>
      </c>
      <c r="F18" s="75">
        <f>'таб 3(1)'!I54</f>
        <v>0</v>
      </c>
      <c r="G18" s="75">
        <f>'таб 3(1)'!J54</f>
        <v>0</v>
      </c>
      <c r="H18" s="75">
        <f>'таб 3(1)'!K54</f>
        <v>0</v>
      </c>
      <c r="I18" s="75">
        <f>'таб 3(1)'!L54</f>
        <v>0</v>
      </c>
    </row>
    <row r="19" spans="1:9" ht="16.5" customHeight="1">
      <c r="A19" s="71" t="s">
        <v>170</v>
      </c>
      <c r="B19" s="70">
        <f>SUM(C19:I19)</f>
        <v>323063992</v>
      </c>
      <c r="C19" s="76">
        <f>'таб 3(1)'!F55</f>
        <v>44393600</v>
      </c>
      <c r="D19" s="75">
        <v>46386032</v>
      </c>
      <c r="E19" s="75">
        <v>46400200</v>
      </c>
      <c r="F19" s="75">
        <v>46471040</v>
      </c>
      <c r="G19" s="75">
        <v>46471040</v>
      </c>
      <c r="H19" s="75">
        <v>46471040</v>
      </c>
      <c r="I19" s="75">
        <v>46471040</v>
      </c>
    </row>
    <row r="20" spans="1:9" ht="31.5">
      <c r="A20" s="77" t="s">
        <v>172</v>
      </c>
      <c r="B20" s="70">
        <f>SUM(C20:I20)</f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9" ht="15.75">
      <c r="A21" s="78"/>
      <c r="B21" s="66"/>
      <c r="C21" s="79"/>
      <c r="D21" s="79"/>
      <c r="E21" s="79"/>
      <c r="F21" s="79"/>
      <c r="G21" s="79"/>
      <c r="H21" s="79"/>
      <c r="I21" s="79"/>
    </row>
  </sheetData>
  <sheetProtection/>
  <mergeCells count="7">
    <mergeCell ref="A15:I15"/>
    <mergeCell ref="A8:I8"/>
    <mergeCell ref="A13:I13"/>
    <mergeCell ref="A3:I3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SheetLayoutView="115" zoomScalePageLayoutView="0" workbookViewId="0" topLeftCell="A1">
      <selection activeCell="F22" sqref="F22"/>
    </sheetView>
  </sheetViews>
  <sheetFormatPr defaultColWidth="9.140625" defaultRowHeight="15"/>
  <cols>
    <col min="1" max="1" width="9.140625" style="82" customWidth="1"/>
    <col min="2" max="2" width="48.421875" style="82" customWidth="1"/>
    <col min="3" max="3" width="10.8515625" style="82" customWidth="1"/>
    <col min="4" max="4" width="10.00390625" style="82" customWidth="1"/>
    <col min="5" max="5" width="15.421875" style="82" customWidth="1"/>
    <col min="6" max="6" width="14.421875" style="82" customWidth="1"/>
    <col min="7" max="12" width="14.00390625" style="82" bestFit="1" customWidth="1"/>
    <col min="13" max="13" width="28.140625" style="82" customWidth="1"/>
    <col min="14" max="14" width="5.7109375" style="82" bestFit="1" customWidth="1"/>
    <col min="15" max="20" width="7.421875" style="82" bestFit="1" customWidth="1"/>
    <col min="21" max="21" width="17.00390625" style="82" customWidth="1"/>
    <col min="22" max="16384" width="9.140625" style="82" customWidth="1"/>
  </cols>
  <sheetData>
    <row r="1" spans="20:21" s="52" customFormat="1" ht="12.75">
      <c r="T1" s="61"/>
      <c r="U1" s="61" t="s">
        <v>179</v>
      </c>
    </row>
    <row r="2" spans="1:21" s="52" customFormat="1" ht="15.75">
      <c r="A2" s="300" t="s">
        <v>116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31.5" customHeight="1">
      <c r="A3" s="296" t="s">
        <v>161</v>
      </c>
      <c r="B3" s="237" t="s">
        <v>173</v>
      </c>
      <c r="C3" s="237" t="s">
        <v>174</v>
      </c>
      <c r="D3" s="237" t="s">
        <v>163</v>
      </c>
      <c r="E3" s="237" t="s">
        <v>175</v>
      </c>
      <c r="F3" s="237"/>
      <c r="G3" s="237"/>
      <c r="H3" s="237"/>
      <c r="I3" s="237"/>
      <c r="J3" s="237"/>
      <c r="K3" s="237"/>
      <c r="L3" s="237"/>
      <c r="M3" s="296" t="s">
        <v>64</v>
      </c>
      <c r="N3" s="296"/>
      <c r="O3" s="296"/>
      <c r="P3" s="296"/>
      <c r="Q3" s="296"/>
      <c r="R3" s="296"/>
      <c r="S3" s="296"/>
      <c r="T3" s="296"/>
      <c r="U3" s="294" t="s">
        <v>176</v>
      </c>
    </row>
    <row r="4" spans="1:21" ht="24.75" customHeight="1">
      <c r="A4" s="296"/>
      <c r="B4" s="237"/>
      <c r="C4" s="237"/>
      <c r="D4" s="237"/>
      <c r="E4" s="83" t="s">
        <v>152</v>
      </c>
      <c r="F4" s="177" t="s">
        <v>141</v>
      </c>
      <c r="G4" s="177" t="s">
        <v>142</v>
      </c>
      <c r="H4" s="177" t="s">
        <v>143</v>
      </c>
      <c r="I4" s="177" t="s">
        <v>144</v>
      </c>
      <c r="J4" s="177" t="s">
        <v>145</v>
      </c>
      <c r="K4" s="177" t="s">
        <v>146</v>
      </c>
      <c r="L4" s="177" t="s">
        <v>147</v>
      </c>
      <c r="M4" s="12" t="s">
        <v>162</v>
      </c>
      <c r="N4" s="177" t="s">
        <v>141</v>
      </c>
      <c r="O4" s="177" t="s">
        <v>142</v>
      </c>
      <c r="P4" s="177" t="s">
        <v>143</v>
      </c>
      <c r="Q4" s="177" t="s">
        <v>144</v>
      </c>
      <c r="R4" s="177" t="s">
        <v>145</v>
      </c>
      <c r="S4" s="177" t="s">
        <v>146</v>
      </c>
      <c r="T4" s="177" t="s">
        <v>147</v>
      </c>
      <c r="U4" s="295"/>
    </row>
    <row r="5" spans="1:21" ht="12.7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</row>
    <row r="6" spans="1:21" ht="12.75">
      <c r="A6" s="84"/>
      <c r="B6" s="288" t="s">
        <v>180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21" ht="12.75">
      <c r="A7" s="97">
        <v>1</v>
      </c>
      <c r="B7" s="288" t="s">
        <v>181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8" customHeight="1">
      <c r="A8" s="286" t="s">
        <v>192</v>
      </c>
      <c r="B8" s="287" t="s">
        <v>182</v>
      </c>
      <c r="C8" s="277" t="s">
        <v>132</v>
      </c>
      <c r="D8" s="85" t="s">
        <v>152</v>
      </c>
      <c r="E8" s="86">
        <f>E10+E11+E12+E13</f>
        <v>2170033227</v>
      </c>
      <c r="F8" s="86">
        <f aca="true" t="shared" si="0" ref="F8:L8">F10+F11+F12+F13</f>
        <v>287085070</v>
      </c>
      <c r="G8" s="86">
        <f t="shared" si="0"/>
        <v>276466589</v>
      </c>
      <c r="H8" s="86">
        <f t="shared" si="0"/>
        <v>281734608</v>
      </c>
      <c r="I8" s="86">
        <f t="shared" si="0"/>
        <v>292764240</v>
      </c>
      <c r="J8" s="86">
        <f t="shared" si="0"/>
        <v>343994240</v>
      </c>
      <c r="K8" s="86">
        <f t="shared" si="0"/>
        <v>343994240</v>
      </c>
      <c r="L8" s="86">
        <f t="shared" si="0"/>
        <v>343994240</v>
      </c>
      <c r="M8" s="291" t="s">
        <v>335</v>
      </c>
      <c r="N8" s="269">
        <v>99.6</v>
      </c>
      <c r="O8" s="269">
        <v>95.7</v>
      </c>
      <c r="P8" s="269">
        <v>97.5</v>
      </c>
      <c r="Q8" s="269">
        <v>100</v>
      </c>
      <c r="R8" s="269">
        <v>100</v>
      </c>
      <c r="S8" s="269">
        <v>100</v>
      </c>
      <c r="T8" s="269">
        <v>100</v>
      </c>
      <c r="U8" s="266" t="s">
        <v>94</v>
      </c>
    </row>
    <row r="9" spans="1:21" ht="24.75" customHeight="1">
      <c r="A9" s="286"/>
      <c r="B9" s="287"/>
      <c r="C9" s="278"/>
      <c r="D9" s="283" t="s">
        <v>177</v>
      </c>
      <c r="E9" s="284"/>
      <c r="F9" s="284"/>
      <c r="G9" s="284"/>
      <c r="H9" s="284"/>
      <c r="I9" s="284"/>
      <c r="J9" s="284"/>
      <c r="K9" s="284"/>
      <c r="L9" s="285"/>
      <c r="M9" s="292"/>
      <c r="N9" s="270"/>
      <c r="O9" s="270"/>
      <c r="P9" s="270"/>
      <c r="Q9" s="270"/>
      <c r="R9" s="270"/>
      <c r="S9" s="270"/>
      <c r="T9" s="270"/>
      <c r="U9" s="267"/>
    </row>
    <row r="10" spans="1:21" ht="18" customHeight="1">
      <c r="A10" s="286"/>
      <c r="B10" s="287"/>
      <c r="C10" s="278"/>
      <c r="D10" s="87" t="s">
        <v>150</v>
      </c>
      <c r="E10" s="88">
        <f>F10+G10+H10+I10+J10+K10+L10</f>
        <v>3970110</v>
      </c>
      <c r="F10" s="88">
        <v>3970110</v>
      </c>
      <c r="G10" s="88"/>
      <c r="H10" s="88"/>
      <c r="I10" s="88"/>
      <c r="J10" s="88"/>
      <c r="K10" s="88"/>
      <c r="L10" s="88"/>
      <c r="M10" s="292"/>
      <c r="N10" s="270"/>
      <c r="O10" s="270"/>
      <c r="P10" s="270"/>
      <c r="Q10" s="270"/>
      <c r="R10" s="270"/>
      <c r="S10" s="270"/>
      <c r="T10" s="270"/>
      <c r="U10" s="267"/>
    </row>
    <row r="11" spans="1:21" ht="18" customHeight="1">
      <c r="A11" s="286"/>
      <c r="B11" s="287"/>
      <c r="C11" s="278"/>
      <c r="D11" s="87" t="s">
        <v>148</v>
      </c>
      <c r="E11" s="88">
        <f>F11+G11+H11+I11+J11+K11+L11</f>
        <v>2166063117</v>
      </c>
      <c r="F11" s="88">
        <f>279467500+2997400+650060</f>
        <v>283114960</v>
      </c>
      <c r="G11" s="88">
        <f>924600+573289+290058500-15089800</f>
        <v>276466589</v>
      </c>
      <c r="H11" s="88">
        <f>329925708-48191100</f>
        <v>281734608</v>
      </c>
      <c r="I11" s="88">
        <f>343994240-51230000</f>
        <v>292764240</v>
      </c>
      <c r="J11" s="88">
        <v>343994240</v>
      </c>
      <c r="K11" s="88">
        <v>343994240</v>
      </c>
      <c r="L11" s="88">
        <v>343994240</v>
      </c>
      <c r="M11" s="292"/>
      <c r="N11" s="270"/>
      <c r="O11" s="270"/>
      <c r="P11" s="270"/>
      <c r="Q11" s="270"/>
      <c r="R11" s="270"/>
      <c r="S11" s="270"/>
      <c r="T11" s="270"/>
      <c r="U11" s="267"/>
    </row>
    <row r="12" spans="1:21" ht="22.5" customHeight="1">
      <c r="A12" s="286"/>
      <c r="B12" s="287"/>
      <c r="C12" s="278"/>
      <c r="D12" s="87" t="s">
        <v>149</v>
      </c>
      <c r="E12" s="88">
        <f>F12+G12+H12+I12+J12+K12+L12</f>
        <v>0</v>
      </c>
      <c r="F12" s="88"/>
      <c r="G12" s="88"/>
      <c r="H12" s="88"/>
      <c r="I12" s="88"/>
      <c r="J12" s="88"/>
      <c r="K12" s="88"/>
      <c r="L12" s="88"/>
      <c r="M12" s="292"/>
      <c r="N12" s="270"/>
      <c r="O12" s="270"/>
      <c r="P12" s="270"/>
      <c r="Q12" s="270"/>
      <c r="R12" s="270"/>
      <c r="S12" s="270"/>
      <c r="T12" s="270"/>
      <c r="U12" s="267"/>
    </row>
    <row r="13" spans="1:21" ht="23.25" customHeight="1">
      <c r="A13" s="286"/>
      <c r="B13" s="287"/>
      <c r="C13" s="279"/>
      <c r="D13" s="87" t="s">
        <v>151</v>
      </c>
      <c r="E13" s="88">
        <f>F13+G13+H13+I13+J13+K13+L13</f>
        <v>0</v>
      </c>
      <c r="F13" s="88"/>
      <c r="G13" s="88"/>
      <c r="H13" s="88"/>
      <c r="I13" s="88"/>
      <c r="J13" s="88"/>
      <c r="K13" s="88"/>
      <c r="L13" s="88"/>
      <c r="M13" s="293"/>
      <c r="N13" s="271"/>
      <c r="O13" s="271"/>
      <c r="P13" s="271"/>
      <c r="Q13" s="271"/>
      <c r="R13" s="271"/>
      <c r="S13" s="271"/>
      <c r="T13" s="271"/>
      <c r="U13" s="268"/>
    </row>
    <row r="14" spans="1:21" ht="18.75" customHeight="1">
      <c r="A14" s="286" t="s">
        <v>193</v>
      </c>
      <c r="B14" s="287" t="s">
        <v>216</v>
      </c>
      <c r="C14" s="277" t="s">
        <v>132</v>
      </c>
      <c r="D14" s="85" t="s">
        <v>152</v>
      </c>
      <c r="E14" s="86">
        <f>E16+E17+E18+E19</f>
        <v>1671360752.24</v>
      </c>
      <c r="F14" s="86">
        <f aca="true" t="shared" si="1" ref="F14:L14">F16+F17+F18+F19</f>
        <v>209551061.53</v>
      </c>
      <c r="G14" s="86">
        <f t="shared" si="1"/>
        <v>198237027.56</v>
      </c>
      <c r="H14" s="86">
        <f t="shared" si="1"/>
        <v>247097796.79</v>
      </c>
      <c r="I14" s="86">
        <f t="shared" si="1"/>
        <v>254118716.59</v>
      </c>
      <c r="J14" s="86">
        <f t="shared" si="1"/>
        <v>254118716.59</v>
      </c>
      <c r="K14" s="86">
        <f t="shared" si="1"/>
        <v>254118716.59</v>
      </c>
      <c r="L14" s="86">
        <f t="shared" si="1"/>
        <v>254118716.59</v>
      </c>
      <c r="M14" s="291" t="s">
        <v>329</v>
      </c>
      <c r="N14" s="269">
        <v>100</v>
      </c>
      <c r="O14" s="269">
        <v>100</v>
      </c>
      <c r="P14" s="269">
        <v>100</v>
      </c>
      <c r="Q14" s="269">
        <v>100</v>
      </c>
      <c r="R14" s="269">
        <v>100</v>
      </c>
      <c r="S14" s="269">
        <v>100</v>
      </c>
      <c r="T14" s="269">
        <v>100</v>
      </c>
      <c r="U14" s="266" t="s">
        <v>94</v>
      </c>
    </row>
    <row r="15" spans="1:21" ht="16.5" customHeight="1">
      <c r="A15" s="286"/>
      <c r="B15" s="287"/>
      <c r="C15" s="278"/>
      <c r="D15" s="283" t="s">
        <v>177</v>
      </c>
      <c r="E15" s="284"/>
      <c r="F15" s="284"/>
      <c r="G15" s="284"/>
      <c r="H15" s="284"/>
      <c r="I15" s="284"/>
      <c r="J15" s="284"/>
      <c r="K15" s="284"/>
      <c r="L15" s="285"/>
      <c r="M15" s="292"/>
      <c r="N15" s="270"/>
      <c r="O15" s="270"/>
      <c r="P15" s="270"/>
      <c r="Q15" s="270"/>
      <c r="R15" s="270"/>
      <c r="S15" s="270"/>
      <c r="T15" s="270"/>
      <c r="U15" s="267"/>
    </row>
    <row r="16" spans="1:21" ht="12.75" customHeight="1">
      <c r="A16" s="286"/>
      <c r="B16" s="287"/>
      <c r="C16" s="278"/>
      <c r="D16" s="87" t="s">
        <v>150</v>
      </c>
      <c r="E16" s="88">
        <f>F16+G16+H16+I16+J16+K16+L16</f>
        <v>1370148750.24</v>
      </c>
      <c r="F16" s="88">
        <f>166906451.53</f>
        <v>166906451.53</v>
      </c>
      <c r="G16" s="88">
        <f>163916960.35-8715464.79</f>
        <v>155201495.56</v>
      </c>
      <c r="H16" s="88">
        <v>204048096.79</v>
      </c>
      <c r="I16" s="88">
        <v>210998176.59</v>
      </c>
      <c r="J16" s="88">
        <v>210998176.59</v>
      </c>
      <c r="K16" s="88">
        <v>210998176.59</v>
      </c>
      <c r="L16" s="88">
        <v>210998176.59</v>
      </c>
      <c r="M16" s="292"/>
      <c r="N16" s="270"/>
      <c r="O16" s="270"/>
      <c r="P16" s="270"/>
      <c r="Q16" s="270"/>
      <c r="R16" s="270"/>
      <c r="S16" s="270"/>
      <c r="T16" s="270"/>
      <c r="U16" s="267"/>
    </row>
    <row r="17" spans="1:21" ht="12.75" customHeight="1">
      <c r="A17" s="286"/>
      <c r="B17" s="287"/>
      <c r="C17" s="278"/>
      <c r="D17" s="87" t="s">
        <v>148</v>
      </c>
      <c r="E17" s="88">
        <f>F17+G17+H17+I17+J17+K17+L17</f>
        <v>967810</v>
      </c>
      <c r="F17" s="88">
        <v>967810</v>
      </c>
      <c r="G17" s="88"/>
      <c r="H17" s="88"/>
      <c r="I17" s="88"/>
      <c r="J17" s="88"/>
      <c r="K17" s="88"/>
      <c r="L17" s="88"/>
      <c r="M17" s="292"/>
      <c r="N17" s="270"/>
      <c r="O17" s="270"/>
      <c r="P17" s="270"/>
      <c r="Q17" s="270"/>
      <c r="R17" s="270"/>
      <c r="S17" s="270"/>
      <c r="T17" s="270"/>
      <c r="U17" s="267"/>
    </row>
    <row r="18" spans="1:21" ht="12.75" customHeight="1">
      <c r="A18" s="286"/>
      <c r="B18" s="287"/>
      <c r="C18" s="278"/>
      <c r="D18" s="87" t="s">
        <v>149</v>
      </c>
      <c r="E18" s="88">
        <f>F18+G18+H18+I18+J18+K18+L18</f>
        <v>0</v>
      </c>
      <c r="F18" s="88"/>
      <c r="G18" s="88"/>
      <c r="H18" s="88"/>
      <c r="I18" s="88"/>
      <c r="J18" s="88"/>
      <c r="K18" s="88"/>
      <c r="L18" s="88"/>
      <c r="M18" s="292"/>
      <c r="N18" s="270"/>
      <c r="O18" s="270"/>
      <c r="P18" s="270"/>
      <c r="Q18" s="270"/>
      <c r="R18" s="270"/>
      <c r="S18" s="270"/>
      <c r="T18" s="270"/>
      <c r="U18" s="267"/>
    </row>
    <row r="19" spans="1:21" ht="13.5" customHeight="1">
      <c r="A19" s="286"/>
      <c r="B19" s="287"/>
      <c r="C19" s="279"/>
      <c r="D19" s="87" t="s">
        <v>151</v>
      </c>
      <c r="E19" s="88">
        <f>F19+G19+H19+I19+J19+K19+L19</f>
        <v>300244192</v>
      </c>
      <c r="F19" s="88">
        <v>41676800</v>
      </c>
      <c r="G19" s="88">
        <v>43035532</v>
      </c>
      <c r="H19" s="88">
        <v>43049700</v>
      </c>
      <c r="I19" s="88">
        <v>43120540</v>
      </c>
      <c r="J19" s="88">
        <v>43120540</v>
      </c>
      <c r="K19" s="88">
        <v>43120540</v>
      </c>
      <c r="L19" s="88">
        <v>43120540</v>
      </c>
      <c r="M19" s="293"/>
      <c r="N19" s="271"/>
      <c r="O19" s="271"/>
      <c r="P19" s="271"/>
      <c r="Q19" s="271"/>
      <c r="R19" s="271"/>
      <c r="S19" s="271"/>
      <c r="T19" s="271"/>
      <c r="U19" s="268"/>
    </row>
    <row r="20" spans="1:21" ht="19.5" customHeight="1">
      <c r="A20" s="286" t="s">
        <v>194</v>
      </c>
      <c r="B20" s="287" t="s">
        <v>183</v>
      </c>
      <c r="C20" s="277" t="s">
        <v>132</v>
      </c>
      <c r="D20" s="85" t="s">
        <v>152</v>
      </c>
      <c r="E20" s="86">
        <f>E22+E23+E24+E25</f>
        <v>136556259.30000004</v>
      </c>
      <c r="F20" s="86">
        <f aca="true" t="shared" si="2" ref="F20:L20">F22+F23+F24+F25</f>
        <v>17320699.03</v>
      </c>
      <c r="G20" s="86">
        <f t="shared" si="2"/>
        <v>17226432.82</v>
      </c>
      <c r="H20" s="86">
        <f t="shared" si="2"/>
        <v>20401825.490000002</v>
      </c>
      <c r="I20" s="86">
        <f t="shared" si="2"/>
        <v>20401825.490000002</v>
      </c>
      <c r="J20" s="86">
        <f t="shared" si="2"/>
        <v>20401825.490000002</v>
      </c>
      <c r="K20" s="86">
        <f t="shared" si="2"/>
        <v>20401825.490000002</v>
      </c>
      <c r="L20" s="86">
        <f t="shared" si="2"/>
        <v>20401825.490000002</v>
      </c>
      <c r="M20" s="280" t="s">
        <v>12</v>
      </c>
      <c r="N20" s="272">
        <v>1</v>
      </c>
      <c r="O20" s="272">
        <v>1</v>
      </c>
      <c r="P20" s="272">
        <v>1</v>
      </c>
      <c r="Q20" s="272">
        <v>1</v>
      </c>
      <c r="R20" s="272">
        <v>1</v>
      </c>
      <c r="S20" s="272">
        <v>1</v>
      </c>
      <c r="T20" s="272">
        <v>1</v>
      </c>
      <c r="U20" s="266" t="s">
        <v>94</v>
      </c>
    </row>
    <row r="21" spans="1:21" ht="16.5" customHeight="1">
      <c r="A21" s="286"/>
      <c r="B21" s="287"/>
      <c r="C21" s="278"/>
      <c r="D21" s="283" t="s">
        <v>177</v>
      </c>
      <c r="E21" s="284"/>
      <c r="F21" s="284"/>
      <c r="G21" s="284"/>
      <c r="H21" s="284"/>
      <c r="I21" s="284"/>
      <c r="J21" s="284"/>
      <c r="K21" s="284"/>
      <c r="L21" s="285"/>
      <c r="M21" s="281"/>
      <c r="N21" s="273"/>
      <c r="O21" s="273"/>
      <c r="P21" s="273"/>
      <c r="Q21" s="273"/>
      <c r="R21" s="273"/>
      <c r="S21" s="273"/>
      <c r="T21" s="273"/>
      <c r="U21" s="267"/>
    </row>
    <row r="22" spans="1:21" ht="23.25" customHeight="1">
      <c r="A22" s="286"/>
      <c r="B22" s="287"/>
      <c r="C22" s="278"/>
      <c r="D22" s="87" t="s">
        <v>150</v>
      </c>
      <c r="E22" s="88">
        <f>F22+G22+H22+I22+J22+K22+L22</f>
        <v>136556259.30000004</v>
      </c>
      <c r="F22" s="88">
        <f>16842844.03+477855</f>
        <v>17320699.03</v>
      </c>
      <c r="G22" s="88">
        <f>18193797-967364.18</f>
        <v>17226432.82</v>
      </c>
      <c r="H22" s="88">
        <v>20401825.490000002</v>
      </c>
      <c r="I22" s="88">
        <v>20401825.490000002</v>
      </c>
      <c r="J22" s="88">
        <v>20401825.490000002</v>
      </c>
      <c r="K22" s="88">
        <v>20401825.490000002</v>
      </c>
      <c r="L22" s="88">
        <v>20401825.490000002</v>
      </c>
      <c r="M22" s="281"/>
      <c r="N22" s="273"/>
      <c r="O22" s="273"/>
      <c r="P22" s="273"/>
      <c r="Q22" s="273"/>
      <c r="R22" s="273"/>
      <c r="S22" s="273"/>
      <c r="T22" s="273"/>
      <c r="U22" s="267"/>
    </row>
    <row r="23" spans="1:21" ht="12.75">
      <c r="A23" s="286"/>
      <c r="B23" s="287"/>
      <c r="C23" s="278"/>
      <c r="D23" s="87" t="s">
        <v>148</v>
      </c>
      <c r="E23" s="88">
        <f>F23+G23+H23+I23+J23+K23+L23</f>
        <v>0</v>
      </c>
      <c r="F23" s="88"/>
      <c r="G23" s="88"/>
      <c r="H23" s="88"/>
      <c r="I23" s="88"/>
      <c r="J23" s="88"/>
      <c r="K23" s="88"/>
      <c r="L23" s="88"/>
      <c r="M23" s="281"/>
      <c r="N23" s="273"/>
      <c r="O23" s="273"/>
      <c r="P23" s="273"/>
      <c r="Q23" s="273"/>
      <c r="R23" s="273"/>
      <c r="S23" s="273"/>
      <c r="T23" s="273"/>
      <c r="U23" s="267"/>
    </row>
    <row r="24" spans="1:21" ht="12.75">
      <c r="A24" s="286"/>
      <c r="B24" s="287"/>
      <c r="C24" s="278"/>
      <c r="D24" s="87" t="s">
        <v>149</v>
      </c>
      <c r="E24" s="88">
        <f>F24+G24+H24+I24+J24+K24+L24</f>
        <v>0</v>
      </c>
      <c r="F24" s="88"/>
      <c r="G24" s="88"/>
      <c r="H24" s="88"/>
      <c r="I24" s="88"/>
      <c r="J24" s="88"/>
      <c r="K24" s="88"/>
      <c r="L24" s="88"/>
      <c r="M24" s="281"/>
      <c r="N24" s="273"/>
      <c r="O24" s="273"/>
      <c r="P24" s="273"/>
      <c r="Q24" s="273"/>
      <c r="R24" s="273"/>
      <c r="S24" s="273"/>
      <c r="T24" s="273"/>
      <c r="U24" s="267"/>
    </row>
    <row r="25" spans="1:21" ht="12.75">
      <c r="A25" s="286"/>
      <c r="B25" s="287"/>
      <c r="C25" s="279"/>
      <c r="D25" s="87" t="s">
        <v>151</v>
      </c>
      <c r="E25" s="88">
        <f>F25+G25+H25+I25+J25+K25+L25</f>
        <v>0</v>
      </c>
      <c r="F25" s="88"/>
      <c r="G25" s="88"/>
      <c r="H25" s="88"/>
      <c r="I25" s="88"/>
      <c r="J25" s="88"/>
      <c r="K25" s="88"/>
      <c r="L25" s="88"/>
      <c r="M25" s="282"/>
      <c r="N25" s="276"/>
      <c r="O25" s="276"/>
      <c r="P25" s="276"/>
      <c r="Q25" s="276"/>
      <c r="R25" s="276"/>
      <c r="S25" s="276"/>
      <c r="T25" s="276"/>
      <c r="U25" s="268"/>
    </row>
    <row r="26" spans="1:21" ht="19.5" customHeight="1">
      <c r="A26" s="286" t="s">
        <v>203</v>
      </c>
      <c r="B26" s="287" t="s">
        <v>315</v>
      </c>
      <c r="C26" s="277" t="s">
        <v>132</v>
      </c>
      <c r="D26" s="85" t="s">
        <v>152</v>
      </c>
      <c r="E26" s="86">
        <f>E28+E29+E30+E31</f>
        <v>47383565.24</v>
      </c>
      <c r="F26" s="86">
        <f aca="true" t="shared" si="3" ref="F26:L26">F28+F29+F30+F31</f>
        <v>805706</v>
      </c>
      <c r="G26" s="86">
        <f t="shared" si="3"/>
        <v>7293373.14</v>
      </c>
      <c r="H26" s="86">
        <f t="shared" si="3"/>
        <v>7818122.82</v>
      </c>
      <c r="I26" s="86">
        <f t="shared" si="3"/>
        <v>7866590.82</v>
      </c>
      <c r="J26" s="86">
        <f t="shared" si="3"/>
        <v>7866590.82</v>
      </c>
      <c r="K26" s="86">
        <f t="shared" si="3"/>
        <v>7866590.82</v>
      </c>
      <c r="L26" s="86">
        <f t="shared" si="3"/>
        <v>7866590.82</v>
      </c>
      <c r="M26" s="280" t="s">
        <v>338</v>
      </c>
      <c r="N26" s="272">
        <v>1</v>
      </c>
      <c r="O26" s="272">
        <v>1</v>
      </c>
      <c r="P26" s="272">
        <v>1</v>
      </c>
      <c r="Q26" s="272">
        <v>1</v>
      </c>
      <c r="R26" s="272">
        <v>1</v>
      </c>
      <c r="S26" s="272">
        <v>1</v>
      </c>
      <c r="T26" s="272">
        <v>1</v>
      </c>
      <c r="U26" s="266" t="s">
        <v>94</v>
      </c>
    </row>
    <row r="27" spans="1:21" ht="16.5" customHeight="1">
      <c r="A27" s="286"/>
      <c r="B27" s="287"/>
      <c r="C27" s="278"/>
      <c r="D27" s="283" t="s">
        <v>177</v>
      </c>
      <c r="E27" s="284"/>
      <c r="F27" s="284"/>
      <c r="G27" s="284"/>
      <c r="H27" s="284"/>
      <c r="I27" s="284"/>
      <c r="J27" s="284"/>
      <c r="K27" s="284"/>
      <c r="L27" s="285"/>
      <c r="M27" s="281"/>
      <c r="N27" s="273"/>
      <c r="O27" s="273"/>
      <c r="P27" s="273"/>
      <c r="Q27" s="273"/>
      <c r="R27" s="273"/>
      <c r="S27" s="273"/>
      <c r="T27" s="273"/>
      <c r="U27" s="267"/>
    </row>
    <row r="28" spans="1:21" ht="23.25" customHeight="1">
      <c r="A28" s="286"/>
      <c r="B28" s="287"/>
      <c r="C28" s="278"/>
      <c r="D28" s="87" t="s">
        <v>150</v>
      </c>
      <c r="E28" s="88">
        <f>F28+G28+H28+I28+J28+K28+L28</f>
        <v>40773107.24</v>
      </c>
      <c r="F28" s="88"/>
      <c r="G28" s="88">
        <f>6741124.35-337056.21</f>
        <v>6404068.14</v>
      </c>
      <c r="H28" s="88">
        <v>6873807.82</v>
      </c>
      <c r="I28" s="88">
        <v>6873807.82</v>
      </c>
      <c r="J28" s="88">
        <v>6873807.82</v>
      </c>
      <c r="K28" s="88">
        <v>6873807.82</v>
      </c>
      <c r="L28" s="88">
        <v>6873807.82</v>
      </c>
      <c r="M28" s="281"/>
      <c r="N28" s="273"/>
      <c r="O28" s="273"/>
      <c r="P28" s="273"/>
      <c r="Q28" s="273"/>
      <c r="R28" s="273"/>
      <c r="S28" s="273"/>
      <c r="T28" s="273"/>
      <c r="U28" s="267"/>
    </row>
    <row r="29" spans="1:21" ht="15" customHeight="1">
      <c r="A29" s="286"/>
      <c r="B29" s="287"/>
      <c r="C29" s="278"/>
      <c r="D29" s="87" t="s">
        <v>148</v>
      </c>
      <c r="E29" s="88">
        <f>F29+G29+H29+I29+J29+K29+L29</f>
        <v>6610458</v>
      </c>
      <c r="F29" s="89">
        <v>805706</v>
      </c>
      <c r="G29" s="89">
        <f>4745+884560</f>
        <v>889305</v>
      </c>
      <c r="H29" s="89">
        <v>944315</v>
      </c>
      <c r="I29" s="89">
        <v>992783</v>
      </c>
      <c r="J29" s="89">
        <v>992783</v>
      </c>
      <c r="K29" s="89">
        <v>992783</v>
      </c>
      <c r="L29" s="89">
        <v>992783</v>
      </c>
      <c r="M29" s="281"/>
      <c r="N29" s="273"/>
      <c r="O29" s="273"/>
      <c r="P29" s="273"/>
      <c r="Q29" s="273"/>
      <c r="R29" s="273"/>
      <c r="S29" s="273"/>
      <c r="T29" s="273"/>
      <c r="U29" s="267"/>
    </row>
    <row r="30" spans="1:21" ht="12.75">
      <c r="A30" s="286"/>
      <c r="B30" s="287"/>
      <c r="C30" s="278"/>
      <c r="D30" s="87" t="s">
        <v>149</v>
      </c>
      <c r="E30" s="88">
        <f>F30+G30+H30+I30+J30+K30+L30</f>
        <v>0</v>
      </c>
      <c r="F30" s="88"/>
      <c r="G30" s="88"/>
      <c r="H30" s="88"/>
      <c r="I30" s="88"/>
      <c r="J30" s="88"/>
      <c r="K30" s="88"/>
      <c r="L30" s="88"/>
      <c r="M30" s="281"/>
      <c r="N30" s="273"/>
      <c r="O30" s="273"/>
      <c r="P30" s="273"/>
      <c r="Q30" s="273"/>
      <c r="R30" s="273"/>
      <c r="S30" s="273"/>
      <c r="T30" s="273"/>
      <c r="U30" s="267"/>
    </row>
    <row r="31" spans="1:21" ht="12.75">
      <c r="A31" s="286"/>
      <c r="B31" s="287"/>
      <c r="C31" s="279"/>
      <c r="D31" s="87" t="s">
        <v>151</v>
      </c>
      <c r="E31" s="88">
        <f>F31+G31+H31+I31+J31+K31+L31</f>
        <v>0</v>
      </c>
      <c r="F31" s="88"/>
      <c r="G31" s="88"/>
      <c r="H31" s="88"/>
      <c r="I31" s="88"/>
      <c r="J31" s="88"/>
      <c r="K31" s="88"/>
      <c r="L31" s="88"/>
      <c r="M31" s="282"/>
      <c r="N31" s="276"/>
      <c r="O31" s="276"/>
      <c r="P31" s="276"/>
      <c r="Q31" s="276"/>
      <c r="R31" s="276"/>
      <c r="S31" s="276"/>
      <c r="T31" s="276"/>
      <c r="U31" s="268"/>
    </row>
    <row r="32" spans="1:21" ht="18" customHeight="1">
      <c r="A32" s="286" t="s">
        <v>204</v>
      </c>
      <c r="B32" s="287" t="s">
        <v>184</v>
      </c>
      <c r="C32" s="277" t="s">
        <v>132</v>
      </c>
      <c r="D32" s="85" t="s">
        <v>152</v>
      </c>
      <c r="E32" s="86">
        <f>E34+E35+E36+E37</f>
        <v>3029200</v>
      </c>
      <c r="F32" s="86">
        <f aca="true" t="shared" si="4" ref="F32:L32">F34+F35+F36+F37</f>
        <v>291800</v>
      </c>
      <c r="G32" s="86">
        <f t="shared" si="4"/>
        <v>378200</v>
      </c>
      <c r="H32" s="86">
        <f t="shared" si="4"/>
        <v>471600</v>
      </c>
      <c r="I32" s="86">
        <f t="shared" si="4"/>
        <v>471900</v>
      </c>
      <c r="J32" s="86">
        <f t="shared" si="4"/>
        <v>471900</v>
      </c>
      <c r="K32" s="86">
        <f t="shared" si="4"/>
        <v>471900</v>
      </c>
      <c r="L32" s="86">
        <f t="shared" si="4"/>
        <v>471900</v>
      </c>
      <c r="M32" s="280" t="s">
        <v>8</v>
      </c>
      <c r="N32" s="272">
        <v>1</v>
      </c>
      <c r="O32" s="272">
        <v>1</v>
      </c>
      <c r="P32" s="272">
        <v>1</v>
      </c>
      <c r="Q32" s="272">
        <v>1</v>
      </c>
      <c r="R32" s="272">
        <v>1</v>
      </c>
      <c r="S32" s="272">
        <v>1</v>
      </c>
      <c r="T32" s="272">
        <v>1</v>
      </c>
      <c r="U32" s="266" t="s">
        <v>94</v>
      </c>
    </row>
    <row r="33" spans="1:21" ht="16.5" customHeight="1">
      <c r="A33" s="286"/>
      <c r="B33" s="287"/>
      <c r="C33" s="278"/>
      <c r="D33" s="283" t="s">
        <v>177</v>
      </c>
      <c r="E33" s="284"/>
      <c r="F33" s="284"/>
      <c r="G33" s="284"/>
      <c r="H33" s="284"/>
      <c r="I33" s="284"/>
      <c r="J33" s="284"/>
      <c r="K33" s="284"/>
      <c r="L33" s="285"/>
      <c r="M33" s="281"/>
      <c r="N33" s="273"/>
      <c r="O33" s="273"/>
      <c r="P33" s="273"/>
      <c r="Q33" s="273"/>
      <c r="R33" s="273"/>
      <c r="S33" s="273"/>
      <c r="T33" s="273"/>
      <c r="U33" s="267"/>
    </row>
    <row r="34" spans="1:21" ht="18.75" customHeight="1">
      <c r="A34" s="286"/>
      <c r="B34" s="287"/>
      <c r="C34" s="278"/>
      <c r="D34" s="87" t="s">
        <v>150</v>
      </c>
      <c r="E34" s="88">
        <f>F34+G34+H34+I34+J34+K34+L34</f>
        <v>0</v>
      </c>
      <c r="F34" s="88"/>
      <c r="G34" s="88"/>
      <c r="H34" s="88"/>
      <c r="I34" s="88"/>
      <c r="J34" s="88"/>
      <c r="K34" s="88"/>
      <c r="L34" s="88"/>
      <c r="M34" s="281"/>
      <c r="N34" s="273"/>
      <c r="O34" s="273"/>
      <c r="P34" s="273"/>
      <c r="Q34" s="273"/>
      <c r="R34" s="273"/>
      <c r="S34" s="273"/>
      <c r="T34" s="273"/>
      <c r="U34" s="267"/>
    </row>
    <row r="35" spans="1:21" ht="15.75" customHeight="1">
      <c r="A35" s="286"/>
      <c r="B35" s="287"/>
      <c r="C35" s="278"/>
      <c r="D35" s="87" t="s">
        <v>148</v>
      </c>
      <c r="E35" s="88">
        <f>F35+G35+H35+I35+J35+K35+L35</f>
        <v>3029200</v>
      </c>
      <c r="F35" s="88">
        <f>472400-180600</f>
        <v>291800</v>
      </c>
      <c r="G35" s="88">
        <f>424400-46200</f>
        <v>378200</v>
      </c>
      <c r="H35" s="88">
        <v>471600</v>
      </c>
      <c r="I35" s="88">
        <v>471900</v>
      </c>
      <c r="J35" s="88">
        <v>471900</v>
      </c>
      <c r="K35" s="88">
        <v>471900</v>
      </c>
      <c r="L35" s="88">
        <v>471900</v>
      </c>
      <c r="M35" s="301"/>
      <c r="N35" s="274"/>
      <c r="O35" s="274"/>
      <c r="P35" s="274"/>
      <c r="Q35" s="274"/>
      <c r="R35" s="274"/>
      <c r="S35" s="274"/>
      <c r="T35" s="274"/>
      <c r="U35" s="267"/>
    </row>
    <row r="36" spans="1:21" ht="14.25" customHeight="1">
      <c r="A36" s="286"/>
      <c r="B36" s="287"/>
      <c r="C36" s="278"/>
      <c r="D36" s="87" t="s">
        <v>149</v>
      </c>
      <c r="E36" s="88">
        <f>F36+G36+H36+I36+J36+K36+L36</f>
        <v>0</v>
      </c>
      <c r="F36" s="88"/>
      <c r="G36" s="88"/>
      <c r="H36" s="88"/>
      <c r="I36" s="88"/>
      <c r="J36" s="88"/>
      <c r="K36" s="88"/>
      <c r="L36" s="88"/>
      <c r="M36" s="301"/>
      <c r="N36" s="274"/>
      <c r="O36" s="274"/>
      <c r="P36" s="274"/>
      <c r="Q36" s="274"/>
      <c r="R36" s="274"/>
      <c r="S36" s="274"/>
      <c r="T36" s="274"/>
      <c r="U36" s="267"/>
    </row>
    <row r="37" spans="1:21" ht="14.25" customHeight="1">
      <c r="A37" s="286"/>
      <c r="B37" s="287"/>
      <c r="C37" s="279"/>
      <c r="D37" s="87" t="s">
        <v>151</v>
      </c>
      <c r="E37" s="88">
        <f>F37+G37+H37+I37+J37+K37+L37</f>
        <v>0</v>
      </c>
      <c r="F37" s="88"/>
      <c r="G37" s="88"/>
      <c r="H37" s="88"/>
      <c r="I37" s="88"/>
      <c r="J37" s="88"/>
      <c r="K37" s="88"/>
      <c r="L37" s="88"/>
      <c r="M37" s="302"/>
      <c r="N37" s="275"/>
      <c r="O37" s="275"/>
      <c r="P37" s="275"/>
      <c r="Q37" s="275"/>
      <c r="R37" s="275"/>
      <c r="S37" s="275"/>
      <c r="T37" s="275"/>
      <c r="U37" s="268"/>
    </row>
    <row r="38" spans="1:21" ht="14.25" customHeight="1">
      <c r="A38" s="286" t="s">
        <v>205</v>
      </c>
      <c r="B38" s="299" t="s">
        <v>185</v>
      </c>
      <c r="C38" s="277" t="s">
        <v>132</v>
      </c>
      <c r="D38" s="85" t="s">
        <v>152</v>
      </c>
      <c r="E38" s="86">
        <f>E40+E41+E42+E43</f>
        <v>121166800</v>
      </c>
      <c r="F38" s="86">
        <f aca="true" t="shared" si="5" ref="F38:L38">F40+F41+F42+F43</f>
        <v>11673300</v>
      </c>
      <c r="G38" s="86">
        <f t="shared" si="5"/>
        <v>15127200</v>
      </c>
      <c r="H38" s="86">
        <f t="shared" si="5"/>
        <v>18864700</v>
      </c>
      <c r="I38" s="86">
        <f t="shared" si="5"/>
        <v>18875400</v>
      </c>
      <c r="J38" s="86">
        <f t="shared" si="5"/>
        <v>18875400</v>
      </c>
      <c r="K38" s="86">
        <f t="shared" si="5"/>
        <v>18875400</v>
      </c>
      <c r="L38" s="86">
        <f t="shared" si="5"/>
        <v>18875400</v>
      </c>
      <c r="M38" s="280" t="s">
        <v>336</v>
      </c>
      <c r="N38" s="269">
        <v>93.7</v>
      </c>
      <c r="O38" s="269">
        <v>93.5</v>
      </c>
      <c r="P38" s="269">
        <v>93.3</v>
      </c>
      <c r="Q38" s="269">
        <v>93</v>
      </c>
      <c r="R38" s="269">
        <v>93</v>
      </c>
      <c r="S38" s="269">
        <v>93</v>
      </c>
      <c r="T38" s="269">
        <v>93</v>
      </c>
      <c r="U38" s="266" t="s">
        <v>94</v>
      </c>
    </row>
    <row r="39" spans="1:21" ht="16.5" customHeight="1">
      <c r="A39" s="286"/>
      <c r="B39" s="299"/>
      <c r="C39" s="278"/>
      <c r="D39" s="283" t="s">
        <v>177</v>
      </c>
      <c r="E39" s="284"/>
      <c r="F39" s="284"/>
      <c r="G39" s="284"/>
      <c r="H39" s="284"/>
      <c r="I39" s="284"/>
      <c r="J39" s="284"/>
      <c r="K39" s="284"/>
      <c r="L39" s="285"/>
      <c r="M39" s="281"/>
      <c r="N39" s="270"/>
      <c r="O39" s="270"/>
      <c r="P39" s="270"/>
      <c r="Q39" s="270"/>
      <c r="R39" s="270"/>
      <c r="S39" s="270"/>
      <c r="T39" s="270"/>
      <c r="U39" s="267"/>
    </row>
    <row r="40" spans="1:21" ht="14.25" customHeight="1">
      <c r="A40" s="286"/>
      <c r="B40" s="299"/>
      <c r="C40" s="278"/>
      <c r="D40" s="87" t="s">
        <v>150</v>
      </c>
      <c r="E40" s="88">
        <f>F40+G40+H40+I40+J40+K40+L40</f>
        <v>0</v>
      </c>
      <c r="F40" s="89"/>
      <c r="G40" s="88"/>
      <c r="H40" s="88"/>
      <c r="I40" s="88"/>
      <c r="J40" s="88"/>
      <c r="K40" s="88"/>
      <c r="L40" s="88"/>
      <c r="M40" s="281"/>
      <c r="N40" s="270"/>
      <c r="O40" s="270"/>
      <c r="P40" s="270"/>
      <c r="Q40" s="270"/>
      <c r="R40" s="270"/>
      <c r="S40" s="270"/>
      <c r="T40" s="270"/>
      <c r="U40" s="267"/>
    </row>
    <row r="41" spans="1:21" ht="14.25" customHeight="1">
      <c r="A41" s="286"/>
      <c r="B41" s="299"/>
      <c r="C41" s="278"/>
      <c r="D41" s="87" t="s">
        <v>148</v>
      </c>
      <c r="E41" s="88">
        <f>F41+G41+H41+I41+J41+K41+L41</f>
        <v>121166800</v>
      </c>
      <c r="F41" s="89">
        <f>18894800-7221500</f>
        <v>11673300</v>
      </c>
      <c r="G41" s="88">
        <f>16977600-1850400</f>
        <v>15127200</v>
      </c>
      <c r="H41" s="88">
        <v>18864700</v>
      </c>
      <c r="I41" s="88">
        <v>18875400</v>
      </c>
      <c r="J41" s="88">
        <v>18875400</v>
      </c>
      <c r="K41" s="88">
        <v>18875400</v>
      </c>
      <c r="L41" s="88">
        <v>18875400</v>
      </c>
      <c r="M41" s="281"/>
      <c r="N41" s="270"/>
      <c r="O41" s="270"/>
      <c r="P41" s="270"/>
      <c r="Q41" s="270"/>
      <c r="R41" s="270"/>
      <c r="S41" s="270"/>
      <c r="T41" s="270"/>
      <c r="U41" s="267"/>
    </row>
    <row r="42" spans="1:21" ht="14.25" customHeight="1">
      <c r="A42" s="286"/>
      <c r="B42" s="299"/>
      <c r="C42" s="278"/>
      <c r="D42" s="87" t="s">
        <v>149</v>
      </c>
      <c r="E42" s="88">
        <f>F42+G42+H42+I42+J42+K42+L42</f>
        <v>0</v>
      </c>
      <c r="F42" s="89"/>
      <c r="G42" s="88"/>
      <c r="H42" s="88"/>
      <c r="I42" s="88"/>
      <c r="J42" s="88"/>
      <c r="K42" s="88"/>
      <c r="L42" s="88"/>
      <c r="M42" s="281"/>
      <c r="N42" s="270"/>
      <c r="O42" s="270"/>
      <c r="P42" s="270"/>
      <c r="Q42" s="270"/>
      <c r="R42" s="270"/>
      <c r="S42" s="270"/>
      <c r="T42" s="270"/>
      <c r="U42" s="267"/>
    </row>
    <row r="43" spans="1:21" ht="14.25" customHeight="1">
      <c r="A43" s="286"/>
      <c r="B43" s="299"/>
      <c r="C43" s="279"/>
      <c r="D43" s="87" t="s">
        <v>151</v>
      </c>
      <c r="E43" s="88">
        <f>F43+G43+H43+I43+J43+K43+L43</f>
        <v>0</v>
      </c>
      <c r="F43" s="89"/>
      <c r="G43" s="88"/>
      <c r="H43" s="88"/>
      <c r="I43" s="88"/>
      <c r="J43" s="88"/>
      <c r="K43" s="88"/>
      <c r="L43" s="88"/>
      <c r="M43" s="282"/>
      <c r="N43" s="271"/>
      <c r="O43" s="271"/>
      <c r="P43" s="271"/>
      <c r="Q43" s="271"/>
      <c r="R43" s="271"/>
      <c r="S43" s="271"/>
      <c r="T43" s="271"/>
      <c r="U43" s="268"/>
    </row>
    <row r="44" spans="1:21" ht="12.75">
      <c r="A44" s="286" t="s">
        <v>224</v>
      </c>
      <c r="B44" s="299" t="s">
        <v>186</v>
      </c>
      <c r="C44" s="277" t="s">
        <v>132</v>
      </c>
      <c r="D44" s="85" t="s">
        <v>152</v>
      </c>
      <c r="E44" s="86">
        <f>E46+E47+E48+E49</f>
        <v>22819800</v>
      </c>
      <c r="F44" s="86">
        <f aca="true" t="shared" si="6" ref="F44:L44">F46+F47+F48+F49</f>
        <v>2716800</v>
      </c>
      <c r="G44" s="86">
        <f t="shared" si="6"/>
        <v>3350500</v>
      </c>
      <c r="H44" s="86">
        <f t="shared" si="6"/>
        <v>3350500</v>
      </c>
      <c r="I44" s="86">
        <f t="shared" si="6"/>
        <v>3350500</v>
      </c>
      <c r="J44" s="86">
        <f t="shared" si="6"/>
        <v>3350500</v>
      </c>
      <c r="K44" s="86">
        <f t="shared" si="6"/>
        <v>3350500</v>
      </c>
      <c r="L44" s="86">
        <f t="shared" si="6"/>
        <v>3350500</v>
      </c>
      <c r="M44" s="280" t="s">
        <v>337</v>
      </c>
      <c r="N44" s="272">
        <v>1</v>
      </c>
      <c r="O44" s="272">
        <v>1</v>
      </c>
      <c r="P44" s="272">
        <v>1</v>
      </c>
      <c r="Q44" s="272">
        <v>1</v>
      </c>
      <c r="R44" s="272">
        <v>1</v>
      </c>
      <c r="S44" s="272">
        <v>1</v>
      </c>
      <c r="T44" s="272">
        <v>1</v>
      </c>
      <c r="U44" s="266" t="s">
        <v>94</v>
      </c>
    </row>
    <row r="45" spans="1:21" ht="12.75">
      <c r="A45" s="286"/>
      <c r="B45" s="299"/>
      <c r="C45" s="278"/>
      <c r="D45" s="283" t="s">
        <v>177</v>
      </c>
      <c r="E45" s="284"/>
      <c r="F45" s="284"/>
      <c r="G45" s="284"/>
      <c r="H45" s="284"/>
      <c r="I45" s="284"/>
      <c r="J45" s="284"/>
      <c r="K45" s="284"/>
      <c r="L45" s="285"/>
      <c r="M45" s="281"/>
      <c r="N45" s="273"/>
      <c r="O45" s="273"/>
      <c r="P45" s="273"/>
      <c r="Q45" s="273"/>
      <c r="R45" s="273"/>
      <c r="S45" s="273"/>
      <c r="T45" s="273"/>
      <c r="U45" s="267"/>
    </row>
    <row r="46" spans="1:21" ht="17.25" customHeight="1">
      <c r="A46" s="286"/>
      <c r="B46" s="299"/>
      <c r="C46" s="278"/>
      <c r="D46" s="87" t="s">
        <v>150</v>
      </c>
      <c r="E46" s="88">
        <f>F46+G46+H46+I46+J46+K46+L46</f>
        <v>0</v>
      </c>
      <c r="F46" s="89"/>
      <c r="G46" s="89"/>
      <c r="H46" s="89"/>
      <c r="I46" s="89"/>
      <c r="J46" s="89"/>
      <c r="K46" s="89"/>
      <c r="L46" s="89"/>
      <c r="M46" s="281"/>
      <c r="N46" s="273"/>
      <c r="O46" s="273"/>
      <c r="P46" s="273"/>
      <c r="Q46" s="273"/>
      <c r="R46" s="273"/>
      <c r="S46" s="273"/>
      <c r="T46" s="273"/>
      <c r="U46" s="267"/>
    </row>
    <row r="47" spans="1:21" ht="12.75">
      <c r="A47" s="286"/>
      <c r="B47" s="299"/>
      <c r="C47" s="278"/>
      <c r="D47" s="87" t="s">
        <v>148</v>
      </c>
      <c r="E47" s="88">
        <f>F47+G47+H47+I47+J47+K47+L47</f>
        <v>0</v>
      </c>
      <c r="F47" s="89"/>
      <c r="G47" s="89"/>
      <c r="H47" s="89"/>
      <c r="I47" s="89"/>
      <c r="J47" s="89"/>
      <c r="K47" s="89"/>
      <c r="L47" s="89"/>
      <c r="M47" s="281"/>
      <c r="N47" s="273"/>
      <c r="O47" s="273"/>
      <c r="P47" s="273"/>
      <c r="Q47" s="273"/>
      <c r="R47" s="273"/>
      <c r="S47" s="273"/>
      <c r="T47" s="273"/>
      <c r="U47" s="267"/>
    </row>
    <row r="48" spans="1:21" ht="12.75">
      <c r="A48" s="286"/>
      <c r="B48" s="299"/>
      <c r="C48" s="278"/>
      <c r="D48" s="87" t="s">
        <v>149</v>
      </c>
      <c r="E48" s="88">
        <f>F48+G48+H48+I48+J48+K48+L48</f>
        <v>0</v>
      </c>
      <c r="F48" s="89"/>
      <c r="G48" s="89"/>
      <c r="H48" s="89"/>
      <c r="I48" s="89"/>
      <c r="J48" s="89"/>
      <c r="K48" s="89"/>
      <c r="L48" s="89"/>
      <c r="M48" s="281"/>
      <c r="N48" s="273"/>
      <c r="O48" s="273"/>
      <c r="P48" s="273"/>
      <c r="Q48" s="273"/>
      <c r="R48" s="273"/>
      <c r="S48" s="273"/>
      <c r="T48" s="273"/>
      <c r="U48" s="267"/>
    </row>
    <row r="49" spans="1:21" ht="12.75">
      <c r="A49" s="286"/>
      <c r="B49" s="299"/>
      <c r="C49" s="279"/>
      <c r="D49" s="87" t="s">
        <v>151</v>
      </c>
      <c r="E49" s="88">
        <f>F49+G49+H49+I49+J49+K49+L49</f>
        <v>22819800</v>
      </c>
      <c r="F49" s="89">
        <f>3350500-633700</f>
        <v>2716800</v>
      </c>
      <c r="G49" s="89">
        <v>3350500</v>
      </c>
      <c r="H49" s="89">
        <v>3350500</v>
      </c>
      <c r="I49" s="89">
        <v>3350500</v>
      </c>
      <c r="J49" s="89">
        <v>3350500</v>
      </c>
      <c r="K49" s="89">
        <v>3350500</v>
      </c>
      <c r="L49" s="89">
        <v>3350500</v>
      </c>
      <c r="M49" s="282"/>
      <c r="N49" s="276"/>
      <c r="O49" s="276"/>
      <c r="P49" s="276"/>
      <c r="Q49" s="276"/>
      <c r="R49" s="276"/>
      <c r="S49" s="276"/>
      <c r="T49" s="276"/>
      <c r="U49" s="268"/>
    </row>
    <row r="50" spans="1:21" ht="13.5" customHeight="1">
      <c r="A50" s="297"/>
      <c r="B50" s="298" t="s">
        <v>123</v>
      </c>
      <c r="C50" s="297"/>
      <c r="D50" s="90" t="s">
        <v>152</v>
      </c>
      <c r="E50" s="91">
        <f aca="true" t="shared" si="7" ref="E50:L50">E52+E53+E54+E55</f>
        <v>4172349603.78</v>
      </c>
      <c r="F50" s="91">
        <f t="shared" si="7"/>
        <v>529444436.56</v>
      </c>
      <c r="G50" s="91">
        <f>G52+G53+G54+G55</f>
        <v>518079322.52</v>
      </c>
      <c r="H50" s="91">
        <f t="shared" si="7"/>
        <v>579739153.1</v>
      </c>
      <c r="I50" s="91">
        <f t="shared" si="7"/>
        <v>597849172.9</v>
      </c>
      <c r="J50" s="91">
        <f t="shared" si="7"/>
        <v>649079172.9</v>
      </c>
      <c r="K50" s="91">
        <f t="shared" si="7"/>
        <v>649079172.9</v>
      </c>
      <c r="L50" s="91">
        <f t="shared" si="7"/>
        <v>649079172.9</v>
      </c>
      <c r="M50" s="309"/>
      <c r="N50" s="303"/>
      <c r="O50" s="303"/>
      <c r="P50" s="303"/>
      <c r="Q50" s="303"/>
      <c r="R50" s="303"/>
      <c r="S50" s="303"/>
      <c r="T50" s="303"/>
      <c r="U50" s="306"/>
    </row>
    <row r="51" spans="1:21" ht="12.75">
      <c r="A51" s="297"/>
      <c r="B51" s="298"/>
      <c r="C51" s="297"/>
      <c r="D51" s="312" t="s">
        <v>177</v>
      </c>
      <c r="E51" s="313"/>
      <c r="F51" s="313"/>
      <c r="G51" s="313"/>
      <c r="H51" s="313"/>
      <c r="I51" s="313"/>
      <c r="J51" s="313"/>
      <c r="K51" s="313"/>
      <c r="L51" s="314"/>
      <c r="M51" s="310"/>
      <c r="N51" s="304"/>
      <c r="O51" s="304"/>
      <c r="P51" s="304"/>
      <c r="Q51" s="304"/>
      <c r="R51" s="304"/>
      <c r="S51" s="304"/>
      <c r="T51" s="304"/>
      <c r="U51" s="307"/>
    </row>
    <row r="52" spans="1:21" ht="13.5">
      <c r="A52" s="297"/>
      <c r="B52" s="298"/>
      <c r="C52" s="297"/>
      <c r="D52" s="92" t="s">
        <v>150</v>
      </c>
      <c r="E52" s="91">
        <f>F52+G52+H52+I52+J52+K52+L52</f>
        <v>1551448226.7800002</v>
      </c>
      <c r="F52" s="93">
        <f>F10+F16+F22+F28+F34+F40+F46</f>
        <v>188197260.56</v>
      </c>
      <c r="G52" s="93">
        <f aca="true" t="shared" si="8" ref="G52:L52">G10+G16+G22+G28+G34+G40+G46</f>
        <v>178831996.51999998</v>
      </c>
      <c r="H52" s="93">
        <f t="shared" si="8"/>
        <v>231323730.1</v>
      </c>
      <c r="I52" s="93">
        <f t="shared" si="8"/>
        <v>238273809.9</v>
      </c>
      <c r="J52" s="93">
        <f t="shared" si="8"/>
        <v>238273809.9</v>
      </c>
      <c r="K52" s="93">
        <f t="shared" si="8"/>
        <v>238273809.9</v>
      </c>
      <c r="L52" s="93">
        <f t="shared" si="8"/>
        <v>238273809.9</v>
      </c>
      <c r="M52" s="310"/>
      <c r="N52" s="304"/>
      <c r="O52" s="304"/>
      <c r="P52" s="304"/>
      <c r="Q52" s="304"/>
      <c r="R52" s="304"/>
      <c r="S52" s="304"/>
      <c r="T52" s="304"/>
      <c r="U52" s="307"/>
    </row>
    <row r="53" spans="1:21" ht="13.5">
      <c r="A53" s="297"/>
      <c r="B53" s="298"/>
      <c r="C53" s="297"/>
      <c r="D53" s="92" t="s">
        <v>148</v>
      </c>
      <c r="E53" s="91">
        <f>F53+G53+H53+I53+J53+K53+L53</f>
        <v>2297837385</v>
      </c>
      <c r="F53" s="93">
        <f>F11+F17+F23+F29+F35+F41+F47</f>
        <v>296853576</v>
      </c>
      <c r="G53" s="93">
        <f aca="true" t="shared" si="9" ref="G53:L53">G11+G17+G23+G29+G35+G41+G47</f>
        <v>292861294</v>
      </c>
      <c r="H53" s="93">
        <f t="shared" si="9"/>
        <v>302015223</v>
      </c>
      <c r="I53" s="93">
        <f t="shared" si="9"/>
        <v>313104323</v>
      </c>
      <c r="J53" s="93">
        <f t="shared" si="9"/>
        <v>364334323</v>
      </c>
      <c r="K53" s="93">
        <f t="shared" si="9"/>
        <v>364334323</v>
      </c>
      <c r="L53" s="93">
        <f t="shared" si="9"/>
        <v>364334323</v>
      </c>
      <c r="M53" s="310"/>
      <c r="N53" s="304"/>
      <c r="O53" s="304"/>
      <c r="P53" s="304"/>
      <c r="Q53" s="304"/>
      <c r="R53" s="304"/>
      <c r="S53" s="304"/>
      <c r="T53" s="304"/>
      <c r="U53" s="307"/>
    </row>
    <row r="54" spans="1:21" ht="13.5">
      <c r="A54" s="297"/>
      <c r="B54" s="298"/>
      <c r="C54" s="297"/>
      <c r="D54" s="92" t="s">
        <v>149</v>
      </c>
      <c r="E54" s="91">
        <f>F54+G54+H54+I54+J54+K54+L54</f>
        <v>0</v>
      </c>
      <c r="F54" s="93">
        <f>F12+F18+F24+F30+F36+F42+F48</f>
        <v>0</v>
      </c>
      <c r="G54" s="93">
        <f aca="true" t="shared" si="10" ref="G54:L54">G12+G18+G24+G30+G36+G42+G48</f>
        <v>0</v>
      </c>
      <c r="H54" s="93">
        <f t="shared" si="10"/>
        <v>0</v>
      </c>
      <c r="I54" s="93">
        <f t="shared" si="10"/>
        <v>0</v>
      </c>
      <c r="J54" s="93">
        <f t="shared" si="10"/>
        <v>0</v>
      </c>
      <c r="K54" s="93">
        <f t="shared" si="10"/>
        <v>0</v>
      </c>
      <c r="L54" s="93">
        <f t="shared" si="10"/>
        <v>0</v>
      </c>
      <c r="M54" s="310"/>
      <c r="N54" s="304"/>
      <c r="O54" s="304"/>
      <c r="P54" s="304"/>
      <c r="Q54" s="304"/>
      <c r="R54" s="304"/>
      <c r="S54" s="304"/>
      <c r="T54" s="304"/>
      <c r="U54" s="307"/>
    </row>
    <row r="55" spans="1:21" ht="13.5">
      <c r="A55" s="297"/>
      <c r="B55" s="298"/>
      <c r="C55" s="297"/>
      <c r="D55" s="92" t="s">
        <v>151</v>
      </c>
      <c r="E55" s="91">
        <f>F55+G55+H55+I55+J55+K55+L55</f>
        <v>323063992</v>
      </c>
      <c r="F55" s="93">
        <f>F13+F19+F25+F31+F37+F43+F49</f>
        <v>44393600</v>
      </c>
      <c r="G55" s="93">
        <f aca="true" t="shared" si="11" ref="G55:L55">G13+G19+G25+G31+G37+G43+G49</f>
        <v>46386032</v>
      </c>
      <c r="H55" s="93">
        <f t="shared" si="11"/>
        <v>46400200</v>
      </c>
      <c r="I55" s="93">
        <f t="shared" si="11"/>
        <v>46471040</v>
      </c>
      <c r="J55" s="93">
        <f t="shared" si="11"/>
        <v>46471040</v>
      </c>
      <c r="K55" s="93">
        <f t="shared" si="11"/>
        <v>46471040</v>
      </c>
      <c r="L55" s="93">
        <f t="shared" si="11"/>
        <v>46471040</v>
      </c>
      <c r="M55" s="311"/>
      <c r="N55" s="305"/>
      <c r="O55" s="305"/>
      <c r="P55" s="305"/>
      <c r="Q55" s="305"/>
      <c r="R55" s="305"/>
      <c r="S55" s="305"/>
      <c r="T55" s="305"/>
      <c r="U55" s="308"/>
    </row>
    <row r="57" spans="6:9" ht="12.75">
      <c r="F57" s="98"/>
      <c r="G57" s="36"/>
      <c r="H57" s="36"/>
      <c r="I57" s="36"/>
    </row>
    <row r="58" spans="6:9" ht="12.75">
      <c r="F58" s="98"/>
      <c r="G58" s="36">
        <f>+G50-G49</f>
        <v>514728822.52</v>
      </c>
      <c r="H58" s="36"/>
      <c r="I58" s="36"/>
    </row>
    <row r="59" spans="6:9" ht="12.75">
      <c r="F59" s="98"/>
      <c r="G59" s="36"/>
      <c r="H59" s="36"/>
      <c r="I59" s="36"/>
    </row>
    <row r="60" spans="6:9" ht="12.75">
      <c r="F60" s="98"/>
      <c r="G60" s="36">
        <v>471693290.52</v>
      </c>
      <c r="H60" s="36"/>
      <c r="I60" s="36"/>
    </row>
    <row r="61" spans="6:9" ht="12.75">
      <c r="F61" s="99"/>
      <c r="G61" s="99"/>
      <c r="H61" s="99"/>
      <c r="I61" s="99"/>
    </row>
    <row r="62" spans="6:9" ht="12.75">
      <c r="F62" s="100"/>
      <c r="G62" s="99">
        <f>+G58-G60</f>
        <v>43035532</v>
      </c>
      <c r="H62" s="99"/>
      <c r="I62" s="99"/>
    </row>
    <row r="63" spans="6:9" ht="12.75">
      <c r="F63" s="101"/>
      <c r="G63" s="100"/>
      <c r="H63" s="100"/>
      <c r="I63" s="100"/>
    </row>
    <row r="64" spans="6:9" ht="12.75">
      <c r="F64" s="100"/>
      <c r="G64" s="100"/>
      <c r="H64" s="100"/>
      <c r="I64" s="100"/>
    </row>
  </sheetData>
  <sheetProtection/>
  <mergeCells count="114">
    <mergeCell ref="C50:C55"/>
    <mergeCell ref="M50:M55"/>
    <mergeCell ref="D51:L51"/>
    <mergeCell ref="N38:N43"/>
    <mergeCell ref="M44:M49"/>
    <mergeCell ref="N44:N49"/>
    <mergeCell ref="C44:C49"/>
    <mergeCell ref="C38:C43"/>
    <mergeCell ref="S50:S55"/>
    <mergeCell ref="T50:T55"/>
    <mergeCell ref="U50:U55"/>
    <mergeCell ref="N50:N55"/>
    <mergeCell ref="O50:O55"/>
    <mergeCell ref="P50:P55"/>
    <mergeCell ref="Q50:Q55"/>
    <mergeCell ref="R50:R55"/>
    <mergeCell ref="B44:B49"/>
    <mergeCell ref="A2:U2"/>
    <mergeCell ref="D3:D4"/>
    <mergeCell ref="E3:L3"/>
    <mergeCell ref="U44:U49"/>
    <mergeCell ref="D45:L45"/>
    <mergeCell ref="U38:U43"/>
    <mergeCell ref="A38:A43"/>
    <mergeCell ref="B38:B43"/>
    <mergeCell ref="M32:M37"/>
    <mergeCell ref="A50:A55"/>
    <mergeCell ref="B50:B55"/>
    <mergeCell ref="U32:U37"/>
    <mergeCell ref="A32:A37"/>
    <mergeCell ref="B32:B37"/>
    <mergeCell ref="D33:L33"/>
    <mergeCell ref="D39:L39"/>
    <mergeCell ref="O38:O43"/>
    <mergeCell ref="P38:P43"/>
    <mergeCell ref="A44:A49"/>
    <mergeCell ref="Q38:Q43"/>
    <mergeCell ref="B20:B25"/>
    <mergeCell ref="M20:M25"/>
    <mergeCell ref="D21:L21"/>
    <mergeCell ref="C20:C25"/>
    <mergeCell ref="O20:O25"/>
    <mergeCell ref="P20:P25"/>
    <mergeCell ref="N20:N25"/>
    <mergeCell ref="M38:M43"/>
    <mergeCell ref="C32:C37"/>
    <mergeCell ref="D15:L15"/>
    <mergeCell ref="C14:C19"/>
    <mergeCell ref="U20:U25"/>
    <mergeCell ref="Q20:Q25"/>
    <mergeCell ref="R20:R25"/>
    <mergeCell ref="U8:U13"/>
    <mergeCell ref="O14:O19"/>
    <mergeCell ref="N14:N19"/>
    <mergeCell ref="U14:U19"/>
    <mergeCell ref="M14:M19"/>
    <mergeCell ref="P14:P19"/>
    <mergeCell ref="Q14:Q19"/>
    <mergeCell ref="R14:R19"/>
    <mergeCell ref="S14:S19"/>
    <mergeCell ref="P8:P13"/>
    <mergeCell ref="Q8:Q13"/>
    <mergeCell ref="R8:R13"/>
    <mergeCell ref="S8:S13"/>
    <mergeCell ref="O8:O13"/>
    <mergeCell ref="M8:M13"/>
    <mergeCell ref="N8:N13"/>
    <mergeCell ref="U3:U4"/>
    <mergeCell ref="A3:A4"/>
    <mergeCell ref="B3:B4"/>
    <mergeCell ref="C3:C4"/>
    <mergeCell ref="M3:T3"/>
    <mergeCell ref="A8:A13"/>
    <mergeCell ref="B6:U6"/>
    <mergeCell ref="B7:U7"/>
    <mergeCell ref="D9:L9"/>
    <mergeCell ref="C8:C13"/>
    <mergeCell ref="R44:R49"/>
    <mergeCell ref="B8:B13"/>
    <mergeCell ref="T8:T13"/>
    <mergeCell ref="S44:S49"/>
    <mergeCell ref="T44:T49"/>
    <mergeCell ref="O44:O49"/>
    <mergeCell ref="P44:P49"/>
    <mergeCell ref="P26:P31"/>
    <mergeCell ref="Q26:Q31"/>
    <mergeCell ref="A14:A19"/>
    <mergeCell ref="B14:B19"/>
    <mergeCell ref="S20:S25"/>
    <mergeCell ref="T20:T25"/>
    <mergeCell ref="A26:A31"/>
    <mergeCell ref="B26:B31"/>
    <mergeCell ref="A20:A25"/>
    <mergeCell ref="T14:T19"/>
    <mergeCell ref="C26:C31"/>
    <mergeCell ref="M26:M31"/>
    <mergeCell ref="N26:N31"/>
    <mergeCell ref="O26:O31"/>
    <mergeCell ref="D27:L27"/>
    <mergeCell ref="Q44:Q49"/>
    <mergeCell ref="N32:N37"/>
    <mergeCell ref="O32:O37"/>
    <mergeCell ref="P32:P37"/>
    <mergeCell ref="Q32:Q37"/>
    <mergeCell ref="U26:U31"/>
    <mergeCell ref="R38:R43"/>
    <mergeCell ref="S38:S43"/>
    <mergeCell ref="T38:T43"/>
    <mergeCell ref="R32:R37"/>
    <mergeCell ref="R26:R31"/>
    <mergeCell ref="S26:S31"/>
    <mergeCell ref="T26:T31"/>
    <mergeCell ref="S32:S37"/>
    <mergeCell ref="T32:T3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N9" sqref="N9"/>
    </sheetView>
  </sheetViews>
  <sheetFormatPr defaultColWidth="9.140625" defaultRowHeight="15"/>
  <cols>
    <col min="1" max="1" width="6.57421875" style="58" customWidth="1"/>
    <col min="2" max="2" width="42.8515625" style="55" customWidth="1"/>
    <col min="3" max="3" width="7.421875" style="55" customWidth="1"/>
    <col min="4" max="7" width="9.140625" style="55" customWidth="1"/>
    <col min="8" max="8" width="10.421875" style="55" bestFit="1" customWidth="1"/>
    <col min="9" max="11" width="9.140625" style="55" customWidth="1"/>
    <col min="12" max="12" width="10.421875" style="55" bestFit="1" customWidth="1"/>
    <col min="13" max="16384" width="9.140625" style="55" customWidth="1"/>
  </cols>
  <sheetData>
    <row r="1" spans="1:12" ht="21" customHeight="1">
      <c r="A1" s="51"/>
      <c r="B1" s="52"/>
      <c r="C1" s="52"/>
      <c r="D1" s="52"/>
      <c r="E1" s="52"/>
      <c r="F1" s="52"/>
      <c r="G1" s="52"/>
      <c r="H1" s="52"/>
      <c r="I1" s="53"/>
      <c r="J1" s="53"/>
      <c r="K1" s="315" t="s">
        <v>211</v>
      </c>
      <c r="L1" s="315"/>
    </row>
    <row r="2" spans="1:12" ht="33.75" customHeight="1">
      <c r="A2" s="244" t="s">
        <v>117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2.75">
      <c r="A3" s="246" t="s">
        <v>156</v>
      </c>
      <c r="B3" s="246" t="s">
        <v>160</v>
      </c>
      <c r="C3" s="246" t="s">
        <v>157</v>
      </c>
      <c r="D3" s="251" t="s">
        <v>159</v>
      </c>
      <c r="E3" s="252"/>
      <c r="F3" s="252"/>
      <c r="G3" s="252"/>
      <c r="H3" s="252"/>
      <c r="I3" s="252"/>
      <c r="J3" s="252"/>
      <c r="K3" s="252"/>
      <c r="L3" s="253"/>
    </row>
    <row r="4" spans="1:12" ht="12.75">
      <c r="A4" s="246"/>
      <c r="B4" s="246"/>
      <c r="C4" s="246"/>
      <c r="D4" s="247" t="s">
        <v>118</v>
      </c>
      <c r="E4" s="247" t="s">
        <v>119</v>
      </c>
      <c r="F4" s="248" t="s">
        <v>43</v>
      </c>
      <c r="G4" s="249"/>
      <c r="H4" s="249"/>
      <c r="I4" s="249"/>
      <c r="J4" s="249"/>
      <c r="K4" s="249"/>
      <c r="L4" s="250"/>
    </row>
    <row r="5" spans="1:12" ht="19.5" customHeight="1">
      <c r="A5" s="247"/>
      <c r="B5" s="246"/>
      <c r="C5" s="247"/>
      <c r="D5" s="254"/>
      <c r="E5" s="254"/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 ht="12.7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</row>
    <row r="7" spans="1:12" ht="36" customHeight="1">
      <c r="A7" s="1"/>
      <c r="B7" s="245" t="s">
        <v>197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1:12" ht="76.5">
      <c r="A8" s="1">
        <v>1</v>
      </c>
      <c r="B8" s="27" t="s">
        <v>195</v>
      </c>
      <c r="C8" s="3" t="s">
        <v>158</v>
      </c>
      <c r="D8" s="203">
        <v>39</v>
      </c>
      <c r="E8" s="203">
        <v>49</v>
      </c>
      <c r="F8" s="203">
        <v>59</v>
      </c>
      <c r="G8" s="203">
        <v>68</v>
      </c>
      <c r="H8" s="203">
        <v>76</v>
      </c>
      <c r="I8" s="203">
        <v>86</v>
      </c>
      <c r="J8" s="203">
        <v>90</v>
      </c>
      <c r="K8" s="203">
        <v>90</v>
      </c>
      <c r="L8" s="203">
        <v>90</v>
      </c>
    </row>
    <row r="9" spans="1:12" ht="29.25" customHeight="1">
      <c r="A9" s="1">
        <v>2</v>
      </c>
      <c r="B9" s="28" t="s">
        <v>196</v>
      </c>
      <c r="C9" s="3" t="s">
        <v>158</v>
      </c>
      <c r="D9" s="203">
        <v>72</v>
      </c>
      <c r="E9" s="203">
        <v>74</v>
      </c>
      <c r="F9" s="203">
        <v>75</v>
      </c>
      <c r="G9" s="203">
        <v>75</v>
      </c>
      <c r="H9" s="203">
        <v>75</v>
      </c>
      <c r="I9" s="203">
        <v>75</v>
      </c>
      <c r="J9" s="203">
        <v>75</v>
      </c>
      <c r="K9" s="203">
        <v>75</v>
      </c>
      <c r="L9" s="203">
        <v>75</v>
      </c>
    </row>
    <row r="10" spans="1:12" ht="29.25" customHeight="1">
      <c r="A10" s="103">
        <v>1</v>
      </c>
      <c r="B10" s="245" t="s">
        <v>65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2" s="56" customFormat="1" ht="63.75">
      <c r="A11" s="25" t="s">
        <v>192</v>
      </c>
      <c r="B11" s="2" t="s">
        <v>78</v>
      </c>
      <c r="C11" s="3" t="s">
        <v>158</v>
      </c>
      <c r="D11" s="32">
        <v>1.64</v>
      </c>
      <c r="E11" s="32">
        <v>1.74</v>
      </c>
      <c r="F11" s="31">
        <v>1.59</v>
      </c>
      <c r="G11" s="31">
        <v>1.68</v>
      </c>
      <c r="H11" s="31">
        <v>1.67</v>
      </c>
      <c r="I11" s="31">
        <v>1.66</v>
      </c>
      <c r="J11" s="31">
        <v>1.65</v>
      </c>
      <c r="K11" s="31">
        <v>1.64</v>
      </c>
      <c r="L11" s="31">
        <v>1.63</v>
      </c>
    </row>
    <row r="12" spans="1:12" s="56" customFormat="1" ht="38.25">
      <c r="A12" s="25" t="s">
        <v>193</v>
      </c>
      <c r="B12" s="2" t="s">
        <v>198</v>
      </c>
      <c r="C12" s="3" t="s">
        <v>158</v>
      </c>
      <c r="D12" s="203">
        <v>94</v>
      </c>
      <c r="E12" s="203">
        <v>92</v>
      </c>
      <c r="F12" s="202">
        <v>98.7</v>
      </c>
      <c r="G12" s="202">
        <v>100</v>
      </c>
      <c r="H12" s="202">
        <v>100</v>
      </c>
      <c r="I12" s="202">
        <v>100</v>
      </c>
      <c r="J12" s="202">
        <v>100</v>
      </c>
      <c r="K12" s="202">
        <v>100</v>
      </c>
      <c r="L12" s="202">
        <v>100</v>
      </c>
    </row>
    <row r="13" spans="1:12" ht="51">
      <c r="A13" s="25" t="s">
        <v>194</v>
      </c>
      <c r="B13" s="2" t="s">
        <v>199</v>
      </c>
      <c r="C13" s="3" t="s">
        <v>158</v>
      </c>
      <c r="D13" s="203">
        <v>99.6</v>
      </c>
      <c r="E13" s="203">
        <v>98.8</v>
      </c>
      <c r="F13" s="202">
        <v>98.7</v>
      </c>
      <c r="G13" s="202">
        <v>100</v>
      </c>
      <c r="H13" s="202">
        <v>100</v>
      </c>
      <c r="I13" s="202">
        <v>100</v>
      </c>
      <c r="J13" s="202">
        <v>100</v>
      </c>
      <c r="K13" s="202">
        <v>100</v>
      </c>
      <c r="L13" s="202">
        <v>100</v>
      </c>
    </row>
    <row r="14" spans="1:12" ht="43.5" customHeight="1">
      <c r="A14" s="25" t="s">
        <v>203</v>
      </c>
      <c r="B14" s="2" t="s">
        <v>200</v>
      </c>
      <c r="C14" s="3" t="s">
        <v>158</v>
      </c>
      <c r="D14" s="203">
        <v>99</v>
      </c>
      <c r="E14" s="203">
        <v>100</v>
      </c>
      <c r="F14" s="202">
        <v>100</v>
      </c>
      <c r="G14" s="202">
        <v>100</v>
      </c>
      <c r="H14" s="202">
        <v>100</v>
      </c>
      <c r="I14" s="202">
        <v>100</v>
      </c>
      <c r="J14" s="202">
        <v>1000</v>
      </c>
      <c r="K14" s="202">
        <v>100</v>
      </c>
      <c r="L14" s="202">
        <v>100</v>
      </c>
    </row>
    <row r="15" spans="1:12" ht="38.25">
      <c r="A15" s="25" t="s">
        <v>204</v>
      </c>
      <c r="B15" s="24" t="s">
        <v>201</v>
      </c>
      <c r="C15" s="21" t="s">
        <v>191</v>
      </c>
      <c r="D15" s="30">
        <v>0</v>
      </c>
      <c r="E15" s="30">
        <v>1</v>
      </c>
      <c r="F15" s="47">
        <v>1</v>
      </c>
      <c r="G15" s="47">
        <v>1</v>
      </c>
      <c r="H15" s="47">
        <v>1</v>
      </c>
      <c r="I15" s="47">
        <v>1</v>
      </c>
      <c r="J15" s="47">
        <v>1</v>
      </c>
      <c r="K15" s="47">
        <v>1</v>
      </c>
      <c r="L15" s="47">
        <v>1</v>
      </c>
    </row>
    <row r="16" spans="1:12" ht="44.25" customHeight="1">
      <c r="A16" s="25" t="s">
        <v>205</v>
      </c>
      <c r="B16" s="2" t="s">
        <v>202</v>
      </c>
      <c r="C16" s="3" t="s">
        <v>191</v>
      </c>
      <c r="D16" s="30">
        <v>0</v>
      </c>
      <c r="E16" s="30">
        <v>1</v>
      </c>
      <c r="F16" s="47">
        <v>1</v>
      </c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</row>
    <row r="17" spans="1:12" ht="12.75">
      <c r="A17" s="104"/>
      <c r="B17" s="105"/>
      <c r="C17" s="106"/>
      <c r="D17" s="107"/>
      <c r="E17" s="107"/>
      <c r="F17" s="108"/>
      <c r="G17" s="108"/>
      <c r="H17" s="108"/>
      <c r="I17" s="108"/>
      <c r="J17" s="108"/>
      <c r="K17" s="108"/>
      <c r="L17" s="109" t="s">
        <v>120</v>
      </c>
    </row>
    <row r="18" spans="1:12" ht="12.75">
      <c r="A18" s="246" t="s">
        <v>156</v>
      </c>
      <c r="B18" s="246" t="s">
        <v>160</v>
      </c>
      <c r="C18" s="246" t="s">
        <v>157</v>
      </c>
      <c r="D18" s="251" t="s">
        <v>159</v>
      </c>
      <c r="E18" s="252"/>
      <c r="F18" s="252"/>
      <c r="G18" s="252"/>
      <c r="H18" s="252"/>
      <c r="I18" s="252"/>
      <c r="J18" s="252"/>
      <c r="K18" s="252"/>
      <c r="L18" s="253"/>
    </row>
    <row r="19" spans="1:12" ht="12.75">
      <c r="A19" s="246"/>
      <c r="B19" s="246"/>
      <c r="C19" s="246"/>
      <c r="D19" s="247" t="s">
        <v>118</v>
      </c>
      <c r="E19" s="247" t="s">
        <v>119</v>
      </c>
      <c r="F19" s="248" t="s">
        <v>43</v>
      </c>
      <c r="G19" s="249"/>
      <c r="H19" s="249"/>
      <c r="I19" s="249"/>
      <c r="J19" s="249"/>
      <c r="K19" s="249"/>
      <c r="L19" s="250"/>
    </row>
    <row r="20" spans="1:12" ht="12.75">
      <c r="A20" s="247"/>
      <c r="B20" s="246"/>
      <c r="C20" s="247"/>
      <c r="D20" s="254"/>
      <c r="E20" s="254"/>
      <c r="F20" s="5">
        <v>2014</v>
      </c>
      <c r="G20" s="5">
        <v>2015</v>
      </c>
      <c r="H20" s="5">
        <v>2016</v>
      </c>
      <c r="I20" s="5">
        <v>2017</v>
      </c>
      <c r="J20" s="5">
        <v>2018</v>
      </c>
      <c r="K20" s="5">
        <v>2019</v>
      </c>
      <c r="L20" s="5">
        <v>2020</v>
      </c>
    </row>
    <row r="21" spans="1:12" ht="12.75">
      <c r="A21" s="80">
        <v>1</v>
      </c>
      <c r="B21" s="80">
        <v>2</v>
      </c>
      <c r="C21" s="80">
        <v>3</v>
      </c>
      <c r="D21" s="80">
        <v>4</v>
      </c>
      <c r="E21" s="80">
        <v>5</v>
      </c>
      <c r="F21" s="80">
        <v>6</v>
      </c>
      <c r="G21" s="80">
        <v>7</v>
      </c>
      <c r="H21" s="80">
        <v>8</v>
      </c>
      <c r="I21" s="80">
        <v>9</v>
      </c>
      <c r="J21" s="80">
        <v>10</v>
      </c>
      <c r="K21" s="80">
        <v>11</v>
      </c>
      <c r="L21" s="80">
        <v>12</v>
      </c>
    </row>
    <row r="22" spans="1:12" ht="36" customHeight="1">
      <c r="A22" s="102">
        <v>2</v>
      </c>
      <c r="B22" s="245" t="s">
        <v>66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38.25">
      <c r="A23" s="29" t="s">
        <v>208</v>
      </c>
      <c r="B23" s="24" t="s">
        <v>206</v>
      </c>
      <c r="C23" s="3" t="s">
        <v>158</v>
      </c>
      <c r="D23" s="203">
        <v>97.6</v>
      </c>
      <c r="E23" s="203">
        <v>100</v>
      </c>
      <c r="F23" s="202">
        <v>100</v>
      </c>
      <c r="G23" s="202">
        <v>100</v>
      </c>
      <c r="H23" s="202">
        <v>100</v>
      </c>
      <c r="I23" s="202">
        <v>100</v>
      </c>
      <c r="J23" s="202">
        <v>100</v>
      </c>
      <c r="K23" s="202">
        <v>100</v>
      </c>
      <c r="L23" s="202">
        <v>100</v>
      </c>
    </row>
    <row r="24" spans="1:12" ht="51">
      <c r="A24" s="29" t="s">
        <v>209</v>
      </c>
      <c r="B24" s="24" t="s">
        <v>207</v>
      </c>
      <c r="C24" s="21" t="s">
        <v>191</v>
      </c>
      <c r="D24" s="3">
        <v>0</v>
      </c>
      <c r="E24" s="3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</row>
  </sheetData>
  <sheetProtection/>
  <mergeCells count="19">
    <mergeCell ref="B7:L7"/>
    <mergeCell ref="B10:L10"/>
    <mergeCell ref="B22:L22"/>
    <mergeCell ref="A2:L2"/>
    <mergeCell ref="A3:A5"/>
    <mergeCell ref="B3:B5"/>
    <mergeCell ref="C3:C5"/>
    <mergeCell ref="D3:L3"/>
    <mergeCell ref="F4:L4"/>
    <mergeCell ref="K1:L1"/>
    <mergeCell ref="D4:D5"/>
    <mergeCell ref="E4:E5"/>
    <mergeCell ref="A18:A20"/>
    <mergeCell ref="B18:B20"/>
    <mergeCell ref="C18:C20"/>
    <mergeCell ref="D18:L18"/>
    <mergeCell ref="D19:D20"/>
    <mergeCell ref="E19:E20"/>
    <mergeCell ref="F19:L19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15" zoomScalePageLayoutView="0" workbookViewId="0" topLeftCell="A1">
      <selection activeCell="G16" sqref="G16"/>
    </sheetView>
  </sheetViews>
  <sheetFormatPr defaultColWidth="9.140625" defaultRowHeight="15"/>
  <cols>
    <col min="1" max="1" width="32.57421875" style="59" customWidth="1"/>
    <col min="2" max="2" width="14.8515625" style="59" bestFit="1" customWidth="1"/>
    <col min="3" max="9" width="13.421875" style="59" bestFit="1" customWidth="1"/>
    <col min="10" max="16384" width="9.140625" style="59" customWidth="1"/>
  </cols>
  <sheetData>
    <row r="1" spans="5:9" ht="18.75" customHeight="1">
      <c r="E1" s="60"/>
      <c r="F1" s="7"/>
      <c r="G1" s="54"/>
      <c r="I1" s="7" t="s">
        <v>212</v>
      </c>
    </row>
    <row r="2" spans="1:9" ht="36.75" customHeight="1">
      <c r="A2" s="300" t="s">
        <v>121</v>
      </c>
      <c r="B2" s="300"/>
      <c r="C2" s="300"/>
      <c r="D2" s="300"/>
      <c r="E2" s="300"/>
      <c r="F2" s="300"/>
      <c r="G2" s="300"/>
      <c r="H2" s="300"/>
      <c r="I2" s="300"/>
    </row>
    <row r="3" spans="1:9" ht="30" customHeight="1">
      <c r="A3" s="233" t="s">
        <v>163</v>
      </c>
      <c r="B3" s="233" t="s">
        <v>164</v>
      </c>
      <c r="C3" s="320" t="s">
        <v>165</v>
      </c>
      <c r="D3" s="321"/>
      <c r="E3" s="321"/>
      <c r="F3" s="321"/>
      <c r="G3" s="321"/>
      <c r="H3" s="321"/>
      <c r="I3" s="322"/>
    </row>
    <row r="4" spans="1:9" ht="16.5" customHeight="1">
      <c r="A4" s="319"/>
      <c r="B4" s="319"/>
      <c r="C4" s="11">
        <v>2014</v>
      </c>
      <c r="D4" s="11">
        <v>2015</v>
      </c>
      <c r="E4" s="11">
        <v>2016</v>
      </c>
      <c r="F4" s="11">
        <v>2017</v>
      </c>
      <c r="G4" s="11">
        <v>2018</v>
      </c>
      <c r="H4" s="11">
        <v>2019</v>
      </c>
      <c r="I4" s="9">
        <v>2020</v>
      </c>
    </row>
    <row r="5" spans="1:9" ht="16.5" customHeight="1">
      <c r="A5" s="81" t="s">
        <v>107</v>
      </c>
      <c r="B5" s="81" t="s">
        <v>108</v>
      </c>
      <c r="C5" s="81" t="s">
        <v>109</v>
      </c>
      <c r="D5" s="81" t="s">
        <v>110</v>
      </c>
      <c r="E5" s="81" t="s">
        <v>111</v>
      </c>
      <c r="F5" s="81" t="s">
        <v>112</v>
      </c>
      <c r="G5" s="81" t="s">
        <v>113</v>
      </c>
      <c r="H5" s="81" t="s">
        <v>114</v>
      </c>
      <c r="I5" s="81" t="s">
        <v>115</v>
      </c>
    </row>
    <row r="6" spans="1:9" ht="19.5" customHeight="1">
      <c r="A6" s="62" t="s">
        <v>122</v>
      </c>
      <c r="B6" s="63">
        <f>B8+B9+B10+B11</f>
        <v>4745510109.070001</v>
      </c>
      <c r="C6" s="63">
        <f aca="true" t="shared" si="0" ref="C6:I6">C8+C9+C10+C11</f>
        <v>630157257.97</v>
      </c>
      <c r="D6" s="63">
        <f t="shared" si="0"/>
        <v>609054837.7</v>
      </c>
      <c r="E6" s="63">
        <f t="shared" si="0"/>
        <v>663038031.8</v>
      </c>
      <c r="F6" s="63">
        <f t="shared" si="0"/>
        <v>698281295.4</v>
      </c>
      <c r="G6" s="63">
        <f t="shared" si="0"/>
        <v>714992895.4</v>
      </c>
      <c r="H6" s="63">
        <f t="shared" si="0"/>
        <v>714992895.4</v>
      </c>
      <c r="I6" s="63">
        <f t="shared" si="0"/>
        <v>714992895.4</v>
      </c>
    </row>
    <row r="7" spans="1:9" ht="16.5" customHeight="1">
      <c r="A7" s="316" t="s">
        <v>166</v>
      </c>
      <c r="B7" s="317"/>
      <c r="C7" s="317"/>
      <c r="D7" s="317"/>
      <c r="E7" s="317"/>
      <c r="F7" s="317"/>
      <c r="G7" s="317"/>
      <c r="H7" s="317"/>
      <c r="I7" s="318"/>
    </row>
    <row r="8" spans="1:9" ht="16.5" customHeight="1">
      <c r="A8" s="188" t="s">
        <v>167</v>
      </c>
      <c r="B8" s="63">
        <f>B15</f>
        <v>2202572440.0200005</v>
      </c>
      <c r="C8" s="16">
        <f>C15</f>
        <v>288108773.96999997</v>
      </c>
      <c r="D8" s="16">
        <f aca="true" t="shared" si="1" ref="D8:I8">D15</f>
        <v>288004159.65000004</v>
      </c>
      <c r="E8" s="16">
        <f t="shared" si="1"/>
        <v>315547464.8</v>
      </c>
      <c r="F8" s="16">
        <f t="shared" si="1"/>
        <v>327728010.4</v>
      </c>
      <c r="G8" s="16">
        <f t="shared" si="1"/>
        <v>327728010.4</v>
      </c>
      <c r="H8" s="16">
        <f t="shared" si="1"/>
        <v>327728010.4</v>
      </c>
      <c r="I8" s="16">
        <f t="shared" si="1"/>
        <v>327728010.4</v>
      </c>
    </row>
    <row r="9" spans="1:9" ht="16.5" customHeight="1">
      <c r="A9" s="188" t="s">
        <v>47</v>
      </c>
      <c r="B9" s="63">
        <f aca="true" t="shared" si="2" ref="B9:I11">B16</f>
        <v>2314017901</v>
      </c>
      <c r="C9" s="16">
        <f t="shared" si="2"/>
        <v>308069784</v>
      </c>
      <c r="D9" s="16">
        <f t="shared" si="2"/>
        <v>302809610</v>
      </c>
      <c r="E9" s="16">
        <f t="shared" si="2"/>
        <v>312150567</v>
      </c>
      <c r="F9" s="16">
        <f t="shared" si="2"/>
        <v>335213285</v>
      </c>
      <c r="G9" s="16">
        <f>G16</f>
        <v>351924885</v>
      </c>
      <c r="H9" s="16">
        <f t="shared" si="2"/>
        <v>351924885</v>
      </c>
      <c r="I9" s="16">
        <f t="shared" si="2"/>
        <v>351924885</v>
      </c>
    </row>
    <row r="10" spans="1:9" ht="16.5" customHeight="1">
      <c r="A10" s="188" t="s">
        <v>48</v>
      </c>
      <c r="B10" s="63">
        <f t="shared" si="2"/>
        <v>0</v>
      </c>
      <c r="C10" s="16">
        <f t="shared" si="2"/>
        <v>0</v>
      </c>
      <c r="D10" s="16">
        <f t="shared" si="2"/>
        <v>0</v>
      </c>
      <c r="E10" s="16">
        <f t="shared" si="2"/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</row>
    <row r="11" spans="1:9" ht="16.5" customHeight="1">
      <c r="A11" s="188" t="s">
        <v>170</v>
      </c>
      <c r="B11" s="63">
        <f t="shared" si="2"/>
        <v>228919768.05</v>
      </c>
      <c r="C11" s="16">
        <f t="shared" si="2"/>
        <v>33978700</v>
      </c>
      <c r="D11" s="16">
        <f t="shared" si="2"/>
        <v>18241068.05</v>
      </c>
      <c r="E11" s="16">
        <f t="shared" si="2"/>
        <v>35340000</v>
      </c>
      <c r="F11" s="16">
        <f t="shared" si="2"/>
        <v>35340000</v>
      </c>
      <c r="G11" s="16">
        <f t="shared" si="2"/>
        <v>35340000</v>
      </c>
      <c r="H11" s="16">
        <f t="shared" si="2"/>
        <v>35340000</v>
      </c>
      <c r="I11" s="16">
        <f t="shared" si="2"/>
        <v>35340000</v>
      </c>
    </row>
    <row r="12" spans="1:9" ht="16.5" customHeight="1">
      <c r="A12" s="241" t="s">
        <v>171</v>
      </c>
      <c r="B12" s="242"/>
      <c r="C12" s="242"/>
      <c r="D12" s="242"/>
      <c r="E12" s="242"/>
      <c r="F12" s="242"/>
      <c r="G12" s="242"/>
      <c r="H12" s="242"/>
      <c r="I12" s="243"/>
    </row>
    <row r="13" spans="1:9" ht="39.75" customHeight="1">
      <c r="A13" s="64" t="s">
        <v>178</v>
      </c>
      <c r="B13" s="63">
        <f>B15+B16+B17+B18</f>
        <v>4745510109.070001</v>
      </c>
      <c r="C13" s="63">
        <f>C15+C16+C17+C18</f>
        <v>630157257.97</v>
      </c>
      <c r="D13" s="63">
        <f aca="true" t="shared" si="3" ref="D13:I13">D15+D16+D17+D18</f>
        <v>609054837.7</v>
      </c>
      <c r="E13" s="63">
        <f t="shared" si="3"/>
        <v>663038031.8</v>
      </c>
      <c r="F13" s="63">
        <f t="shared" si="3"/>
        <v>698281295.4</v>
      </c>
      <c r="G13" s="63">
        <f t="shared" si="3"/>
        <v>714992895.4</v>
      </c>
      <c r="H13" s="63">
        <f t="shared" si="3"/>
        <v>714992895.4</v>
      </c>
      <c r="I13" s="63">
        <f t="shared" si="3"/>
        <v>714992895.4</v>
      </c>
    </row>
    <row r="14" spans="1:9" ht="16.5" customHeight="1">
      <c r="A14" s="316" t="s">
        <v>166</v>
      </c>
      <c r="B14" s="317"/>
      <c r="C14" s="317"/>
      <c r="D14" s="317"/>
      <c r="E14" s="317"/>
      <c r="F14" s="317"/>
      <c r="G14" s="317"/>
      <c r="H14" s="317"/>
      <c r="I14" s="318"/>
    </row>
    <row r="15" spans="1:9" ht="16.5" customHeight="1">
      <c r="A15" s="188" t="s">
        <v>167</v>
      </c>
      <c r="B15" s="63">
        <f>SUM(C15:I15)</f>
        <v>2202572440.0200005</v>
      </c>
      <c r="C15" s="16">
        <f>'таб 3(2)'!F125</f>
        <v>288108773.96999997</v>
      </c>
      <c r="D15" s="16">
        <f>'таб 3(2)'!G125</f>
        <v>288004159.65000004</v>
      </c>
      <c r="E15" s="16">
        <f>'таб 3(2)'!H125</f>
        <v>315547464.8</v>
      </c>
      <c r="F15" s="16">
        <f>'таб 3(2)'!I125</f>
        <v>327728010.4</v>
      </c>
      <c r="G15" s="16">
        <f>'таб 3(2)'!J125</f>
        <v>327728010.4</v>
      </c>
      <c r="H15" s="16">
        <f>'таб 3(2)'!K125</f>
        <v>327728010.4</v>
      </c>
      <c r="I15" s="16">
        <f>'таб 3(2)'!L125</f>
        <v>327728010.4</v>
      </c>
    </row>
    <row r="16" spans="1:9" ht="16.5" customHeight="1">
      <c r="A16" s="188" t="s">
        <v>47</v>
      </c>
      <c r="B16" s="63">
        <f>SUM(C16:I16)</f>
        <v>2314017901</v>
      </c>
      <c r="C16" s="16">
        <f>'таб 3(2)'!F126</f>
        <v>308069784</v>
      </c>
      <c r="D16" s="16">
        <f>'таб 3(2)'!G126</f>
        <v>302809610</v>
      </c>
      <c r="E16" s="16">
        <f>'таб 3(2)'!H126</f>
        <v>312150567</v>
      </c>
      <c r="F16" s="16">
        <f>'таб 3(2)'!I126</f>
        <v>335213285</v>
      </c>
      <c r="G16" s="16">
        <f>'таб 3(2)'!J126</f>
        <v>351924885</v>
      </c>
      <c r="H16" s="16">
        <f>'таб 3(2)'!K126</f>
        <v>351924885</v>
      </c>
      <c r="I16" s="16">
        <f>'таб 3(2)'!L126</f>
        <v>351924885</v>
      </c>
    </row>
    <row r="17" spans="1:9" ht="16.5" customHeight="1">
      <c r="A17" s="188" t="s">
        <v>48</v>
      </c>
      <c r="B17" s="63">
        <f>SUM(C17:I17)</f>
        <v>0</v>
      </c>
      <c r="C17" s="16">
        <f>'таб 3(2)'!F127</f>
        <v>0</v>
      </c>
      <c r="D17" s="16">
        <f>'таб 3(2)'!G127</f>
        <v>0</v>
      </c>
      <c r="E17" s="16">
        <f>'таб 3(2)'!H127</f>
        <v>0</v>
      </c>
      <c r="F17" s="16">
        <f>'[1]таб 3(2)'!I134</f>
        <v>0</v>
      </c>
      <c r="G17" s="16">
        <f>'[1]таб 3(2)'!J134</f>
        <v>0</v>
      </c>
      <c r="H17" s="16">
        <f>'[1]таб 3(2)'!K134</f>
        <v>0</v>
      </c>
      <c r="I17" s="16">
        <f>'[1]таб 3(2)'!L134</f>
        <v>0</v>
      </c>
    </row>
    <row r="18" spans="1:9" ht="16.5" customHeight="1">
      <c r="A18" s="188" t="s">
        <v>170</v>
      </c>
      <c r="B18" s="63">
        <f>SUM(C18:I18)</f>
        <v>228919768.05</v>
      </c>
      <c r="C18" s="16">
        <f>'таб 3(2)'!F128</f>
        <v>33978700</v>
      </c>
      <c r="D18" s="16">
        <f>'таб 3(2)'!G128</f>
        <v>18241068.05</v>
      </c>
      <c r="E18" s="16">
        <f>'таб 3(2)'!H128</f>
        <v>35340000</v>
      </c>
      <c r="F18" s="16">
        <f>'таб 3(2)'!I128</f>
        <v>35340000</v>
      </c>
      <c r="G18" s="16">
        <f>'таб 3(2)'!J128</f>
        <v>35340000</v>
      </c>
      <c r="H18" s="16">
        <f>'таб 3(2)'!K128</f>
        <v>35340000</v>
      </c>
      <c r="I18" s="16">
        <f>'таб 3(2)'!L128</f>
        <v>35340000</v>
      </c>
    </row>
    <row r="19" spans="1:9" ht="25.5">
      <c r="A19" s="19" t="s">
        <v>172</v>
      </c>
      <c r="B19" s="63">
        <f>SUM(C19:I19)</f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1" ht="15">
      <c r="C21" s="110"/>
    </row>
    <row r="22" ht="15">
      <c r="C22" s="110"/>
    </row>
    <row r="23" ht="15">
      <c r="C23" s="110"/>
    </row>
    <row r="24" ht="15">
      <c r="C24" s="110"/>
    </row>
    <row r="27" ht="15">
      <c r="C27" s="110"/>
    </row>
    <row r="28" ht="15">
      <c r="C28" s="110"/>
    </row>
    <row r="29" ht="15">
      <c r="C29" s="110"/>
    </row>
    <row r="30" ht="15">
      <c r="C30" s="110"/>
    </row>
    <row r="31" ht="15">
      <c r="C31" s="110"/>
    </row>
  </sheetData>
  <sheetProtection/>
  <mergeCells count="7">
    <mergeCell ref="A14:I14"/>
    <mergeCell ref="A2:I2"/>
    <mergeCell ref="A3:A4"/>
    <mergeCell ref="B3:B4"/>
    <mergeCell ref="C3:I3"/>
    <mergeCell ref="A7:I7"/>
    <mergeCell ref="A12:I12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6"/>
  <sheetViews>
    <sheetView zoomScaleSheetLayoutView="115" zoomScalePageLayoutView="0" workbookViewId="0" topLeftCell="A1">
      <selection activeCell="D1" sqref="D1:G16384"/>
    </sheetView>
  </sheetViews>
  <sheetFormatPr defaultColWidth="9.140625" defaultRowHeight="15"/>
  <cols>
    <col min="1" max="1" width="6.140625" style="82" bestFit="1" customWidth="1"/>
    <col min="2" max="2" width="48.421875" style="82" customWidth="1"/>
    <col min="3" max="3" width="10.8515625" style="82" customWidth="1"/>
    <col min="4" max="4" width="10.00390625" style="82" customWidth="1"/>
    <col min="5" max="5" width="15.421875" style="82" customWidth="1"/>
    <col min="6" max="6" width="18.140625" style="82" customWidth="1"/>
    <col min="7" max="12" width="14.00390625" style="82" bestFit="1" customWidth="1"/>
    <col min="13" max="13" width="32.421875" style="82" customWidth="1"/>
    <col min="14" max="14" width="5.7109375" style="82" bestFit="1" customWidth="1"/>
    <col min="15" max="20" width="7.421875" style="82" bestFit="1" customWidth="1"/>
    <col min="21" max="21" width="18.00390625" style="82" customWidth="1"/>
    <col min="22" max="16384" width="9.140625" style="82" customWidth="1"/>
  </cols>
  <sheetData>
    <row r="1" spans="20:21" s="52" customFormat="1" ht="31.5">
      <c r="T1" s="61"/>
      <c r="U1" s="67" t="s">
        <v>213</v>
      </c>
    </row>
    <row r="2" spans="1:21" s="52" customFormat="1" ht="15.75">
      <c r="A2" s="300" t="s">
        <v>125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31.5" customHeight="1">
      <c r="A3" s="356" t="s">
        <v>161</v>
      </c>
      <c r="B3" s="233" t="s">
        <v>173</v>
      </c>
      <c r="C3" s="233" t="s">
        <v>174</v>
      </c>
      <c r="D3" s="233" t="s">
        <v>163</v>
      </c>
      <c r="E3" s="237" t="s">
        <v>175</v>
      </c>
      <c r="F3" s="237"/>
      <c r="G3" s="237"/>
      <c r="H3" s="237"/>
      <c r="I3" s="237"/>
      <c r="J3" s="237"/>
      <c r="K3" s="237"/>
      <c r="L3" s="237"/>
      <c r="M3" s="296" t="s">
        <v>64</v>
      </c>
      <c r="N3" s="296"/>
      <c r="O3" s="296"/>
      <c r="P3" s="296"/>
      <c r="Q3" s="296"/>
      <c r="R3" s="296"/>
      <c r="S3" s="296"/>
      <c r="T3" s="296"/>
      <c r="U3" s="294" t="s">
        <v>176</v>
      </c>
    </row>
    <row r="4" spans="1:21" ht="21" customHeight="1">
      <c r="A4" s="357"/>
      <c r="B4" s="319"/>
      <c r="C4" s="319"/>
      <c r="D4" s="319"/>
      <c r="E4" s="83" t="s">
        <v>152</v>
      </c>
      <c r="F4" s="177" t="s">
        <v>141</v>
      </c>
      <c r="G4" s="49" t="s">
        <v>142</v>
      </c>
      <c r="H4" s="177" t="s">
        <v>143</v>
      </c>
      <c r="I4" s="177" t="s">
        <v>144</v>
      </c>
      <c r="J4" s="177" t="s">
        <v>145</v>
      </c>
      <c r="K4" s="177" t="s">
        <v>146</v>
      </c>
      <c r="L4" s="177" t="s">
        <v>147</v>
      </c>
      <c r="M4" s="12" t="s">
        <v>162</v>
      </c>
      <c r="N4" s="177" t="s">
        <v>141</v>
      </c>
      <c r="O4" s="177" t="s">
        <v>142</v>
      </c>
      <c r="P4" s="177" t="s">
        <v>143</v>
      </c>
      <c r="Q4" s="177" t="s">
        <v>144</v>
      </c>
      <c r="R4" s="177" t="s">
        <v>145</v>
      </c>
      <c r="S4" s="177" t="s">
        <v>146</v>
      </c>
      <c r="T4" s="177" t="s">
        <v>147</v>
      </c>
      <c r="U4" s="295"/>
    </row>
    <row r="5" spans="1:21" ht="12.7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</row>
    <row r="6" spans="1:21" ht="12.75">
      <c r="A6" s="84"/>
      <c r="B6" s="288" t="s">
        <v>214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21" ht="12.75">
      <c r="A7" s="84">
        <v>1</v>
      </c>
      <c r="B7" s="288" t="s">
        <v>65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1:21" ht="16.5" customHeight="1">
      <c r="A8" s="338" t="s">
        <v>192</v>
      </c>
      <c r="B8" s="353" t="s">
        <v>215</v>
      </c>
      <c r="C8" s="277" t="s">
        <v>132</v>
      </c>
      <c r="D8" s="85" t="s">
        <v>152</v>
      </c>
      <c r="E8" s="86">
        <f>E10+E11+E12+E13</f>
        <v>847149878.4399999</v>
      </c>
      <c r="F8" s="86">
        <f aca="true" t="shared" si="0" ref="F8:L8">F10+F11+F12+F13</f>
        <v>117460965.8</v>
      </c>
      <c r="G8" s="86">
        <f t="shared" si="0"/>
        <v>112404673.94</v>
      </c>
      <c r="H8" s="86">
        <f t="shared" si="0"/>
        <v>113309884.14</v>
      </c>
      <c r="I8" s="86">
        <f t="shared" si="0"/>
        <v>120604097.64</v>
      </c>
      <c r="J8" s="86">
        <f t="shared" si="0"/>
        <v>127790085.64</v>
      </c>
      <c r="K8" s="86">
        <f t="shared" si="0"/>
        <v>127790085.64</v>
      </c>
      <c r="L8" s="86">
        <f t="shared" si="0"/>
        <v>127790085.64</v>
      </c>
      <c r="M8" s="266" t="s">
        <v>79</v>
      </c>
      <c r="N8" s="269">
        <v>100</v>
      </c>
      <c r="O8" s="269">
        <v>100</v>
      </c>
      <c r="P8" s="269">
        <v>100</v>
      </c>
      <c r="Q8" s="269">
        <v>100</v>
      </c>
      <c r="R8" s="269">
        <v>100</v>
      </c>
      <c r="S8" s="269">
        <v>100</v>
      </c>
      <c r="T8" s="269">
        <v>100</v>
      </c>
      <c r="U8" s="280" t="s">
        <v>80</v>
      </c>
    </row>
    <row r="9" spans="1:21" ht="16.5" customHeight="1">
      <c r="A9" s="339"/>
      <c r="B9" s="354"/>
      <c r="C9" s="278"/>
      <c r="D9" s="283" t="s">
        <v>177</v>
      </c>
      <c r="E9" s="284"/>
      <c r="F9" s="284"/>
      <c r="G9" s="284"/>
      <c r="H9" s="284"/>
      <c r="I9" s="284"/>
      <c r="J9" s="284"/>
      <c r="K9" s="284"/>
      <c r="L9" s="285"/>
      <c r="M9" s="267"/>
      <c r="N9" s="270"/>
      <c r="O9" s="270"/>
      <c r="P9" s="270"/>
      <c r="Q9" s="270"/>
      <c r="R9" s="270"/>
      <c r="S9" s="270"/>
      <c r="T9" s="270"/>
      <c r="U9" s="281"/>
    </row>
    <row r="10" spans="1:21" ht="12.75">
      <c r="A10" s="339"/>
      <c r="B10" s="354"/>
      <c r="C10" s="278"/>
      <c r="D10" s="87" t="s">
        <v>150</v>
      </c>
      <c r="E10" s="88">
        <f>F10+G10+H10+I10+J10+K10+L10</f>
        <v>0</v>
      </c>
      <c r="F10" s="88"/>
      <c r="G10" s="88"/>
      <c r="H10" s="88"/>
      <c r="I10" s="88"/>
      <c r="J10" s="88"/>
      <c r="K10" s="88"/>
      <c r="L10" s="88"/>
      <c r="M10" s="267"/>
      <c r="N10" s="270"/>
      <c r="O10" s="270"/>
      <c r="P10" s="270"/>
      <c r="Q10" s="270"/>
      <c r="R10" s="270"/>
      <c r="S10" s="270"/>
      <c r="T10" s="270"/>
      <c r="U10" s="281"/>
    </row>
    <row r="11" spans="1:21" ht="12.75">
      <c r="A11" s="339"/>
      <c r="B11" s="354"/>
      <c r="C11" s="278"/>
      <c r="D11" s="87" t="s">
        <v>148</v>
      </c>
      <c r="E11" s="88">
        <f>F11+G11+H11+I11+J11+K11+L11</f>
        <v>847149878.4399999</v>
      </c>
      <c r="F11" s="88">
        <f>117343741.8+117224</f>
        <v>117460965.8</v>
      </c>
      <c r="G11" s="88">
        <f>120759658+242478.94-8597463</f>
        <v>112404673.94</v>
      </c>
      <c r="H11" s="88">
        <f>124804110+259996.14-11754222</f>
        <v>113309884.14</v>
      </c>
      <c r="I11" s="88">
        <f>127520266+269819.64-7185988</f>
        <v>120604097.64</v>
      </c>
      <c r="J11" s="89">
        <v>127790085.64</v>
      </c>
      <c r="K11" s="89">
        <v>127790085.64</v>
      </c>
      <c r="L11" s="89">
        <v>127790085.64</v>
      </c>
      <c r="M11" s="267"/>
      <c r="N11" s="270"/>
      <c r="O11" s="270"/>
      <c r="P11" s="270"/>
      <c r="Q11" s="270"/>
      <c r="R11" s="270"/>
      <c r="S11" s="270"/>
      <c r="T11" s="270"/>
      <c r="U11" s="281"/>
    </row>
    <row r="12" spans="1:21" ht="12.75" customHeight="1">
      <c r="A12" s="339"/>
      <c r="B12" s="354"/>
      <c r="C12" s="278"/>
      <c r="D12" s="87" t="s">
        <v>149</v>
      </c>
      <c r="E12" s="88">
        <f>F12+G12+H12+I12+J12+K12+L12</f>
        <v>0</v>
      </c>
      <c r="F12" s="88"/>
      <c r="G12" s="88"/>
      <c r="H12" s="88"/>
      <c r="I12" s="88"/>
      <c r="J12" s="88"/>
      <c r="K12" s="88"/>
      <c r="L12" s="88"/>
      <c r="M12" s="267"/>
      <c r="N12" s="270"/>
      <c r="O12" s="270"/>
      <c r="P12" s="270"/>
      <c r="Q12" s="270"/>
      <c r="R12" s="270"/>
      <c r="S12" s="270"/>
      <c r="T12" s="270"/>
      <c r="U12" s="281"/>
    </row>
    <row r="13" spans="1:21" ht="18.75" customHeight="1">
      <c r="A13" s="340"/>
      <c r="B13" s="355"/>
      <c r="C13" s="279"/>
      <c r="D13" s="87" t="s">
        <v>151</v>
      </c>
      <c r="E13" s="88">
        <f>F13+G13+H13+I13+J13+K13+L13</f>
        <v>0</v>
      </c>
      <c r="F13" s="88"/>
      <c r="G13" s="88"/>
      <c r="H13" s="88"/>
      <c r="I13" s="88"/>
      <c r="J13" s="88"/>
      <c r="K13" s="88"/>
      <c r="L13" s="88"/>
      <c r="M13" s="268"/>
      <c r="N13" s="271"/>
      <c r="O13" s="271"/>
      <c r="P13" s="271"/>
      <c r="Q13" s="271"/>
      <c r="R13" s="271"/>
      <c r="S13" s="271"/>
      <c r="T13" s="271"/>
      <c r="U13" s="282"/>
    </row>
    <row r="14" spans="1:21" ht="24" customHeight="1">
      <c r="A14" s="338" t="s">
        <v>193</v>
      </c>
      <c r="B14" s="353" t="s">
        <v>217</v>
      </c>
      <c r="C14" s="277" t="s">
        <v>132</v>
      </c>
      <c r="D14" s="85" t="s">
        <v>152</v>
      </c>
      <c r="E14" s="86">
        <f>E16+E17+E18+E19</f>
        <v>1130164498.66</v>
      </c>
      <c r="F14" s="86">
        <f aca="true" t="shared" si="1" ref="F14:L14">F16+F17+F18+F19</f>
        <v>137693999.3</v>
      </c>
      <c r="G14" s="86">
        <f t="shared" si="1"/>
        <v>143740726.06</v>
      </c>
      <c r="H14" s="86">
        <f t="shared" si="1"/>
        <v>152890647.86</v>
      </c>
      <c r="I14" s="86">
        <f t="shared" si="1"/>
        <v>167943605.36</v>
      </c>
      <c r="J14" s="86">
        <f t="shared" si="1"/>
        <v>175965173.36</v>
      </c>
      <c r="K14" s="86">
        <f t="shared" si="1"/>
        <v>175965173.36</v>
      </c>
      <c r="L14" s="86">
        <f t="shared" si="1"/>
        <v>175965173.36</v>
      </c>
      <c r="M14" s="266" t="s">
        <v>81</v>
      </c>
      <c r="N14" s="269">
        <v>100</v>
      </c>
      <c r="O14" s="269">
        <v>100</v>
      </c>
      <c r="P14" s="269">
        <v>100</v>
      </c>
      <c r="Q14" s="269">
        <v>100</v>
      </c>
      <c r="R14" s="269">
        <v>100</v>
      </c>
      <c r="S14" s="269">
        <v>100</v>
      </c>
      <c r="T14" s="269">
        <v>100</v>
      </c>
      <c r="U14" s="280" t="s">
        <v>80</v>
      </c>
    </row>
    <row r="15" spans="1:21" ht="16.5" customHeight="1">
      <c r="A15" s="339"/>
      <c r="B15" s="354"/>
      <c r="C15" s="278"/>
      <c r="D15" s="283" t="s">
        <v>177</v>
      </c>
      <c r="E15" s="284"/>
      <c r="F15" s="284"/>
      <c r="G15" s="284"/>
      <c r="H15" s="284"/>
      <c r="I15" s="284"/>
      <c r="J15" s="284"/>
      <c r="K15" s="284"/>
      <c r="L15" s="285"/>
      <c r="M15" s="267"/>
      <c r="N15" s="270"/>
      <c r="O15" s="270"/>
      <c r="P15" s="270"/>
      <c r="Q15" s="270"/>
      <c r="R15" s="270"/>
      <c r="S15" s="270"/>
      <c r="T15" s="270"/>
      <c r="U15" s="281"/>
    </row>
    <row r="16" spans="1:21" ht="18" customHeight="1">
      <c r="A16" s="339"/>
      <c r="B16" s="354"/>
      <c r="C16" s="278"/>
      <c r="D16" s="87" t="s">
        <v>150</v>
      </c>
      <c r="E16" s="88">
        <f>F16+G16+H16+I16+J16+K16+L16</f>
        <v>0</v>
      </c>
      <c r="F16" s="88"/>
      <c r="G16" s="88"/>
      <c r="H16" s="88"/>
      <c r="I16" s="88"/>
      <c r="J16" s="88"/>
      <c r="K16" s="88"/>
      <c r="L16" s="88"/>
      <c r="M16" s="267"/>
      <c r="N16" s="270"/>
      <c r="O16" s="270"/>
      <c r="P16" s="270"/>
      <c r="Q16" s="270"/>
      <c r="R16" s="270"/>
      <c r="S16" s="270"/>
      <c r="T16" s="270"/>
      <c r="U16" s="281"/>
    </row>
    <row r="17" spans="1:21" ht="12.75" customHeight="1">
      <c r="A17" s="339"/>
      <c r="B17" s="354"/>
      <c r="C17" s="278"/>
      <c r="D17" s="87" t="s">
        <v>148</v>
      </c>
      <c r="E17" s="88">
        <f>F17+G17+H17+I17+J17+K17+L17</f>
        <v>1130164498.66</v>
      </c>
      <c r="F17" s="88">
        <f>137514399.3+179600</f>
        <v>137693999.3</v>
      </c>
      <c r="G17" s="88">
        <f>153120074+217820.06-9597168</f>
        <v>143740726.06</v>
      </c>
      <c r="H17" s="88">
        <f>165778084+233555.86-13120992</f>
        <v>152890647.86</v>
      </c>
      <c r="I17" s="88">
        <f>175722793+242380.36-8021568</f>
        <v>167943605.36</v>
      </c>
      <c r="J17" s="89">
        <v>175965173.36</v>
      </c>
      <c r="K17" s="89">
        <v>175965173.36</v>
      </c>
      <c r="L17" s="89">
        <v>175965173.36</v>
      </c>
      <c r="M17" s="267"/>
      <c r="N17" s="270"/>
      <c r="O17" s="270"/>
      <c r="P17" s="270"/>
      <c r="Q17" s="270"/>
      <c r="R17" s="270"/>
      <c r="S17" s="270"/>
      <c r="T17" s="270"/>
      <c r="U17" s="281"/>
    </row>
    <row r="18" spans="1:21" ht="12.75" customHeight="1">
      <c r="A18" s="339"/>
      <c r="B18" s="354"/>
      <c r="C18" s="278"/>
      <c r="D18" s="87" t="s">
        <v>149</v>
      </c>
      <c r="E18" s="88">
        <f>F18+G18+H18+I18+J18+K18+L18</f>
        <v>0</v>
      </c>
      <c r="F18" s="88"/>
      <c r="G18" s="88"/>
      <c r="H18" s="88"/>
      <c r="I18" s="88"/>
      <c r="J18" s="88"/>
      <c r="K18" s="88"/>
      <c r="L18" s="88"/>
      <c r="M18" s="267"/>
      <c r="N18" s="270"/>
      <c r="O18" s="270"/>
      <c r="P18" s="270"/>
      <c r="Q18" s="270"/>
      <c r="R18" s="270"/>
      <c r="S18" s="270"/>
      <c r="T18" s="270"/>
      <c r="U18" s="281"/>
    </row>
    <row r="19" spans="1:21" ht="24" customHeight="1">
      <c r="A19" s="340"/>
      <c r="B19" s="355"/>
      <c r="C19" s="279"/>
      <c r="D19" s="87" t="s">
        <v>151</v>
      </c>
      <c r="E19" s="88">
        <f>F19+G19+H19+I19+J19+K19+L19</f>
        <v>0</v>
      </c>
      <c r="F19" s="88"/>
      <c r="G19" s="88"/>
      <c r="H19" s="88"/>
      <c r="I19" s="88"/>
      <c r="J19" s="88"/>
      <c r="K19" s="88"/>
      <c r="L19" s="88"/>
      <c r="M19" s="268"/>
      <c r="N19" s="271"/>
      <c r="O19" s="271"/>
      <c r="P19" s="271"/>
      <c r="Q19" s="271"/>
      <c r="R19" s="271"/>
      <c r="S19" s="271"/>
      <c r="T19" s="271"/>
      <c r="U19" s="282"/>
    </row>
    <row r="20" spans="1:21" ht="15" customHeight="1">
      <c r="A20" s="338" t="s">
        <v>194</v>
      </c>
      <c r="B20" s="353" t="s">
        <v>218</v>
      </c>
      <c r="C20" s="277" t="s">
        <v>132</v>
      </c>
      <c r="D20" s="85" t="s">
        <v>152</v>
      </c>
      <c r="E20" s="86">
        <f>E22+E23+E24+E25</f>
        <v>314331717.9</v>
      </c>
      <c r="F20" s="86">
        <f aca="true" t="shared" si="2" ref="F20:L20">F22+F23+F24+F25</f>
        <v>39462578.9</v>
      </c>
      <c r="G20" s="86">
        <f t="shared" si="2"/>
        <v>43285599</v>
      </c>
      <c r="H20" s="86">
        <f t="shared" si="2"/>
        <v>44885420</v>
      </c>
      <c r="I20" s="86">
        <f t="shared" si="2"/>
        <v>45546497</v>
      </c>
      <c r="J20" s="86">
        <f t="shared" si="2"/>
        <v>47050541</v>
      </c>
      <c r="K20" s="86">
        <f t="shared" si="2"/>
        <v>47050541</v>
      </c>
      <c r="L20" s="86">
        <f t="shared" si="2"/>
        <v>47050541</v>
      </c>
      <c r="M20" s="344" t="s">
        <v>82</v>
      </c>
      <c r="N20" s="269">
        <v>100</v>
      </c>
      <c r="O20" s="269">
        <v>100</v>
      </c>
      <c r="P20" s="269">
        <v>100</v>
      </c>
      <c r="Q20" s="269">
        <v>100</v>
      </c>
      <c r="R20" s="269">
        <v>100</v>
      </c>
      <c r="S20" s="269">
        <v>100</v>
      </c>
      <c r="T20" s="269">
        <v>100</v>
      </c>
      <c r="U20" s="280" t="s">
        <v>80</v>
      </c>
    </row>
    <row r="21" spans="1:21" ht="16.5" customHeight="1">
      <c r="A21" s="339"/>
      <c r="B21" s="354"/>
      <c r="C21" s="278"/>
      <c r="D21" s="283" t="s">
        <v>177</v>
      </c>
      <c r="E21" s="284"/>
      <c r="F21" s="284"/>
      <c r="G21" s="284"/>
      <c r="H21" s="284"/>
      <c r="I21" s="284"/>
      <c r="J21" s="284"/>
      <c r="K21" s="284"/>
      <c r="L21" s="285"/>
      <c r="M21" s="345"/>
      <c r="N21" s="270"/>
      <c r="O21" s="270"/>
      <c r="P21" s="270"/>
      <c r="Q21" s="270"/>
      <c r="R21" s="270"/>
      <c r="S21" s="270"/>
      <c r="T21" s="270"/>
      <c r="U21" s="281"/>
    </row>
    <row r="22" spans="1:21" ht="12.75" customHeight="1">
      <c r="A22" s="339"/>
      <c r="B22" s="354"/>
      <c r="C22" s="278"/>
      <c r="D22" s="87" t="s">
        <v>150</v>
      </c>
      <c r="E22" s="88">
        <f>F22+G22+H22+I22+J22+K22+L22</f>
        <v>0</v>
      </c>
      <c r="F22" s="88"/>
      <c r="G22" s="88"/>
      <c r="H22" s="88"/>
      <c r="I22" s="88"/>
      <c r="J22" s="88"/>
      <c r="K22" s="88"/>
      <c r="L22" s="88"/>
      <c r="M22" s="345"/>
      <c r="N22" s="270"/>
      <c r="O22" s="270"/>
      <c r="P22" s="270"/>
      <c r="Q22" s="270"/>
      <c r="R22" s="270"/>
      <c r="S22" s="270"/>
      <c r="T22" s="270"/>
      <c r="U22" s="281"/>
    </row>
    <row r="23" spans="1:21" ht="12.75" customHeight="1">
      <c r="A23" s="339"/>
      <c r="B23" s="354"/>
      <c r="C23" s="278"/>
      <c r="D23" s="87" t="s">
        <v>148</v>
      </c>
      <c r="E23" s="88">
        <f>F23+G23+H23+I23+J23+K23+L23</f>
        <v>314331717.9</v>
      </c>
      <c r="F23" s="88">
        <v>39462578.9</v>
      </c>
      <c r="G23" s="88">
        <f>45085068-1799469</f>
        <v>43285599</v>
      </c>
      <c r="H23" s="88">
        <f>47345606-2460186</f>
        <v>44885420</v>
      </c>
      <c r="I23" s="88">
        <f>47050541-1504044</f>
        <v>45546497</v>
      </c>
      <c r="J23" s="89">
        <v>47050541</v>
      </c>
      <c r="K23" s="89">
        <v>47050541</v>
      </c>
      <c r="L23" s="89">
        <v>47050541</v>
      </c>
      <c r="M23" s="345"/>
      <c r="N23" s="270"/>
      <c r="O23" s="270"/>
      <c r="P23" s="270"/>
      <c r="Q23" s="270"/>
      <c r="R23" s="270"/>
      <c r="S23" s="270"/>
      <c r="T23" s="270"/>
      <c r="U23" s="281"/>
    </row>
    <row r="24" spans="1:21" ht="17.25" customHeight="1">
      <c r="A24" s="339"/>
      <c r="B24" s="354"/>
      <c r="C24" s="278"/>
      <c r="D24" s="87" t="s">
        <v>149</v>
      </c>
      <c r="E24" s="88">
        <f>F24+G24+H24+I24+J24+K24+L24</f>
        <v>0</v>
      </c>
      <c r="F24" s="88"/>
      <c r="G24" s="88"/>
      <c r="H24" s="88"/>
      <c r="I24" s="88"/>
      <c r="J24" s="88"/>
      <c r="K24" s="88"/>
      <c r="L24" s="88"/>
      <c r="M24" s="345"/>
      <c r="N24" s="270"/>
      <c r="O24" s="270"/>
      <c r="P24" s="270"/>
      <c r="Q24" s="270"/>
      <c r="R24" s="270"/>
      <c r="S24" s="270"/>
      <c r="T24" s="270"/>
      <c r="U24" s="281"/>
    </row>
    <row r="25" spans="1:21" ht="12.75" customHeight="1">
      <c r="A25" s="340"/>
      <c r="B25" s="355"/>
      <c r="C25" s="279"/>
      <c r="D25" s="87" t="s">
        <v>151</v>
      </c>
      <c r="E25" s="88">
        <f>F25+G25+H25+I25+J25+K25+L25</f>
        <v>0</v>
      </c>
      <c r="F25" s="88"/>
      <c r="G25" s="88"/>
      <c r="H25" s="88"/>
      <c r="I25" s="88"/>
      <c r="J25" s="88"/>
      <c r="K25" s="88"/>
      <c r="L25" s="88"/>
      <c r="M25" s="346"/>
      <c r="N25" s="271"/>
      <c r="O25" s="271"/>
      <c r="P25" s="271"/>
      <c r="Q25" s="271"/>
      <c r="R25" s="271"/>
      <c r="S25" s="271"/>
      <c r="T25" s="271"/>
      <c r="U25" s="282"/>
    </row>
    <row r="26" spans="1:21" ht="19.5" customHeight="1">
      <c r="A26" s="338" t="s">
        <v>203</v>
      </c>
      <c r="B26" s="353" t="s">
        <v>219</v>
      </c>
      <c r="C26" s="277" t="s">
        <v>132</v>
      </c>
      <c r="D26" s="85" t="s">
        <v>152</v>
      </c>
      <c r="E26" s="86">
        <f>E28+E29+E30+E31</f>
        <v>4583344</v>
      </c>
      <c r="F26" s="86">
        <f aca="true" t="shared" si="3" ref="F26:L26">F28+F29+F30+F31</f>
        <v>4583344</v>
      </c>
      <c r="G26" s="86">
        <f t="shared" si="3"/>
        <v>0</v>
      </c>
      <c r="H26" s="86">
        <f t="shared" si="3"/>
        <v>0</v>
      </c>
      <c r="I26" s="86">
        <f t="shared" si="3"/>
        <v>0</v>
      </c>
      <c r="J26" s="86">
        <f t="shared" si="3"/>
        <v>0</v>
      </c>
      <c r="K26" s="86">
        <f t="shared" si="3"/>
        <v>0</v>
      </c>
      <c r="L26" s="86">
        <f t="shared" si="3"/>
        <v>0</v>
      </c>
      <c r="M26" s="344" t="s">
        <v>339</v>
      </c>
      <c r="N26" s="269">
        <v>100</v>
      </c>
      <c r="O26" s="269">
        <v>100</v>
      </c>
      <c r="P26" s="269">
        <v>100</v>
      </c>
      <c r="Q26" s="269">
        <v>100</v>
      </c>
      <c r="R26" s="269">
        <v>100</v>
      </c>
      <c r="S26" s="269">
        <v>100</v>
      </c>
      <c r="T26" s="269">
        <v>100</v>
      </c>
      <c r="U26" s="280" t="s">
        <v>80</v>
      </c>
    </row>
    <row r="27" spans="1:21" ht="16.5" customHeight="1">
      <c r="A27" s="339"/>
      <c r="B27" s="354"/>
      <c r="C27" s="278"/>
      <c r="D27" s="283" t="s">
        <v>177</v>
      </c>
      <c r="E27" s="284"/>
      <c r="F27" s="284"/>
      <c r="G27" s="284"/>
      <c r="H27" s="284"/>
      <c r="I27" s="284"/>
      <c r="J27" s="284"/>
      <c r="K27" s="284"/>
      <c r="L27" s="285"/>
      <c r="M27" s="345"/>
      <c r="N27" s="270"/>
      <c r="O27" s="270"/>
      <c r="P27" s="270"/>
      <c r="Q27" s="270"/>
      <c r="R27" s="270"/>
      <c r="S27" s="270"/>
      <c r="T27" s="270"/>
      <c r="U27" s="281"/>
    </row>
    <row r="28" spans="1:21" ht="23.25" customHeight="1">
      <c r="A28" s="339"/>
      <c r="B28" s="354"/>
      <c r="C28" s="278"/>
      <c r="D28" s="87" t="s">
        <v>150</v>
      </c>
      <c r="E28" s="88">
        <f>F28+G28+H28+I28+J28+K28+L28</f>
        <v>0</v>
      </c>
      <c r="F28" s="88"/>
      <c r="G28" s="88"/>
      <c r="H28" s="88"/>
      <c r="I28" s="88"/>
      <c r="J28" s="88"/>
      <c r="K28" s="88"/>
      <c r="L28" s="88"/>
      <c r="M28" s="345"/>
      <c r="N28" s="270"/>
      <c r="O28" s="270"/>
      <c r="P28" s="270"/>
      <c r="Q28" s="270"/>
      <c r="R28" s="270"/>
      <c r="S28" s="270"/>
      <c r="T28" s="270"/>
      <c r="U28" s="281"/>
    </row>
    <row r="29" spans="1:21" ht="12.75" customHeight="1">
      <c r="A29" s="339"/>
      <c r="B29" s="354"/>
      <c r="C29" s="278"/>
      <c r="D29" s="87" t="s">
        <v>148</v>
      </c>
      <c r="E29" s="88">
        <f>F29+G29+H29+I29+J29+K29+L29</f>
        <v>4583344</v>
      </c>
      <c r="F29" s="88">
        <v>4583344</v>
      </c>
      <c r="G29" s="88">
        <v>0</v>
      </c>
      <c r="H29" s="88">
        <v>0</v>
      </c>
      <c r="I29" s="88">
        <v>0</v>
      </c>
      <c r="J29" s="89">
        <f>I29</f>
        <v>0</v>
      </c>
      <c r="K29" s="89">
        <f>J29</f>
        <v>0</v>
      </c>
      <c r="L29" s="89">
        <f>K29</f>
        <v>0</v>
      </c>
      <c r="M29" s="345"/>
      <c r="N29" s="270"/>
      <c r="O29" s="270"/>
      <c r="P29" s="270"/>
      <c r="Q29" s="270"/>
      <c r="R29" s="270"/>
      <c r="S29" s="270"/>
      <c r="T29" s="270"/>
      <c r="U29" s="281"/>
    </row>
    <row r="30" spans="1:21" ht="12.75" customHeight="1">
      <c r="A30" s="339"/>
      <c r="B30" s="354"/>
      <c r="C30" s="278"/>
      <c r="D30" s="87" t="s">
        <v>149</v>
      </c>
      <c r="E30" s="88">
        <f>F30+G30+H30+I30+J30+K30+L30</f>
        <v>0</v>
      </c>
      <c r="F30" s="88"/>
      <c r="G30" s="88"/>
      <c r="H30" s="88"/>
      <c r="I30" s="88"/>
      <c r="J30" s="88"/>
      <c r="K30" s="88"/>
      <c r="L30" s="88"/>
      <c r="M30" s="345"/>
      <c r="N30" s="270"/>
      <c r="O30" s="270"/>
      <c r="P30" s="270"/>
      <c r="Q30" s="270"/>
      <c r="R30" s="270"/>
      <c r="S30" s="270"/>
      <c r="T30" s="270"/>
      <c r="U30" s="281"/>
    </row>
    <row r="31" spans="1:21" ht="12.75" customHeight="1">
      <c r="A31" s="340"/>
      <c r="B31" s="355"/>
      <c r="C31" s="279"/>
      <c r="D31" s="87" t="s">
        <v>151</v>
      </c>
      <c r="E31" s="88">
        <f>F31+G31+H31+I31+J31+K31+L31</f>
        <v>0</v>
      </c>
      <c r="F31" s="88"/>
      <c r="G31" s="88"/>
      <c r="H31" s="88"/>
      <c r="I31" s="88"/>
      <c r="J31" s="88"/>
      <c r="K31" s="88"/>
      <c r="L31" s="88"/>
      <c r="M31" s="346"/>
      <c r="N31" s="271"/>
      <c r="O31" s="271"/>
      <c r="P31" s="271"/>
      <c r="Q31" s="271"/>
      <c r="R31" s="271"/>
      <c r="S31" s="271"/>
      <c r="T31" s="271"/>
      <c r="U31" s="282"/>
    </row>
    <row r="32" spans="1:21" ht="18" customHeight="1">
      <c r="A32" s="338" t="s">
        <v>204</v>
      </c>
      <c r="B32" s="353" t="s">
        <v>220</v>
      </c>
      <c r="C32" s="277" t="s">
        <v>132</v>
      </c>
      <c r="D32" s="85" t="s">
        <v>152</v>
      </c>
      <c r="E32" s="86">
        <f>E34+E35+E36+E37</f>
        <v>4964297</v>
      </c>
      <c r="F32" s="86">
        <f aca="true" t="shared" si="4" ref="F32:L32">F34+F35+F36+F37</f>
        <v>4964297</v>
      </c>
      <c r="G32" s="86">
        <f t="shared" si="4"/>
        <v>0</v>
      </c>
      <c r="H32" s="86">
        <f t="shared" si="4"/>
        <v>0</v>
      </c>
      <c r="I32" s="86">
        <f t="shared" si="4"/>
        <v>0</v>
      </c>
      <c r="J32" s="86">
        <f t="shared" si="4"/>
        <v>0</v>
      </c>
      <c r="K32" s="86">
        <f t="shared" si="4"/>
        <v>0</v>
      </c>
      <c r="L32" s="86">
        <f t="shared" si="4"/>
        <v>0</v>
      </c>
      <c r="M32" s="344" t="s">
        <v>340</v>
      </c>
      <c r="N32" s="269">
        <v>100</v>
      </c>
      <c r="O32" s="269">
        <v>100</v>
      </c>
      <c r="P32" s="269">
        <v>100</v>
      </c>
      <c r="Q32" s="269">
        <v>100</v>
      </c>
      <c r="R32" s="269">
        <v>100</v>
      </c>
      <c r="S32" s="269">
        <v>100</v>
      </c>
      <c r="T32" s="269">
        <v>100</v>
      </c>
      <c r="U32" s="280" t="s">
        <v>80</v>
      </c>
    </row>
    <row r="33" spans="1:21" ht="16.5" customHeight="1">
      <c r="A33" s="339"/>
      <c r="B33" s="354"/>
      <c r="C33" s="278"/>
      <c r="D33" s="283" t="s">
        <v>177</v>
      </c>
      <c r="E33" s="284"/>
      <c r="F33" s="284"/>
      <c r="G33" s="284"/>
      <c r="H33" s="284"/>
      <c r="I33" s="284"/>
      <c r="J33" s="284"/>
      <c r="K33" s="284"/>
      <c r="L33" s="285"/>
      <c r="M33" s="345"/>
      <c r="N33" s="270"/>
      <c r="O33" s="270"/>
      <c r="P33" s="270"/>
      <c r="Q33" s="270"/>
      <c r="R33" s="270"/>
      <c r="S33" s="270"/>
      <c r="T33" s="270"/>
      <c r="U33" s="281"/>
    </row>
    <row r="34" spans="1:21" ht="18.75" customHeight="1">
      <c r="A34" s="339"/>
      <c r="B34" s="354"/>
      <c r="C34" s="278"/>
      <c r="D34" s="87" t="s">
        <v>150</v>
      </c>
      <c r="E34" s="88">
        <f>F34+G34+H34+I34+J34+K34+L34</f>
        <v>0</v>
      </c>
      <c r="F34" s="88"/>
      <c r="G34" s="88"/>
      <c r="H34" s="88"/>
      <c r="I34" s="88"/>
      <c r="J34" s="88"/>
      <c r="K34" s="88"/>
      <c r="L34" s="88"/>
      <c r="M34" s="345"/>
      <c r="N34" s="270"/>
      <c r="O34" s="270"/>
      <c r="P34" s="270"/>
      <c r="Q34" s="270"/>
      <c r="R34" s="270"/>
      <c r="S34" s="270"/>
      <c r="T34" s="270"/>
      <c r="U34" s="281"/>
    </row>
    <row r="35" spans="1:21" ht="15.75" customHeight="1">
      <c r="A35" s="339"/>
      <c r="B35" s="354"/>
      <c r="C35" s="278"/>
      <c r="D35" s="87" t="s">
        <v>148</v>
      </c>
      <c r="E35" s="88">
        <f>F35+G35+H35+I35+J35+K35+L35</f>
        <v>4964297</v>
      </c>
      <c r="F35" s="88">
        <f>5476997-512700</f>
        <v>4964297</v>
      </c>
      <c r="G35" s="88">
        <v>0</v>
      </c>
      <c r="H35" s="88">
        <v>0</v>
      </c>
      <c r="I35" s="88">
        <v>0</v>
      </c>
      <c r="J35" s="89">
        <f>I35</f>
        <v>0</v>
      </c>
      <c r="K35" s="89">
        <f>J35</f>
        <v>0</v>
      </c>
      <c r="L35" s="89">
        <f>K35</f>
        <v>0</v>
      </c>
      <c r="M35" s="345"/>
      <c r="N35" s="336"/>
      <c r="O35" s="336"/>
      <c r="P35" s="336"/>
      <c r="Q35" s="336"/>
      <c r="R35" s="336"/>
      <c r="S35" s="336"/>
      <c r="T35" s="336"/>
      <c r="U35" s="281"/>
    </row>
    <row r="36" spans="1:21" ht="14.25" customHeight="1">
      <c r="A36" s="339"/>
      <c r="B36" s="354"/>
      <c r="C36" s="278"/>
      <c r="D36" s="87" t="s">
        <v>149</v>
      </c>
      <c r="E36" s="88">
        <f>F36+G36+H36+I36+J36+K36+L36</f>
        <v>0</v>
      </c>
      <c r="F36" s="88"/>
      <c r="G36" s="88"/>
      <c r="H36" s="88"/>
      <c r="I36" s="88"/>
      <c r="J36" s="88"/>
      <c r="K36" s="88"/>
      <c r="L36" s="88"/>
      <c r="M36" s="345"/>
      <c r="N36" s="336"/>
      <c r="O36" s="336"/>
      <c r="P36" s="336"/>
      <c r="Q36" s="336"/>
      <c r="R36" s="336"/>
      <c r="S36" s="336"/>
      <c r="T36" s="336"/>
      <c r="U36" s="281"/>
    </row>
    <row r="37" spans="1:21" ht="14.25" customHeight="1">
      <c r="A37" s="340"/>
      <c r="B37" s="355"/>
      <c r="C37" s="279"/>
      <c r="D37" s="87" t="s">
        <v>151</v>
      </c>
      <c r="E37" s="88">
        <f>F37+G37+H37+I37+J37+K37+L37</f>
        <v>0</v>
      </c>
      <c r="F37" s="88"/>
      <c r="G37" s="88"/>
      <c r="H37" s="88"/>
      <c r="I37" s="88"/>
      <c r="J37" s="88"/>
      <c r="K37" s="88"/>
      <c r="L37" s="88"/>
      <c r="M37" s="346"/>
      <c r="N37" s="337"/>
      <c r="O37" s="337"/>
      <c r="P37" s="337"/>
      <c r="Q37" s="337"/>
      <c r="R37" s="337"/>
      <c r="S37" s="337"/>
      <c r="T37" s="337"/>
      <c r="U37" s="282"/>
    </row>
    <row r="38" spans="1:21" ht="14.25" customHeight="1">
      <c r="A38" s="338" t="s">
        <v>205</v>
      </c>
      <c r="B38" s="341" t="s">
        <v>221</v>
      </c>
      <c r="C38" s="277" t="s">
        <v>132</v>
      </c>
      <c r="D38" s="85" t="s">
        <v>152</v>
      </c>
      <c r="E38" s="86">
        <f>E40+E41+E42+E43</f>
        <v>286459</v>
      </c>
      <c r="F38" s="86">
        <f aca="true" t="shared" si="5" ref="F38:L38">F40+F41+F42+F43</f>
        <v>286459</v>
      </c>
      <c r="G38" s="86">
        <f t="shared" si="5"/>
        <v>0</v>
      </c>
      <c r="H38" s="86">
        <f t="shared" si="5"/>
        <v>0</v>
      </c>
      <c r="I38" s="86">
        <f t="shared" si="5"/>
        <v>0</v>
      </c>
      <c r="J38" s="86">
        <f t="shared" si="5"/>
        <v>0</v>
      </c>
      <c r="K38" s="86">
        <f t="shared" si="5"/>
        <v>0</v>
      </c>
      <c r="L38" s="86">
        <f t="shared" si="5"/>
        <v>0</v>
      </c>
      <c r="M38" s="266" t="s">
        <v>341</v>
      </c>
      <c r="N38" s="269">
        <v>100</v>
      </c>
      <c r="O38" s="269">
        <v>100</v>
      </c>
      <c r="P38" s="269">
        <v>100</v>
      </c>
      <c r="Q38" s="269">
        <v>100</v>
      </c>
      <c r="R38" s="269">
        <v>100</v>
      </c>
      <c r="S38" s="269">
        <v>100</v>
      </c>
      <c r="T38" s="269">
        <v>100</v>
      </c>
      <c r="U38" s="280" t="s">
        <v>80</v>
      </c>
    </row>
    <row r="39" spans="1:21" ht="16.5" customHeight="1">
      <c r="A39" s="339"/>
      <c r="B39" s="342"/>
      <c r="C39" s="278"/>
      <c r="D39" s="283" t="s">
        <v>177</v>
      </c>
      <c r="E39" s="284"/>
      <c r="F39" s="284"/>
      <c r="G39" s="284"/>
      <c r="H39" s="284"/>
      <c r="I39" s="284"/>
      <c r="J39" s="284"/>
      <c r="K39" s="284"/>
      <c r="L39" s="285"/>
      <c r="M39" s="267"/>
      <c r="N39" s="270"/>
      <c r="O39" s="270"/>
      <c r="P39" s="270"/>
      <c r="Q39" s="270"/>
      <c r="R39" s="270"/>
      <c r="S39" s="270"/>
      <c r="T39" s="270"/>
      <c r="U39" s="281"/>
    </row>
    <row r="40" spans="1:21" ht="14.25" customHeight="1">
      <c r="A40" s="339"/>
      <c r="B40" s="342"/>
      <c r="C40" s="278"/>
      <c r="D40" s="87" t="s">
        <v>150</v>
      </c>
      <c r="E40" s="88">
        <f>F40+G40+H40+I40+J40+K40+L40</f>
        <v>0</v>
      </c>
      <c r="F40" s="89"/>
      <c r="G40" s="88"/>
      <c r="H40" s="88"/>
      <c r="I40" s="88"/>
      <c r="J40" s="88"/>
      <c r="K40" s="88"/>
      <c r="L40" s="88"/>
      <c r="M40" s="267"/>
      <c r="N40" s="270"/>
      <c r="O40" s="270"/>
      <c r="P40" s="270"/>
      <c r="Q40" s="270"/>
      <c r="R40" s="270"/>
      <c r="S40" s="270"/>
      <c r="T40" s="270"/>
      <c r="U40" s="281"/>
    </row>
    <row r="41" spans="1:21" ht="14.25" customHeight="1">
      <c r="A41" s="339"/>
      <c r="B41" s="342"/>
      <c r="C41" s="278"/>
      <c r="D41" s="87" t="s">
        <v>148</v>
      </c>
      <c r="E41" s="88">
        <f>F41+G41+H41+I41+J41+K41+L41</f>
        <v>286459</v>
      </c>
      <c r="F41" s="89">
        <v>286459</v>
      </c>
      <c r="G41" s="88">
        <v>0</v>
      </c>
      <c r="H41" s="88">
        <v>0</v>
      </c>
      <c r="I41" s="88">
        <v>0</v>
      </c>
      <c r="J41" s="89">
        <f>I41</f>
        <v>0</v>
      </c>
      <c r="K41" s="89">
        <f>J41</f>
        <v>0</v>
      </c>
      <c r="L41" s="89">
        <f>K41</f>
        <v>0</v>
      </c>
      <c r="M41" s="267"/>
      <c r="N41" s="270"/>
      <c r="O41" s="270"/>
      <c r="P41" s="270"/>
      <c r="Q41" s="270"/>
      <c r="R41" s="270"/>
      <c r="S41" s="270"/>
      <c r="T41" s="270"/>
      <c r="U41" s="281"/>
    </row>
    <row r="42" spans="1:21" ht="14.25" customHeight="1">
      <c r="A42" s="339"/>
      <c r="B42" s="342"/>
      <c r="C42" s="278"/>
      <c r="D42" s="87" t="s">
        <v>149</v>
      </c>
      <c r="E42" s="88">
        <f>F42+G42+H42+I42+J42+K42+L42</f>
        <v>0</v>
      </c>
      <c r="F42" s="89"/>
      <c r="G42" s="88"/>
      <c r="H42" s="88"/>
      <c r="I42" s="88"/>
      <c r="J42" s="88"/>
      <c r="K42" s="88"/>
      <c r="L42" s="88"/>
      <c r="M42" s="267"/>
      <c r="N42" s="270"/>
      <c r="O42" s="270"/>
      <c r="P42" s="270"/>
      <c r="Q42" s="270"/>
      <c r="R42" s="270"/>
      <c r="S42" s="270"/>
      <c r="T42" s="270"/>
      <c r="U42" s="281"/>
    </row>
    <row r="43" spans="1:21" ht="14.25" customHeight="1">
      <c r="A43" s="340"/>
      <c r="B43" s="343"/>
      <c r="C43" s="279"/>
      <c r="D43" s="87" t="s">
        <v>151</v>
      </c>
      <c r="E43" s="88">
        <f>F43+G43+H43+I43+J43+K43+L43</f>
        <v>0</v>
      </c>
      <c r="F43" s="89"/>
      <c r="G43" s="88"/>
      <c r="H43" s="88"/>
      <c r="I43" s="88"/>
      <c r="J43" s="88"/>
      <c r="K43" s="88"/>
      <c r="L43" s="88"/>
      <c r="M43" s="268"/>
      <c r="N43" s="271"/>
      <c r="O43" s="271"/>
      <c r="P43" s="271"/>
      <c r="Q43" s="271"/>
      <c r="R43" s="271"/>
      <c r="S43" s="271"/>
      <c r="T43" s="271"/>
      <c r="U43" s="282"/>
    </row>
    <row r="44" spans="1:21" ht="27" customHeight="1">
      <c r="A44" s="338" t="s">
        <v>224</v>
      </c>
      <c r="B44" s="341" t="s">
        <v>222</v>
      </c>
      <c r="C44" s="277" t="s">
        <v>132</v>
      </c>
      <c r="D44" s="85" t="s">
        <v>152</v>
      </c>
      <c r="E44" s="86">
        <f>E46+E47+E48+E49</f>
        <v>557881263.45</v>
      </c>
      <c r="F44" s="86">
        <f aca="true" t="shared" si="6" ref="F44:L44">F46+F47+F48+F49</f>
        <v>83110947.83</v>
      </c>
      <c r="G44" s="86">
        <f t="shared" si="6"/>
        <v>76559270.65</v>
      </c>
      <c r="H44" s="86">
        <f t="shared" si="6"/>
        <v>83542697.73</v>
      </c>
      <c r="I44" s="86">
        <f t="shared" si="6"/>
        <v>78667086.81000002</v>
      </c>
      <c r="J44" s="86">
        <f t="shared" si="6"/>
        <v>78667086.81000002</v>
      </c>
      <c r="K44" s="86">
        <f t="shared" si="6"/>
        <v>78667086.81000002</v>
      </c>
      <c r="L44" s="86">
        <f t="shared" si="6"/>
        <v>78667086.81000002</v>
      </c>
      <c r="M44" s="266" t="s">
        <v>83</v>
      </c>
      <c r="N44" s="269">
        <v>1</v>
      </c>
      <c r="O44" s="269">
        <v>1</v>
      </c>
      <c r="P44" s="269">
        <v>1</v>
      </c>
      <c r="Q44" s="269">
        <v>1</v>
      </c>
      <c r="R44" s="269">
        <v>1</v>
      </c>
      <c r="S44" s="269">
        <v>1</v>
      </c>
      <c r="T44" s="269">
        <v>1</v>
      </c>
      <c r="U44" s="280" t="s">
        <v>80</v>
      </c>
    </row>
    <row r="45" spans="1:21" ht="16.5" customHeight="1">
      <c r="A45" s="339"/>
      <c r="B45" s="342"/>
      <c r="C45" s="278"/>
      <c r="D45" s="283" t="s">
        <v>177</v>
      </c>
      <c r="E45" s="284"/>
      <c r="F45" s="284"/>
      <c r="G45" s="284"/>
      <c r="H45" s="284"/>
      <c r="I45" s="284"/>
      <c r="J45" s="284"/>
      <c r="K45" s="284"/>
      <c r="L45" s="285"/>
      <c r="M45" s="267"/>
      <c r="N45" s="270"/>
      <c r="O45" s="270"/>
      <c r="P45" s="270"/>
      <c r="Q45" s="270"/>
      <c r="R45" s="270"/>
      <c r="S45" s="270"/>
      <c r="T45" s="270"/>
      <c r="U45" s="281"/>
    </row>
    <row r="46" spans="1:21" ht="21" customHeight="1">
      <c r="A46" s="339"/>
      <c r="B46" s="342"/>
      <c r="C46" s="278"/>
      <c r="D46" s="87" t="s">
        <v>150</v>
      </c>
      <c r="E46" s="88">
        <f>F46+G46+H46+I46+J46+K46+L46</f>
        <v>557881263.45</v>
      </c>
      <c r="F46" s="89">
        <f>99968803-F52+1016650.83+232560+34977</f>
        <v>83110947.83</v>
      </c>
      <c r="G46" s="89">
        <f>80858518.04-4299247.39</f>
        <v>76559270.65</v>
      </c>
      <c r="H46" s="89">
        <f>88453218.59-H58+779403.24</f>
        <v>83542697.73</v>
      </c>
      <c r="I46" s="89">
        <f>83226169.29-I58+811783.98</f>
        <v>78667086.81000002</v>
      </c>
      <c r="J46" s="89">
        <f>I46</f>
        <v>78667086.81000002</v>
      </c>
      <c r="K46" s="89">
        <f>J46</f>
        <v>78667086.81000002</v>
      </c>
      <c r="L46" s="89">
        <f>K46</f>
        <v>78667086.81000002</v>
      </c>
      <c r="M46" s="267"/>
      <c r="N46" s="270"/>
      <c r="O46" s="270"/>
      <c r="P46" s="270"/>
      <c r="Q46" s="270"/>
      <c r="R46" s="270"/>
      <c r="S46" s="270"/>
      <c r="T46" s="270"/>
      <c r="U46" s="281"/>
    </row>
    <row r="47" spans="1:21" ht="15" customHeight="1">
      <c r="A47" s="339"/>
      <c r="B47" s="342"/>
      <c r="C47" s="278"/>
      <c r="D47" s="87" t="s">
        <v>148</v>
      </c>
      <c r="E47" s="88">
        <f>F47+G47+H47+I47+J47+K47+L47</f>
        <v>0</v>
      </c>
      <c r="F47" s="89"/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267"/>
      <c r="N47" s="270"/>
      <c r="O47" s="270"/>
      <c r="P47" s="270"/>
      <c r="Q47" s="270"/>
      <c r="R47" s="270"/>
      <c r="S47" s="270"/>
      <c r="T47" s="270"/>
      <c r="U47" s="281"/>
    </row>
    <row r="48" spans="1:21" ht="14.25" customHeight="1">
      <c r="A48" s="339"/>
      <c r="B48" s="342"/>
      <c r="C48" s="278"/>
      <c r="D48" s="87" t="s">
        <v>149</v>
      </c>
      <c r="E48" s="88">
        <f>F48+G48+H48+I48+J48+K48+L48</f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267"/>
      <c r="N48" s="270"/>
      <c r="O48" s="270"/>
      <c r="P48" s="270"/>
      <c r="Q48" s="270"/>
      <c r="R48" s="270"/>
      <c r="S48" s="270"/>
      <c r="T48" s="270"/>
      <c r="U48" s="281"/>
    </row>
    <row r="49" spans="1:21" ht="14.25" customHeight="1">
      <c r="A49" s="340"/>
      <c r="B49" s="343"/>
      <c r="C49" s="279"/>
      <c r="D49" s="87" t="s">
        <v>151</v>
      </c>
      <c r="E49" s="88">
        <f>F49+G49+H49+I49+J49+K49+L49</f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268"/>
      <c r="N49" s="271"/>
      <c r="O49" s="271"/>
      <c r="P49" s="271"/>
      <c r="Q49" s="271"/>
      <c r="R49" s="271"/>
      <c r="S49" s="271"/>
      <c r="T49" s="271"/>
      <c r="U49" s="282"/>
    </row>
    <row r="50" spans="1:21" ht="27" customHeight="1">
      <c r="A50" s="338" t="s">
        <v>225</v>
      </c>
      <c r="B50" s="341" t="s">
        <v>230</v>
      </c>
      <c r="C50" s="277" t="s">
        <v>132</v>
      </c>
      <c r="D50" s="85" t="s">
        <v>152</v>
      </c>
      <c r="E50" s="86">
        <f>E52+E53+E54+E55</f>
        <v>174322604.22</v>
      </c>
      <c r="F50" s="86">
        <f aca="true" t="shared" si="7" ref="F50:L50">F52+F53+F54+F55</f>
        <v>18142043</v>
      </c>
      <c r="G50" s="86">
        <f t="shared" si="7"/>
        <v>18052455.82</v>
      </c>
      <c r="H50" s="86">
        <f t="shared" si="7"/>
        <v>20133372</v>
      </c>
      <c r="I50" s="86">
        <f t="shared" si="7"/>
        <v>29498683.349999998</v>
      </c>
      <c r="J50" s="86">
        <f t="shared" si="7"/>
        <v>29498683.349999998</v>
      </c>
      <c r="K50" s="86">
        <f t="shared" si="7"/>
        <v>29498683.349999998</v>
      </c>
      <c r="L50" s="86">
        <f t="shared" si="7"/>
        <v>29498683.349999998</v>
      </c>
      <c r="M50" s="266" t="s">
        <v>12</v>
      </c>
      <c r="N50" s="272">
        <v>1</v>
      </c>
      <c r="O50" s="272">
        <v>1</v>
      </c>
      <c r="P50" s="272">
        <v>1</v>
      </c>
      <c r="Q50" s="272">
        <v>1</v>
      </c>
      <c r="R50" s="272">
        <v>1</v>
      </c>
      <c r="S50" s="272">
        <v>1</v>
      </c>
      <c r="T50" s="272">
        <v>1</v>
      </c>
      <c r="U50" s="280" t="s">
        <v>80</v>
      </c>
    </row>
    <row r="51" spans="1:21" ht="16.5" customHeight="1">
      <c r="A51" s="339"/>
      <c r="B51" s="342"/>
      <c r="C51" s="278"/>
      <c r="D51" s="283" t="s">
        <v>177</v>
      </c>
      <c r="E51" s="284"/>
      <c r="F51" s="284"/>
      <c r="G51" s="284"/>
      <c r="H51" s="284"/>
      <c r="I51" s="284"/>
      <c r="J51" s="284"/>
      <c r="K51" s="284"/>
      <c r="L51" s="285"/>
      <c r="M51" s="267"/>
      <c r="N51" s="273"/>
      <c r="O51" s="273"/>
      <c r="P51" s="273"/>
      <c r="Q51" s="273"/>
      <c r="R51" s="273"/>
      <c r="S51" s="273"/>
      <c r="T51" s="273"/>
      <c r="U51" s="281"/>
    </row>
    <row r="52" spans="1:21" ht="21" customHeight="1">
      <c r="A52" s="339"/>
      <c r="B52" s="342"/>
      <c r="C52" s="278"/>
      <c r="D52" s="87" t="s">
        <v>150</v>
      </c>
      <c r="E52" s="88">
        <f>F52+G52+H52+I52+J52+K52+L52</f>
        <v>174322604.22</v>
      </c>
      <c r="F52" s="89">
        <f>25282883.97+5371987-F83</f>
        <v>18142043</v>
      </c>
      <c r="G52" s="89">
        <f>22306936-3240730-1013750.18</f>
        <v>18052455.82</v>
      </c>
      <c r="H52" s="89">
        <v>20133372</v>
      </c>
      <c r="I52" s="89">
        <v>29498683.349999998</v>
      </c>
      <c r="J52" s="89">
        <f>I52</f>
        <v>29498683.349999998</v>
      </c>
      <c r="K52" s="89">
        <f>J52</f>
        <v>29498683.349999998</v>
      </c>
      <c r="L52" s="89">
        <f>K52</f>
        <v>29498683.349999998</v>
      </c>
      <c r="M52" s="267"/>
      <c r="N52" s="273"/>
      <c r="O52" s="273"/>
      <c r="P52" s="273"/>
      <c r="Q52" s="273"/>
      <c r="R52" s="273"/>
      <c r="S52" s="273"/>
      <c r="T52" s="273"/>
      <c r="U52" s="281"/>
    </row>
    <row r="53" spans="1:21" ht="15" customHeight="1">
      <c r="A53" s="339"/>
      <c r="B53" s="342"/>
      <c r="C53" s="278"/>
      <c r="D53" s="87" t="s">
        <v>148</v>
      </c>
      <c r="E53" s="88">
        <f>F53+G53+H53+I53+J53+K53+L53</f>
        <v>0</v>
      </c>
      <c r="F53" s="89"/>
      <c r="G53" s="89"/>
      <c r="H53" s="89"/>
      <c r="I53" s="89"/>
      <c r="J53" s="89"/>
      <c r="K53" s="89"/>
      <c r="L53" s="89"/>
      <c r="M53" s="267"/>
      <c r="N53" s="273"/>
      <c r="O53" s="273"/>
      <c r="P53" s="273"/>
      <c r="Q53" s="273"/>
      <c r="R53" s="273"/>
      <c r="S53" s="273"/>
      <c r="T53" s="273"/>
      <c r="U53" s="281"/>
    </row>
    <row r="54" spans="1:21" ht="14.25" customHeight="1">
      <c r="A54" s="339"/>
      <c r="B54" s="342"/>
      <c r="C54" s="278"/>
      <c r="D54" s="87" t="s">
        <v>149</v>
      </c>
      <c r="E54" s="88">
        <f>F54+G54+H54+I54+J54+K54+L54</f>
        <v>0</v>
      </c>
      <c r="F54" s="89"/>
      <c r="G54" s="89"/>
      <c r="H54" s="89"/>
      <c r="I54" s="89"/>
      <c r="J54" s="89"/>
      <c r="K54" s="89"/>
      <c r="L54" s="89"/>
      <c r="M54" s="267"/>
      <c r="N54" s="273"/>
      <c r="O54" s="273"/>
      <c r="P54" s="273"/>
      <c r="Q54" s="273"/>
      <c r="R54" s="273"/>
      <c r="S54" s="273"/>
      <c r="T54" s="273"/>
      <c r="U54" s="281"/>
    </row>
    <row r="55" spans="1:21" ht="12.75">
      <c r="A55" s="340"/>
      <c r="B55" s="343"/>
      <c r="C55" s="279"/>
      <c r="D55" s="87" t="s">
        <v>151</v>
      </c>
      <c r="E55" s="88">
        <f>F55+G55+H55+I55+J55+K55+L55</f>
        <v>0</v>
      </c>
      <c r="F55" s="89"/>
      <c r="G55" s="89"/>
      <c r="H55" s="89"/>
      <c r="I55" s="89"/>
      <c r="J55" s="89"/>
      <c r="K55" s="89"/>
      <c r="L55" s="89"/>
      <c r="M55" s="268"/>
      <c r="N55" s="276"/>
      <c r="O55" s="276"/>
      <c r="P55" s="276"/>
      <c r="Q55" s="276"/>
      <c r="R55" s="276"/>
      <c r="S55" s="276"/>
      <c r="T55" s="276"/>
      <c r="U55" s="282"/>
    </row>
    <row r="56" spans="1:21" ht="27" customHeight="1">
      <c r="A56" s="338" t="s">
        <v>226</v>
      </c>
      <c r="B56" s="341" t="s">
        <v>315</v>
      </c>
      <c r="C56" s="277" t="s">
        <v>132</v>
      </c>
      <c r="D56" s="85" t="s">
        <v>152</v>
      </c>
      <c r="E56" s="86">
        <f>E58+E59+E60+E61</f>
        <v>39479712.5</v>
      </c>
      <c r="F56" s="86">
        <f aca="true" t="shared" si="8" ref="F56:L56">F58+F59+F60+F61</f>
        <v>1131090</v>
      </c>
      <c r="G56" s="86">
        <f t="shared" si="8"/>
        <v>5634277.56</v>
      </c>
      <c r="H56" s="86">
        <f t="shared" si="8"/>
        <v>6754539.1</v>
      </c>
      <c r="I56" s="86">
        <f t="shared" si="8"/>
        <v>6489951.46</v>
      </c>
      <c r="J56" s="86">
        <f t="shared" si="8"/>
        <v>6489951.46</v>
      </c>
      <c r="K56" s="86">
        <f t="shared" si="8"/>
        <v>6489951.46</v>
      </c>
      <c r="L56" s="86">
        <f t="shared" si="8"/>
        <v>6489951.46</v>
      </c>
      <c r="M56" s="266" t="s">
        <v>338</v>
      </c>
      <c r="N56" s="272">
        <v>1</v>
      </c>
      <c r="O56" s="272">
        <v>1</v>
      </c>
      <c r="P56" s="272">
        <v>1</v>
      </c>
      <c r="Q56" s="272">
        <v>1</v>
      </c>
      <c r="R56" s="272">
        <v>1</v>
      </c>
      <c r="S56" s="272">
        <v>1</v>
      </c>
      <c r="T56" s="272">
        <v>1</v>
      </c>
      <c r="U56" s="280" t="s">
        <v>80</v>
      </c>
    </row>
    <row r="57" spans="1:21" ht="16.5" customHeight="1">
      <c r="A57" s="339"/>
      <c r="B57" s="342"/>
      <c r="C57" s="278"/>
      <c r="D57" s="283" t="s">
        <v>177</v>
      </c>
      <c r="E57" s="284"/>
      <c r="F57" s="284"/>
      <c r="G57" s="284"/>
      <c r="H57" s="284"/>
      <c r="I57" s="284"/>
      <c r="J57" s="284"/>
      <c r="K57" s="284"/>
      <c r="L57" s="285"/>
      <c r="M57" s="267"/>
      <c r="N57" s="273"/>
      <c r="O57" s="273"/>
      <c r="P57" s="273"/>
      <c r="Q57" s="273"/>
      <c r="R57" s="273"/>
      <c r="S57" s="273"/>
      <c r="T57" s="273"/>
      <c r="U57" s="281"/>
    </row>
    <row r="58" spans="1:21" ht="21" customHeight="1">
      <c r="A58" s="339"/>
      <c r="B58" s="342"/>
      <c r="C58" s="278"/>
      <c r="D58" s="87" t="s">
        <v>150</v>
      </c>
      <c r="E58" s="88">
        <f>F58+G58+H58+I58+J58+K58+L58</f>
        <v>31805066.500000004</v>
      </c>
      <c r="F58" s="89"/>
      <c r="G58" s="89">
        <f>4863632.5+11816.5-243772.44</f>
        <v>4631676.56</v>
      </c>
      <c r="H58" s="89">
        <v>5689924.1</v>
      </c>
      <c r="I58" s="89">
        <v>5370866.46</v>
      </c>
      <c r="J58" s="89">
        <f aca="true" t="shared" si="9" ref="J58:L59">I58</f>
        <v>5370866.46</v>
      </c>
      <c r="K58" s="89">
        <f t="shared" si="9"/>
        <v>5370866.46</v>
      </c>
      <c r="L58" s="89">
        <f t="shared" si="9"/>
        <v>5370866.46</v>
      </c>
      <c r="M58" s="267"/>
      <c r="N58" s="273"/>
      <c r="O58" s="273"/>
      <c r="P58" s="273"/>
      <c r="Q58" s="273"/>
      <c r="R58" s="273"/>
      <c r="S58" s="273"/>
      <c r="T58" s="273"/>
      <c r="U58" s="281"/>
    </row>
    <row r="59" spans="1:21" ht="15" customHeight="1">
      <c r="A59" s="339"/>
      <c r="B59" s="342"/>
      <c r="C59" s="278"/>
      <c r="D59" s="87" t="s">
        <v>148</v>
      </c>
      <c r="E59" s="88">
        <f>F59+G59+H59+I59+J59+K59+L59</f>
        <v>7674646</v>
      </c>
      <c r="F59" s="89">
        <v>1131090</v>
      </c>
      <c r="G59" s="89">
        <v>1002601</v>
      </c>
      <c r="H59" s="89">
        <v>1064615</v>
      </c>
      <c r="I59" s="89">
        <v>1119085</v>
      </c>
      <c r="J59" s="89">
        <f t="shared" si="9"/>
        <v>1119085</v>
      </c>
      <c r="K59" s="89">
        <f t="shared" si="9"/>
        <v>1119085</v>
      </c>
      <c r="L59" s="89">
        <f t="shared" si="9"/>
        <v>1119085</v>
      </c>
      <c r="M59" s="267"/>
      <c r="N59" s="273"/>
      <c r="O59" s="273"/>
      <c r="P59" s="273"/>
      <c r="Q59" s="273"/>
      <c r="R59" s="273"/>
      <c r="S59" s="273"/>
      <c r="T59" s="273"/>
      <c r="U59" s="281"/>
    </row>
    <row r="60" spans="1:21" ht="14.25" customHeight="1">
      <c r="A60" s="339"/>
      <c r="B60" s="342"/>
      <c r="C60" s="278"/>
      <c r="D60" s="87" t="s">
        <v>149</v>
      </c>
      <c r="E60" s="88">
        <f>F60+G60+H60+I60+J60+K60+L60</f>
        <v>0</v>
      </c>
      <c r="F60" s="89"/>
      <c r="G60" s="89"/>
      <c r="H60" s="89"/>
      <c r="I60" s="89"/>
      <c r="J60" s="89"/>
      <c r="K60" s="89"/>
      <c r="L60" s="89"/>
      <c r="M60" s="267"/>
      <c r="N60" s="273"/>
      <c r="O60" s="273"/>
      <c r="P60" s="273"/>
      <c r="Q60" s="273"/>
      <c r="R60" s="273"/>
      <c r="S60" s="273"/>
      <c r="T60" s="273"/>
      <c r="U60" s="281"/>
    </row>
    <row r="61" spans="1:21" ht="12.75">
      <c r="A61" s="340"/>
      <c r="B61" s="343"/>
      <c r="C61" s="279"/>
      <c r="D61" s="87" t="s">
        <v>151</v>
      </c>
      <c r="E61" s="88">
        <f>F61+G61+H61+I61+J61+K61+L61</f>
        <v>0</v>
      </c>
      <c r="F61" s="89"/>
      <c r="G61" s="89"/>
      <c r="H61" s="89"/>
      <c r="I61" s="89"/>
      <c r="J61" s="89"/>
      <c r="K61" s="89"/>
      <c r="L61" s="89"/>
      <c r="M61" s="268"/>
      <c r="N61" s="276"/>
      <c r="O61" s="276"/>
      <c r="P61" s="276"/>
      <c r="Q61" s="276"/>
      <c r="R61" s="276"/>
      <c r="S61" s="276"/>
      <c r="T61" s="276"/>
      <c r="U61" s="282"/>
    </row>
    <row r="62" spans="1:21" ht="27" customHeight="1">
      <c r="A62" s="338" t="s">
        <v>342</v>
      </c>
      <c r="B62" s="341" t="s">
        <v>223</v>
      </c>
      <c r="C62" s="277" t="s">
        <v>132</v>
      </c>
      <c r="D62" s="85" t="s">
        <v>152</v>
      </c>
      <c r="E62" s="86">
        <f>E64+E65+E66+E67</f>
        <v>6038935</v>
      </c>
      <c r="F62" s="86">
        <f aca="true" t="shared" si="10" ref="F62:L62">F64+F65+F66+F67</f>
        <v>862705</v>
      </c>
      <c r="G62" s="86">
        <f t="shared" si="10"/>
        <v>862705</v>
      </c>
      <c r="H62" s="86">
        <f t="shared" si="10"/>
        <v>862705</v>
      </c>
      <c r="I62" s="86">
        <f t="shared" si="10"/>
        <v>862705</v>
      </c>
      <c r="J62" s="86">
        <f t="shared" si="10"/>
        <v>862705</v>
      </c>
      <c r="K62" s="86">
        <f t="shared" si="10"/>
        <v>862705</v>
      </c>
      <c r="L62" s="86">
        <f t="shared" si="10"/>
        <v>862705</v>
      </c>
      <c r="M62" s="266" t="s">
        <v>87</v>
      </c>
      <c r="N62" s="272">
        <v>1</v>
      </c>
      <c r="O62" s="272">
        <v>1</v>
      </c>
      <c r="P62" s="272">
        <v>1</v>
      </c>
      <c r="Q62" s="272">
        <v>1</v>
      </c>
      <c r="R62" s="272">
        <v>1</v>
      </c>
      <c r="S62" s="272">
        <v>1</v>
      </c>
      <c r="T62" s="272">
        <v>1</v>
      </c>
      <c r="U62" s="280" t="s">
        <v>80</v>
      </c>
    </row>
    <row r="63" spans="1:21" ht="16.5" customHeight="1">
      <c r="A63" s="339"/>
      <c r="B63" s="342"/>
      <c r="C63" s="278"/>
      <c r="D63" s="283" t="s">
        <v>177</v>
      </c>
      <c r="E63" s="284"/>
      <c r="F63" s="284"/>
      <c r="G63" s="284"/>
      <c r="H63" s="284"/>
      <c r="I63" s="284"/>
      <c r="J63" s="284"/>
      <c r="K63" s="284"/>
      <c r="L63" s="285"/>
      <c r="M63" s="267"/>
      <c r="N63" s="273"/>
      <c r="O63" s="273"/>
      <c r="P63" s="273"/>
      <c r="Q63" s="273"/>
      <c r="R63" s="273"/>
      <c r="S63" s="273"/>
      <c r="T63" s="273"/>
      <c r="U63" s="281"/>
    </row>
    <row r="64" spans="1:21" ht="21" customHeight="1">
      <c r="A64" s="339"/>
      <c r="B64" s="342"/>
      <c r="C64" s="278"/>
      <c r="D64" s="87" t="s">
        <v>150</v>
      </c>
      <c r="E64" s="88">
        <f>F64+G64+H64+I64+J64+K64+L64</f>
        <v>0</v>
      </c>
      <c r="F64" s="89"/>
      <c r="G64" s="89"/>
      <c r="H64" s="89"/>
      <c r="I64" s="89"/>
      <c r="J64" s="89"/>
      <c r="K64" s="89"/>
      <c r="L64" s="89"/>
      <c r="M64" s="267"/>
      <c r="N64" s="273"/>
      <c r="O64" s="273"/>
      <c r="P64" s="273"/>
      <c r="Q64" s="273"/>
      <c r="R64" s="273"/>
      <c r="S64" s="273"/>
      <c r="T64" s="273"/>
      <c r="U64" s="281"/>
    </row>
    <row r="65" spans="1:21" ht="15" customHeight="1">
      <c r="A65" s="339"/>
      <c r="B65" s="342"/>
      <c r="C65" s="278"/>
      <c r="D65" s="87" t="s">
        <v>148</v>
      </c>
      <c r="E65" s="88">
        <f>F65+G65+H65+I65+J65+K65+L65</f>
        <v>0</v>
      </c>
      <c r="F65" s="89"/>
      <c r="G65" s="89"/>
      <c r="H65" s="89"/>
      <c r="I65" s="89"/>
      <c r="J65" s="89"/>
      <c r="K65" s="89"/>
      <c r="L65" s="89"/>
      <c r="M65" s="267"/>
      <c r="N65" s="273"/>
      <c r="O65" s="273"/>
      <c r="P65" s="273"/>
      <c r="Q65" s="273"/>
      <c r="R65" s="273"/>
      <c r="S65" s="273"/>
      <c r="T65" s="273"/>
      <c r="U65" s="281"/>
    </row>
    <row r="66" spans="1:21" ht="14.25" customHeight="1">
      <c r="A66" s="339"/>
      <c r="B66" s="342"/>
      <c r="C66" s="278"/>
      <c r="D66" s="87" t="s">
        <v>149</v>
      </c>
      <c r="E66" s="88">
        <f>F66+G66+H66+I66+J66+K66+L66</f>
        <v>0</v>
      </c>
      <c r="F66" s="89"/>
      <c r="G66" s="89"/>
      <c r="H66" s="89"/>
      <c r="I66" s="89"/>
      <c r="J66" s="89"/>
      <c r="K66" s="89"/>
      <c r="L66" s="89"/>
      <c r="M66" s="267"/>
      <c r="N66" s="273"/>
      <c r="O66" s="273"/>
      <c r="P66" s="273"/>
      <c r="Q66" s="273"/>
      <c r="R66" s="273"/>
      <c r="S66" s="273"/>
      <c r="T66" s="273"/>
      <c r="U66" s="281"/>
    </row>
    <row r="67" spans="1:21" ht="12.75" customHeight="1">
      <c r="A67" s="340"/>
      <c r="B67" s="343"/>
      <c r="C67" s="279"/>
      <c r="D67" s="87" t="s">
        <v>151</v>
      </c>
      <c r="E67" s="88">
        <f>F67+G67+H67+I67+J67+K67+L67</f>
        <v>6038935</v>
      </c>
      <c r="F67" s="89">
        <f>1403705-541000</f>
        <v>862705</v>
      </c>
      <c r="G67" s="89">
        <f aca="true" t="shared" si="11" ref="G67:L67">F67</f>
        <v>862705</v>
      </c>
      <c r="H67" s="89">
        <f t="shared" si="11"/>
        <v>862705</v>
      </c>
      <c r="I67" s="89">
        <f t="shared" si="11"/>
        <v>862705</v>
      </c>
      <c r="J67" s="89">
        <f t="shared" si="11"/>
        <v>862705</v>
      </c>
      <c r="K67" s="89">
        <f t="shared" si="11"/>
        <v>862705</v>
      </c>
      <c r="L67" s="89">
        <f t="shared" si="11"/>
        <v>862705</v>
      </c>
      <c r="M67" s="268"/>
      <c r="N67" s="276"/>
      <c r="O67" s="276"/>
      <c r="P67" s="276"/>
      <c r="Q67" s="276"/>
      <c r="R67" s="276"/>
      <c r="S67" s="276"/>
      <c r="T67" s="276"/>
      <c r="U67" s="282"/>
    </row>
    <row r="68" spans="1:21" ht="13.5" customHeight="1">
      <c r="A68" s="327"/>
      <c r="B68" s="330" t="s">
        <v>236</v>
      </c>
      <c r="C68" s="327"/>
      <c r="D68" s="90" t="s">
        <v>152</v>
      </c>
      <c r="E68" s="91">
        <f aca="true" t="shared" si="12" ref="E68:L68">E70+E71+E72+E73</f>
        <v>3079202710.17</v>
      </c>
      <c r="F68" s="91">
        <f t="shared" si="12"/>
        <v>407698429.83</v>
      </c>
      <c r="G68" s="91">
        <f t="shared" si="12"/>
        <v>400539708.03</v>
      </c>
      <c r="H68" s="91">
        <f t="shared" si="12"/>
        <v>422379265.83</v>
      </c>
      <c r="I68" s="91">
        <f t="shared" si="12"/>
        <v>449612626.62</v>
      </c>
      <c r="J68" s="91">
        <f t="shared" si="12"/>
        <v>466324226.62</v>
      </c>
      <c r="K68" s="91">
        <f t="shared" si="12"/>
        <v>466324226.62</v>
      </c>
      <c r="L68" s="91">
        <f t="shared" si="12"/>
        <v>466324226.62</v>
      </c>
      <c r="M68" s="309"/>
      <c r="N68" s="303"/>
      <c r="O68" s="303"/>
      <c r="P68" s="303"/>
      <c r="Q68" s="303"/>
      <c r="R68" s="303"/>
      <c r="S68" s="303"/>
      <c r="T68" s="303"/>
      <c r="U68" s="333"/>
    </row>
    <row r="69" spans="1:21" ht="12.75" customHeight="1">
      <c r="A69" s="328"/>
      <c r="B69" s="331"/>
      <c r="C69" s="328"/>
      <c r="D69" s="312" t="s">
        <v>177</v>
      </c>
      <c r="E69" s="313"/>
      <c r="F69" s="313"/>
      <c r="G69" s="313"/>
      <c r="H69" s="313"/>
      <c r="I69" s="313"/>
      <c r="J69" s="313"/>
      <c r="K69" s="313"/>
      <c r="L69" s="314"/>
      <c r="M69" s="310"/>
      <c r="N69" s="304"/>
      <c r="O69" s="304"/>
      <c r="P69" s="304"/>
      <c r="Q69" s="304"/>
      <c r="R69" s="304"/>
      <c r="S69" s="304"/>
      <c r="T69" s="304"/>
      <c r="U69" s="334"/>
    </row>
    <row r="70" spans="1:21" ht="13.5" customHeight="1">
      <c r="A70" s="328"/>
      <c r="B70" s="331"/>
      <c r="C70" s="328"/>
      <c r="D70" s="92" t="s">
        <v>150</v>
      </c>
      <c r="E70" s="91">
        <f>F70+G70+H70+I70+J70+K70+L70</f>
        <v>764008934.1700001</v>
      </c>
      <c r="F70" s="93">
        <f>F10+F16+F22+F28+F34+F40+F46+F64+F52+F58</f>
        <v>101252990.83</v>
      </c>
      <c r="G70" s="93">
        <f>G58+G52+G46+G40+G34+G28+G22+G16+G10</f>
        <v>99243403.03</v>
      </c>
      <c r="H70" s="93">
        <f>H10+H16+H22+H28+H34+H40+H46+H64+H52+H58</f>
        <v>109365993.83</v>
      </c>
      <c r="I70" s="93">
        <f>I10+I16+I22+I28+I34+I40+I46+I64+I52+I58</f>
        <v>113536636.62</v>
      </c>
      <c r="J70" s="93">
        <f>J10+J16+J22+J28+J34+J40+J46+J64+J52+J58</f>
        <v>113536636.62</v>
      </c>
      <c r="K70" s="93">
        <f>K10+K16+K22+K28+K34+K40+K46+K64+K52+K58</f>
        <v>113536636.62</v>
      </c>
      <c r="L70" s="93">
        <f>L10+L16+L22+L28+L34+L40+L46+L64+L52+L58</f>
        <v>113536636.62</v>
      </c>
      <c r="M70" s="310"/>
      <c r="N70" s="304"/>
      <c r="O70" s="304"/>
      <c r="P70" s="304"/>
      <c r="Q70" s="304"/>
      <c r="R70" s="304"/>
      <c r="S70" s="304"/>
      <c r="T70" s="304"/>
      <c r="U70" s="334"/>
    </row>
    <row r="71" spans="1:21" ht="13.5" customHeight="1">
      <c r="A71" s="328"/>
      <c r="B71" s="331"/>
      <c r="C71" s="328"/>
      <c r="D71" s="92" t="s">
        <v>148</v>
      </c>
      <c r="E71" s="91">
        <f>F71+G71+H71+I71+J71+K71+L71</f>
        <v>2309154841</v>
      </c>
      <c r="F71" s="93">
        <f aca="true" t="shared" si="13" ref="F71:L73">F11+F17+F23+F29+F35+F41+F47+F65+F53+F59</f>
        <v>305582734</v>
      </c>
      <c r="G71" s="93">
        <f t="shared" si="13"/>
        <v>300433600</v>
      </c>
      <c r="H71" s="93">
        <f t="shared" si="13"/>
        <v>312150567</v>
      </c>
      <c r="I71" s="93">
        <f t="shared" si="13"/>
        <v>335213285</v>
      </c>
      <c r="J71" s="93">
        <f t="shared" si="13"/>
        <v>351924885</v>
      </c>
      <c r="K71" s="93">
        <f t="shared" si="13"/>
        <v>351924885</v>
      </c>
      <c r="L71" s="93">
        <f t="shared" si="13"/>
        <v>351924885</v>
      </c>
      <c r="M71" s="310"/>
      <c r="N71" s="304"/>
      <c r="O71" s="304"/>
      <c r="P71" s="304"/>
      <c r="Q71" s="304"/>
      <c r="R71" s="304"/>
      <c r="S71" s="304"/>
      <c r="T71" s="304"/>
      <c r="U71" s="334"/>
    </row>
    <row r="72" spans="1:21" ht="13.5" customHeight="1">
      <c r="A72" s="328"/>
      <c r="B72" s="331"/>
      <c r="C72" s="328"/>
      <c r="D72" s="92" t="s">
        <v>149</v>
      </c>
      <c r="E72" s="91">
        <f>F72+G72+H72+I72+J72+K72+L72</f>
        <v>0</v>
      </c>
      <c r="F72" s="93">
        <f t="shared" si="13"/>
        <v>0</v>
      </c>
      <c r="G72" s="93">
        <f t="shared" si="13"/>
        <v>0</v>
      </c>
      <c r="H72" s="93">
        <f t="shared" si="13"/>
        <v>0</v>
      </c>
      <c r="I72" s="93">
        <f t="shared" si="13"/>
        <v>0</v>
      </c>
      <c r="J72" s="93">
        <f t="shared" si="13"/>
        <v>0</v>
      </c>
      <c r="K72" s="93">
        <f t="shared" si="13"/>
        <v>0</v>
      </c>
      <c r="L72" s="93">
        <f t="shared" si="13"/>
        <v>0</v>
      </c>
      <c r="M72" s="310"/>
      <c r="N72" s="304"/>
      <c r="O72" s="304"/>
      <c r="P72" s="304"/>
      <c r="Q72" s="304"/>
      <c r="R72" s="304"/>
      <c r="S72" s="304"/>
      <c r="T72" s="304"/>
      <c r="U72" s="334"/>
    </row>
    <row r="73" spans="1:21" ht="13.5" customHeight="1">
      <c r="A73" s="329"/>
      <c r="B73" s="332"/>
      <c r="C73" s="329"/>
      <c r="D73" s="92" t="s">
        <v>151</v>
      </c>
      <c r="E73" s="91">
        <f>F73+G73+H73+I73+J73+K73+L73</f>
        <v>6038935</v>
      </c>
      <c r="F73" s="93">
        <f t="shared" si="13"/>
        <v>862705</v>
      </c>
      <c r="G73" s="93">
        <f t="shared" si="13"/>
        <v>862705</v>
      </c>
      <c r="H73" s="93">
        <f t="shared" si="13"/>
        <v>862705</v>
      </c>
      <c r="I73" s="93">
        <f t="shared" si="13"/>
        <v>862705</v>
      </c>
      <c r="J73" s="93">
        <f t="shared" si="13"/>
        <v>862705</v>
      </c>
      <c r="K73" s="93">
        <f t="shared" si="13"/>
        <v>862705</v>
      </c>
      <c r="L73" s="93">
        <f t="shared" si="13"/>
        <v>862705</v>
      </c>
      <c r="M73" s="311"/>
      <c r="N73" s="305"/>
      <c r="O73" s="305"/>
      <c r="P73" s="305"/>
      <c r="Q73" s="305"/>
      <c r="R73" s="305"/>
      <c r="S73" s="305"/>
      <c r="T73" s="305"/>
      <c r="U73" s="335"/>
    </row>
    <row r="74" spans="1:21" ht="12.75">
      <c r="A74" s="84">
        <v>2</v>
      </c>
      <c r="B74" s="288" t="s">
        <v>67</v>
      </c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90"/>
    </row>
    <row r="75" spans="1:21" ht="12.75" customHeight="1">
      <c r="A75" s="347" t="s">
        <v>208</v>
      </c>
      <c r="B75" s="341" t="s">
        <v>227</v>
      </c>
      <c r="C75" s="277" t="s">
        <v>132</v>
      </c>
      <c r="D75" s="85" t="s">
        <v>152</v>
      </c>
      <c r="E75" s="86">
        <f>E77+E78+E79+E80</f>
        <v>1322893683.3700001</v>
      </c>
      <c r="F75" s="86">
        <f aca="true" t="shared" si="14" ref="F75:L75">F77+F78+F79+F80</f>
        <v>168802759.17</v>
      </c>
      <c r="G75" s="86">
        <f t="shared" si="14"/>
        <v>176184037.33</v>
      </c>
      <c r="H75" s="86">
        <f t="shared" si="14"/>
        <v>189702692.83</v>
      </c>
      <c r="I75" s="86">
        <f t="shared" si="14"/>
        <v>197051048.51</v>
      </c>
      <c r="J75" s="86">
        <f t="shared" si="14"/>
        <v>197051048.51</v>
      </c>
      <c r="K75" s="86">
        <f t="shared" si="14"/>
        <v>197051048.51</v>
      </c>
      <c r="L75" s="86">
        <f t="shared" si="14"/>
        <v>197051048.51</v>
      </c>
      <c r="M75" s="266" t="s">
        <v>84</v>
      </c>
      <c r="N75" s="269">
        <v>100</v>
      </c>
      <c r="O75" s="269">
        <v>100</v>
      </c>
      <c r="P75" s="269">
        <v>100</v>
      </c>
      <c r="Q75" s="269">
        <v>100</v>
      </c>
      <c r="R75" s="269">
        <v>100</v>
      </c>
      <c r="S75" s="269">
        <v>100</v>
      </c>
      <c r="T75" s="269">
        <v>100</v>
      </c>
      <c r="U75" s="280" t="s">
        <v>85</v>
      </c>
    </row>
    <row r="76" spans="1:21" ht="12.75">
      <c r="A76" s="348"/>
      <c r="B76" s="342"/>
      <c r="C76" s="278"/>
      <c r="D76" s="283" t="s">
        <v>177</v>
      </c>
      <c r="E76" s="284"/>
      <c r="F76" s="284"/>
      <c r="G76" s="284"/>
      <c r="H76" s="284"/>
      <c r="I76" s="284"/>
      <c r="J76" s="284"/>
      <c r="K76" s="284"/>
      <c r="L76" s="285"/>
      <c r="M76" s="267"/>
      <c r="N76" s="270"/>
      <c r="O76" s="270"/>
      <c r="P76" s="270"/>
      <c r="Q76" s="270"/>
      <c r="R76" s="270"/>
      <c r="S76" s="270"/>
      <c r="T76" s="270"/>
      <c r="U76" s="281"/>
    </row>
    <row r="77" spans="1:21" ht="12.75">
      <c r="A77" s="348"/>
      <c r="B77" s="342"/>
      <c r="C77" s="278"/>
      <c r="D77" s="87" t="s">
        <v>150</v>
      </c>
      <c r="E77" s="88">
        <f>F77+G77+H77+I77+J77+K77+L77</f>
        <v>1318030623.3700001</v>
      </c>
      <c r="F77" s="89">
        <f>165597360+718349.17</f>
        <v>166315709.17</v>
      </c>
      <c r="G77" s="89">
        <f>183711081.66-9767918.23-135136.1</f>
        <v>173808027.33</v>
      </c>
      <c r="H77" s="89">
        <f>183895813.52+431803.31+7475076-H89</f>
        <v>189702692.83</v>
      </c>
      <c r="I77" s="89">
        <f>190950634.75-I89+450370.76+7750043</f>
        <v>197051048.51</v>
      </c>
      <c r="J77" s="89">
        <f>I77</f>
        <v>197051048.51</v>
      </c>
      <c r="K77" s="89">
        <f>J77</f>
        <v>197051048.51</v>
      </c>
      <c r="L77" s="89">
        <f>K77</f>
        <v>197051048.51</v>
      </c>
      <c r="M77" s="267"/>
      <c r="N77" s="270"/>
      <c r="O77" s="270"/>
      <c r="P77" s="270"/>
      <c r="Q77" s="270"/>
      <c r="R77" s="270"/>
      <c r="S77" s="270"/>
      <c r="T77" s="270"/>
      <c r="U77" s="281"/>
    </row>
    <row r="78" spans="1:21" ht="12.75">
      <c r="A78" s="348"/>
      <c r="B78" s="342"/>
      <c r="C78" s="278"/>
      <c r="D78" s="87" t="s">
        <v>148</v>
      </c>
      <c r="E78" s="88">
        <f>F78+G78+H78+I78+J78+K78+L78</f>
        <v>4863060</v>
      </c>
      <c r="F78" s="89">
        <v>2487050</v>
      </c>
      <c r="G78" s="89">
        <v>2376010</v>
      </c>
      <c r="H78" s="89"/>
      <c r="I78" s="89"/>
      <c r="J78" s="89"/>
      <c r="K78" s="89"/>
      <c r="L78" s="89"/>
      <c r="M78" s="267"/>
      <c r="N78" s="270"/>
      <c r="O78" s="270"/>
      <c r="P78" s="270"/>
      <c r="Q78" s="270"/>
      <c r="R78" s="270"/>
      <c r="S78" s="270"/>
      <c r="T78" s="270"/>
      <c r="U78" s="281"/>
    </row>
    <row r="79" spans="1:21" ht="12.75">
      <c r="A79" s="348"/>
      <c r="B79" s="342"/>
      <c r="C79" s="278"/>
      <c r="D79" s="87" t="s">
        <v>149</v>
      </c>
      <c r="E79" s="88">
        <f>F79+G79+H79+I79+J79+K79+L79</f>
        <v>0</v>
      </c>
      <c r="F79" s="89"/>
      <c r="G79" s="89"/>
      <c r="H79" s="89"/>
      <c r="I79" s="89"/>
      <c r="J79" s="89"/>
      <c r="K79" s="89"/>
      <c r="L79" s="89"/>
      <c r="M79" s="267"/>
      <c r="N79" s="270"/>
      <c r="O79" s="270"/>
      <c r="P79" s="270"/>
      <c r="Q79" s="270"/>
      <c r="R79" s="270"/>
      <c r="S79" s="270"/>
      <c r="T79" s="270"/>
      <c r="U79" s="281"/>
    </row>
    <row r="80" spans="1:21" ht="12.75">
      <c r="A80" s="349"/>
      <c r="B80" s="343"/>
      <c r="C80" s="279"/>
      <c r="D80" s="87" t="s">
        <v>151</v>
      </c>
      <c r="E80" s="88">
        <f>F80+G80+H80+I80+J80+K80+L80</f>
        <v>0</v>
      </c>
      <c r="F80" s="89"/>
      <c r="G80" s="89"/>
      <c r="H80" s="89"/>
      <c r="I80" s="89"/>
      <c r="J80" s="89"/>
      <c r="K80" s="89"/>
      <c r="L80" s="89"/>
      <c r="M80" s="268"/>
      <c r="N80" s="271"/>
      <c r="O80" s="271"/>
      <c r="P80" s="271"/>
      <c r="Q80" s="271"/>
      <c r="R80" s="271"/>
      <c r="S80" s="271"/>
      <c r="T80" s="271"/>
      <c r="U80" s="282"/>
    </row>
    <row r="81" spans="1:21" ht="12.75" customHeight="1">
      <c r="A81" s="347" t="s">
        <v>209</v>
      </c>
      <c r="B81" s="341" t="s">
        <v>228</v>
      </c>
      <c r="C81" s="277" t="s">
        <v>132</v>
      </c>
      <c r="D81" s="85" t="s">
        <v>152</v>
      </c>
      <c r="E81" s="86">
        <f>E83+E84+E85+E86</f>
        <v>100010636.49</v>
      </c>
      <c r="F81" s="86">
        <f aca="true" t="shared" si="15" ref="F81:L81">F83+F84+F85+F86</f>
        <v>12512827.97</v>
      </c>
      <c r="G81" s="86">
        <f t="shared" si="15"/>
        <v>12957729.3</v>
      </c>
      <c r="H81" s="86">
        <f t="shared" si="15"/>
        <v>14378778.14</v>
      </c>
      <c r="I81" s="86">
        <f t="shared" si="15"/>
        <v>15040325.27</v>
      </c>
      <c r="J81" s="86">
        <f t="shared" si="15"/>
        <v>15040325.27</v>
      </c>
      <c r="K81" s="86">
        <f t="shared" si="15"/>
        <v>15040325.27</v>
      </c>
      <c r="L81" s="86">
        <f t="shared" si="15"/>
        <v>15040325.27</v>
      </c>
      <c r="M81" s="266" t="s">
        <v>12</v>
      </c>
      <c r="N81" s="272">
        <v>1</v>
      </c>
      <c r="O81" s="272">
        <v>1</v>
      </c>
      <c r="P81" s="272">
        <v>1</v>
      </c>
      <c r="Q81" s="272">
        <v>1</v>
      </c>
      <c r="R81" s="272">
        <v>1</v>
      </c>
      <c r="S81" s="272">
        <v>1</v>
      </c>
      <c r="T81" s="272">
        <v>1</v>
      </c>
      <c r="U81" s="280" t="s">
        <v>85</v>
      </c>
    </row>
    <row r="82" spans="1:21" ht="12.75">
      <c r="A82" s="348"/>
      <c r="B82" s="342"/>
      <c r="C82" s="278"/>
      <c r="D82" s="283" t="s">
        <v>177</v>
      </c>
      <c r="E82" s="284"/>
      <c r="F82" s="284"/>
      <c r="G82" s="284"/>
      <c r="H82" s="284"/>
      <c r="I82" s="284"/>
      <c r="J82" s="284"/>
      <c r="K82" s="284"/>
      <c r="L82" s="285"/>
      <c r="M82" s="267"/>
      <c r="N82" s="273"/>
      <c r="O82" s="273"/>
      <c r="P82" s="273"/>
      <c r="Q82" s="273"/>
      <c r="R82" s="273"/>
      <c r="S82" s="273"/>
      <c r="T82" s="273"/>
      <c r="U82" s="281"/>
    </row>
    <row r="83" spans="1:21" ht="12.75">
      <c r="A83" s="348"/>
      <c r="B83" s="342"/>
      <c r="C83" s="278"/>
      <c r="D83" s="87" t="s">
        <v>150</v>
      </c>
      <c r="E83" s="88">
        <f>F83+G83+H83+I83+J83+K83+L83</f>
        <v>100010636.49</v>
      </c>
      <c r="F83" s="89">
        <v>12512827.97</v>
      </c>
      <c r="G83" s="89">
        <f>13685381-727651.7</f>
        <v>12957729.3</v>
      </c>
      <c r="H83" s="89">
        <f>14378126+652.14</f>
        <v>14378778.14</v>
      </c>
      <c r="I83" s="89">
        <f>15039943+382.27</f>
        <v>15040325.27</v>
      </c>
      <c r="J83" s="89">
        <f>I83</f>
        <v>15040325.27</v>
      </c>
      <c r="K83" s="89">
        <f>J83</f>
        <v>15040325.27</v>
      </c>
      <c r="L83" s="89">
        <f>K83</f>
        <v>15040325.27</v>
      </c>
      <c r="M83" s="267"/>
      <c r="N83" s="273"/>
      <c r="O83" s="273"/>
      <c r="P83" s="273"/>
      <c r="Q83" s="273"/>
      <c r="R83" s="273"/>
      <c r="S83" s="273"/>
      <c r="T83" s="273"/>
      <c r="U83" s="281"/>
    </row>
    <row r="84" spans="1:21" ht="12.75">
      <c r="A84" s="348"/>
      <c r="B84" s="342"/>
      <c r="C84" s="278"/>
      <c r="D84" s="87" t="s">
        <v>148</v>
      </c>
      <c r="E84" s="88">
        <f>F84+G84+H84+I84+J84+K84+L84</f>
        <v>0</v>
      </c>
      <c r="F84" s="89"/>
      <c r="G84" s="89"/>
      <c r="H84" s="89"/>
      <c r="I84" s="89"/>
      <c r="J84" s="89"/>
      <c r="K84" s="89"/>
      <c r="L84" s="89"/>
      <c r="M84" s="267"/>
      <c r="N84" s="273"/>
      <c r="O84" s="273"/>
      <c r="P84" s="273"/>
      <c r="Q84" s="273"/>
      <c r="R84" s="273"/>
      <c r="S84" s="273"/>
      <c r="T84" s="273"/>
      <c r="U84" s="281"/>
    </row>
    <row r="85" spans="1:21" ht="12.75">
      <c r="A85" s="348"/>
      <c r="B85" s="342"/>
      <c r="C85" s="278"/>
      <c r="D85" s="87" t="s">
        <v>149</v>
      </c>
      <c r="E85" s="88">
        <f>F85+G85+H85+I85+J85+K85+L85</f>
        <v>0</v>
      </c>
      <c r="F85" s="89"/>
      <c r="G85" s="89"/>
      <c r="H85" s="89"/>
      <c r="I85" s="89"/>
      <c r="J85" s="89"/>
      <c r="K85" s="89"/>
      <c r="L85" s="89"/>
      <c r="M85" s="267"/>
      <c r="N85" s="273"/>
      <c r="O85" s="273"/>
      <c r="P85" s="273"/>
      <c r="Q85" s="273"/>
      <c r="R85" s="273"/>
      <c r="S85" s="273"/>
      <c r="T85" s="273"/>
      <c r="U85" s="281"/>
    </row>
    <row r="86" spans="1:21" ht="12.75">
      <c r="A86" s="349"/>
      <c r="B86" s="343"/>
      <c r="C86" s="279"/>
      <c r="D86" s="87" t="s">
        <v>151</v>
      </c>
      <c r="E86" s="88">
        <f>F86+G86+H86+I86+J86+K86+L86</f>
        <v>0</v>
      </c>
      <c r="F86" s="89"/>
      <c r="G86" s="89"/>
      <c r="H86" s="89"/>
      <c r="I86" s="89"/>
      <c r="J86" s="89"/>
      <c r="K86" s="89"/>
      <c r="L86" s="89"/>
      <c r="M86" s="268"/>
      <c r="N86" s="276"/>
      <c r="O86" s="276"/>
      <c r="P86" s="276"/>
      <c r="Q86" s="276"/>
      <c r="R86" s="276"/>
      <c r="S86" s="276"/>
      <c r="T86" s="276"/>
      <c r="U86" s="282"/>
    </row>
    <row r="87" spans="1:21" ht="12.75" customHeight="1">
      <c r="A87" s="347" t="s">
        <v>210</v>
      </c>
      <c r="B87" s="341" t="s">
        <v>315</v>
      </c>
      <c r="C87" s="277" t="s">
        <v>132</v>
      </c>
      <c r="D87" s="85" t="s">
        <v>152</v>
      </c>
      <c r="E87" s="86">
        <f>E89+E90+E91+E92</f>
        <v>12494999.99</v>
      </c>
      <c r="F87" s="86">
        <f aca="true" t="shared" si="16" ref="F87:L87">F89+F90+F91+F92</f>
        <v>0</v>
      </c>
      <c r="G87" s="86">
        <f t="shared" si="16"/>
        <v>1994999.99</v>
      </c>
      <c r="H87" s="86">
        <f t="shared" si="16"/>
        <v>2100000</v>
      </c>
      <c r="I87" s="86">
        <f t="shared" si="16"/>
        <v>2100000</v>
      </c>
      <c r="J87" s="86">
        <f t="shared" si="16"/>
        <v>2100000</v>
      </c>
      <c r="K87" s="86">
        <f t="shared" si="16"/>
        <v>2100000</v>
      </c>
      <c r="L87" s="86">
        <f t="shared" si="16"/>
        <v>2100000</v>
      </c>
      <c r="M87" s="266" t="s">
        <v>338</v>
      </c>
      <c r="N87" s="272">
        <v>1</v>
      </c>
      <c r="O87" s="272">
        <v>1</v>
      </c>
      <c r="P87" s="272">
        <v>1</v>
      </c>
      <c r="Q87" s="272">
        <v>1</v>
      </c>
      <c r="R87" s="272">
        <v>1</v>
      </c>
      <c r="S87" s="272">
        <v>1</v>
      </c>
      <c r="T87" s="272">
        <v>1</v>
      </c>
      <c r="U87" s="280" t="s">
        <v>85</v>
      </c>
    </row>
    <row r="88" spans="1:21" ht="12.75">
      <c r="A88" s="348"/>
      <c r="B88" s="342"/>
      <c r="C88" s="278"/>
      <c r="D88" s="283" t="s">
        <v>177</v>
      </c>
      <c r="E88" s="284"/>
      <c r="F88" s="284"/>
      <c r="G88" s="284"/>
      <c r="H88" s="284"/>
      <c r="I88" s="284"/>
      <c r="J88" s="284"/>
      <c r="K88" s="284"/>
      <c r="L88" s="285"/>
      <c r="M88" s="267"/>
      <c r="N88" s="273"/>
      <c r="O88" s="273"/>
      <c r="P88" s="273"/>
      <c r="Q88" s="273"/>
      <c r="R88" s="273"/>
      <c r="S88" s="273"/>
      <c r="T88" s="273"/>
      <c r="U88" s="281"/>
    </row>
    <row r="89" spans="1:21" ht="12.75">
      <c r="A89" s="348"/>
      <c r="B89" s="342"/>
      <c r="C89" s="278"/>
      <c r="D89" s="87" t="s">
        <v>150</v>
      </c>
      <c r="E89" s="88">
        <f>F89+G89+H89+I89+J89+K89+L89</f>
        <v>12494999.99</v>
      </c>
      <c r="F89" s="89">
        <v>0</v>
      </c>
      <c r="G89" s="89">
        <f>2100000-105000.01</f>
        <v>1994999.99</v>
      </c>
      <c r="H89" s="89">
        <f>2100000</f>
        <v>2100000</v>
      </c>
      <c r="I89" s="89">
        <v>2100000</v>
      </c>
      <c r="J89" s="89">
        <v>2100000</v>
      </c>
      <c r="K89" s="89">
        <v>2100000</v>
      </c>
      <c r="L89" s="89">
        <v>2100000</v>
      </c>
      <c r="M89" s="267"/>
      <c r="N89" s="273"/>
      <c r="O89" s="273"/>
      <c r="P89" s="273"/>
      <c r="Q89" s="273"/>
      <c r="R89" s="273"/>
      <c r="S89" s="273"/>
      <c r="T89" s="273"/>
      <c r="U89" s="281"/>
    </row>
    <row r="90" spans="1:21" ht="12.75">
      <c r="A90" s="348"/>
      <c r="B90" s="342"/>
      <c r="C90" s="278"/>
      <c r="D90" s="87" t="s">
        <v>148</v>
      </c>
      <c r="E90" s="88">
        <f>F90+G90+H90+I90+J90+K90+L90</f>
        <v>0</v>
      </c>
      <c r="F90" s="89"/>
      <c r="G90" s="89"/>
      <c r="H90" s="89"/>
      <c r="I90" s="89"/>
      <c r="J90" s="89"/>
      <c r="K90" s="89"/>
      <c r="L90" s="89"/>
      <c r="M90" s="267"/>
      <c r="N90" s="273"/>
      <c r="O90" s="273"/>
      <c r="P90" s="273"/>
      <c r="Q90" s="273"/>
      <c r="R90" s="273"/>
      <c r="S90" s="273"/>
      <c r="T90" s="273"/>
      <c r="U90" s="281"/>
    </row>
    <row r="91" spans="1:21" ht="12.75">
      <c r="A91" s="348"/>
      <c r="B91" s="342"/>
      <c r="C91" s="278"/>
      <c r="D91" s="87" t="s">
        <v>149</v>
      </c>
      <c r="E91" s="88">
        <f>F91+G91+H91+I91+J91+K91+L91</f>
        <v>0</v>
      </c>
      <c r="F91" s="89"/>
      <c r="G91" s="89"/>
      <c r="H91" s="89"/>
      <c r="I91" s="89"/>
      <c r="J91" s="89"/>
      <c r="K91" s="89"/>
      <c r="L91" s="89"/>
      <c r="M91" s="267"/>
      <c r="N91" s="273"/>
      <c r="O91" s="273"/>
      <c r="P91" s="273"/>
      <c r="Q91" s="273"/>
      <c r="R91" s="273"/>
      <c r="S91" s="273"/>
      <c r="T91" s="273"/>
      <c r="U91" s="281"/>
    </row>
    <row r="92" spans="1:21" ht="12.75">
      <c r="A92" s="349"/>
      <c r="B92" s="343"/>
      <c r="C92" s="279"/>
      <c r="D92" s="87" t="s">
        <v>151</v>
      </c>
      <c r="E92" s="88">
        <f>F92+G92+H92+I92+J92+K92+L92</f>
        <v>0</v>
      </c>
      <c r="F92" s="89"/>
      <c r="G92" s="89"/>
      <c r="H92" s="89"/>
      <c r="I92" s="89"/>
      <c r="J92" s="89"/>
      <c r="K92" s="89"/>
      <c r="L92" s="89"/>
      <c r="M92" s="268"/>
      <c r="N92" s="276"/>
      <c r="O92" s="276"/>
      <c r="P92" s="276"/>
      <c r="Q92" s="276"/>
      <c r="R92" s="276"/>
      <c r="S92" s="276"/>
      <c r="T92" s="276"/>
      <c r="U92" s="282"/>
    </row>
    <row r="93" spans="1:21" ht="12.75" customHeight="1">
      <c r="A93" s="347" t="s">
        <v>232</v>
      </c>
      <c r="B93" s="341" t="s">
        <v>229</v>
      </c>
      <c r="C93" s="277" t="s">
        <v>132</v>
      </c>
      <c r="D93" s="85" t="s">
        <v>152</v>
      </c>
      <c r="E93" s="86">
        <f>E95+E96+E97+E98</f>
        <v>214130833.05</v>
      </c>
      <c r="F93" s="86">
        <f aca="true" t="shared" si="17" ref="F93:L93">F95+F96+F97+F98</f>
        <v>24365995</v>
      </c>
      <c r="G93" s="86">
        <f t="shared" si="17"/>
        <v>17378363.05</v>
      </c>
      <c r="H93" s="86">
        <f t="shared" si="17"/>
        <v>34477295</v>
      </c>
      <c r="I93" s="86">
        <f t="shared" si="17"/>
        <v>34477295</v>
      </c>
      <c r="J93" s="86">
        <f t="shared" si="17"/>
        <v>34477295</v>
      </c>
      <c r="K93" s="86">
        <f t="shared" si="17"/>
        <v>34477295</v>
      </c>
      <c r="L93" s="86">
        <f t="shared" si="17"/>
        <v>34477295</v>
      </c>
      <c r="M93" s="350" t="s">
        <v>87</v>
      </c>
      <c r="N93" s="272">
        <v>1</v>
      </c>
      <c r="O93" s="272">
        <v>1</v>
      </c>
      <c r="P93" s="272">
        <v>1</v>
      </c>
      <c r="Q93" s="272">
        <v>1</v>
      </c>
      <c r="R93" s="272">
        <v>1</v>
      </c>
      <c r="S93" s="272">
        <v>1</v>
      </c>
      <c r="T93" s="272">
        <v>1</v>
      </c>
      <c r="U93" s="280" t="s">
        <v>85</v>
      </c>
    </row>
    <row r="94" spans="1:21" ht="12.75">
      <c r="A94" s="348"/>
      <c r="B94" s="342"/>
      <c r="C94" s="278"/>
      <c r="D94" s="283" t="s">
        <v>177</v>
      </c>
      <c r="E94" s="284"/>
      <c r="F94" s="284"/>
      <c r="G94" s="284"/>
      <c r="H94" s="284"/>
      <c r="I94" s="284"/>
      <c r="J94" s="284"/>
      <c r="K94" s="284"/>
      <c r="L94" s="285"/>
      <c r="M94" s="351"/>
      <c r="N94" s="273"/>
      <c r="O94" s="273"/>
      <c r="P94" s="273"/>
      <c r="Q94" s="273"/>
      <c r="R94" s="273"/>
      <c r="S94" s="273"/>
      <c r="T94" s="273"/>
      <c r="U94" s="281"/>
    </row>
    <row r="95" spans="1:21" ht="12.75">
      <c r="A95" s="348"/>
      <c r="B95" s="342"/>
      <c r="C95" s="278"/>
      <c r="D95" s="87" t="s">
        <v>150</v>
      </c>
      <c r="E95" s="88">
        <f>F95+G95+H95+I95+J95+K95+L95</f>
        <v>0</v>
      </c>
      <c r="F95" s="89"/>
      <c r="G95" s="89"/>
      <c r="H95" s="89"/>
      <c r="I95" s="89"/>
      <c r="J95" s="89"/>
      <c r="K95" s="89"/>
      <c r="L95" s="89"/>
      <c r="M95" s="351"/>
      <c r="N95" s="273"/>
      <c r="O95" s="273"/>
      <c r="P95" s="273"/>
      <c r="Q95" s="273"/>
      <c r="R95" s="273"/>
      <c r="S95" s="273"/>
      <c r="T95" s="273"/>
      <c r="U95" s="281"/>
    </row>
    <row r="96" spans="1:21" ht="12.75">
      <c r="A96" s="348"/>
      <c r="B96" s="342"/>
      <c r="C96" s="278"/>
      <c r="D96" s="87" t="s">
        <v>148</v>
      </c>
      <c r="E96" s="88">
        <f>F96+G96+H96+I96+J96+K96+L96</f>
        <v>0</v>
      </c>
      <c r="F96" s="89"/>
      <c r="G96" s="89"/>
      <c r="H96" s="89"/>
      <c r="I96" s="89"/>
      <c r="J96" s="89"/>
      <c r="K96" s="89"/>
      <c r="L96" s="89"/>
      <c r="M96" s="351"/>
      <c r="N96" s="273"/>
      <c r="O96" s="273"/>
      <c r="P96" s="273"/>
      <c r="Q96" s="273"/>
      <c r="R96" s="273"/>
      <c r="S96" s="273"/>
      <c r="T96" s="273"/>
      <c r="U96" s="281"/>
    </row>
    <row r="97" spans="1:21" ht="12.75">
      <c r="A97" s="348"/>
      <c r="B97" s="342"/>
      <c r="C97" s="278"/>
      <c r="D97" s="87" t="s">
        <v>149</v>
      </c>
      <c r="E97" s="88">
        <f>F97+G97+H97+I97+J97+K97+L97</f>
        <v>0</v>
      </c>
      <c r="F97" s="89"/>
      <c r="G97" s="89"/>
      <c r="H97" s="89"/>
      <c r="I97" s="89"/>
      <c r="J97" s="89"/>
      <c r="K97" s="89"/>
      <c r="L97" s="89"/>
      <c r="M97" s="351"/>
      <c r="N97" s="273"/>
      <c r="O97" s="273"/>
      <c r="P97" s="273"/>
      <c r="Q97" s="273"/>
      <c r="R97" s="273"/>
      <c r="S97" s="273"/>
      <c r="T97" s="273"/>
      <c r="U97" s="281"/>
    </row>
    <row r="98" spans="1:21" ht="12.75">
      <c r="A98" s="349"/>
      <c r="B98" s="343"/>
      <c r="C98" s="279"/>
      <c r="D98" s="87" t="s">
        <v>151</v>
      </c>
      <c r="E98" s="88">
        <f>F98+G98+H98+I98+J98+K98+L98</f>
        <v>214130833.05</v>
      </c>
      <c r="F98" s="89">
        <v>24365995</v>
      </c>
      <c r="G98" s="89">
        <f>34146665-17768301.95+1000000</f>
        <v>17378363.05</v>
      </c>
      <c r="H98" s="89">
        <v>34477295</v>
      </c>
      <c r="I98" s="89">
        <v>34477295</v>
      </c>
      <c r="J98" s="89">
        <v>34477295</v>
      </c>
      <c r="K98" s="89">
        <v>34477295</v>
      </c>
      <c r="L98" s="89">
        <v>34477295</v>
      </c>
      <c r="M98" s="352"/>
      <c r="N98" s="276"/>
      <c r="O98" s="276"/>
      <c r="P98" s="276"/>
      <c r="Q98" s="276"/>
      <c r="R98" s="276"/>
      <c r="S98" s="276"/>
      <c r="T98" s="276"/>
      <c r="U98" s="282"/>
    </row>
    <row r="99" spans="1:21" ht="12.75" customHeight="1">
      <c r="A99" s="347" t="s">
        <v>233</v>
      </c>
      <c r="B99" s="341" t="s">
        <v>0</v>
      </c>
      <c r="C99" s="277" t="s">
        <v>132</v>
      </c>
      <c r="D99" s="85" t="s">
        <v>152</v>
      </c>
      <c r="E99" s="86">
        <f>E101+E102+E103+E104</f>
        <v>7451599</v>
      </c>
      <c r="F99" s="86">
        <f aca="true" t="shared" si="18" ref="F99:L99">F101+F102+F103+F104</f>
        <v>7451599</v>
      </c>
      <c r="G99" s="86">
        <f t="shared" si="18"/>
        <v>0</v>
      </c>
      <c r="H99" s="86">
        <f t="shared" si="18"/>
        <v>0</v>
      </c>
      <c r="I99" s="86">
        <f t="shared" si="18"/>
        <v>0</v>
      </c>
      <c r="J99" s="86">
        <f t="shared" si="18"/>
        <v>0</v>
      </c>
      <c r="K99" s="86">
        <f t="shared" si="18"/>
        <v>0</v>
      </c>
      <c r="L99" s="86">
        <f t="shared" si="18"/>
        <v>0</v>
      </c>
      <c r="M99" s="266" t="s">
        <v>84</v>
      </c>
      <c r="N99" s="269">
        <v>100</v>
      </c>
      <c r="O99" s="269">
        <v>100</v>
      </c>
      <c r="P99" s="269">
        <v>100</v>
      </c>
      <c r="Q99" s="269">
        <v>100</v>
      </c>
      <c r="R99" s="269">
        <v>100</v>
      </c>
      <c r="S99" s="269">
        <v>100</v>
      </c>
      <c r="T99" s="269">
        <v>100</v>
      </c>
      <c r="U99" s="324" t="s">
        <v>86</v>
      </c>
    </row>
    <row r="100" spans="1:21" ht="12.75">
      <c r="A100" s="348"/>
      <c r="B100" s="342"/>
      <c r="C100" s="278"/>
      <c r="D100" s="283" t="s">
        <v>177</v>
      </c>
      <c r="E100" s="284"/>
      <c r="F100" s="284"/>
      <c r="G100" s="284"/>
      <c r="H100" s="284"/>
      <c r="I100" s="284"/>
      <c r="J100" s="284"/>
      <c r="K100" s="284"/>
      <c r="L100" s="285"/>
      <c r="M100" s="267"/>
      <c r="N100" s="270"/>
      <c r="O100" s="270"/>
      <c r="P100" s="270"/>
      <c r="Q100" s="270"/>
      <c r="R100" s="270"/>
      <c r="S100" s="270"/>
      <c r="T100" s="270"/>
      <c r="U100" s="325"/>
    </row>
    <row r="101" spans="1:21" ht="12.75">
      <c r="A101" s="348"/>
      <c r="B101" s="342"/>
      <c r="C101" s="278"/>
      <c r="D101" s="87" t="s">
        <v>150</v>
      </c>
      <c r="E101" s="88">
        <f>F101+G101+H101+I101+J101+K101+L101</f>
        <v>7451599</v>
      </c>
      <c r="F101" s="89">
        <v>7451599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267"/>
      <c r="N101" s="270"/>
      <c r="O101" s="270"/>
      <c r="P101" s="270"/>
      <c r="Q101" s="270"/>
      <c r="R101" s="270"/>
      <c r="S101" s="270"/>
      <c r="T101" s="270"/>
      <c r="U101" s="325"/>
    </row>
    <row r="102" spans="1:21" ht="12.75">
      <c r="A102" s="348"/>
      <c r="B102" s="342"/>
      <c r="C102" s="278"/>
      <c r="D102" s="87" t="s">
        <v>148</v>
      </c>
      <c r="E102" s="88">
        <f>F102+G102+H102+I102+J102+K102+L102</f>
        <v>0</v>
      </c>
      <c r="F102" s="89"/>
      <c r="G102" s="89"/>
      <c r="H102" s="89"/>
      <c r="I102" s="89"/>
      <c r="J102" s="89"/>
      <c r="K102" s="89"/>
      <c r="L102" s="89"/>
      <c r="M102" s="267"/>
      <c r="N102" s="270"/>
      <c r="O102" s="270"/>
      <c r="P102" s="270"/>
      <c r="Q102" s="270"/>
      <c r="R102" s="270"/>
      <c r="S102" s="270"/>
      <c r="T102" s="270"/>
      <c r="U102" s="325"/>
    </row>
    <row r="103" spans="1:21" ht="12.75">
      <c r="A103" s="348"/>
      <c r="B103" s="342"/>
      <c r="C103" s="278"/>
      <c r="D103" s="87" t="s">
        <v>149</v>
      </c>
      <c r="E103" s="88">
        <f>F103+G103+H103+I103+J103+K103+L103</f>
        <v>0</v>
      </c>
      <c r="F103" s="89"/>
      <c r="G103" s="89"/>
      <c r="H103" s="89"/>
      <c r="I103" s="89"/>
      <c r="J103" s="89"/>
      <c r="K103" s="89"/>
      <c r="L103" s="89"/>
      <c r="M103" s="267"/>
      <c r="N103" s="270"/>
      <c r="O103" s="270"/>
      <c r="P103" s="270"/>
      <c r="Q103" s="270"/>
      <c r="R103" s="270"/>
      <c r="S103" s="270"/>
      <c r="T103" s="270"/>
      <c r="U103" s="325"/>
    </row>
    <row r="104" spans="1:21" ht="12.75">
      <c r="A104" s="349"/>
      <c r="B104" s="343"/>
      <c r="C104" s="279"/>
      <c r="D104" s="87" t="s">
        <v>151</v>
      </c>
      <c r="E104" s="88">
        <f>F104+G104+H104+I104+J104+K104+L104</f>
        <v>0</v>
      </c>
      <c r="F104" s="89"/>
      <c r="G104" s="89"/>
      <c r="H104" s="89"/>
      <c r="I104" s="89"/>
      <c r="J104" s="89"/>
      <c r="K104" s="89"/>
      <c r="L104" s="89"/>
      <c r="M104" s="268"/>
      <c r="N104" s="271"/>
      <c r="O104" s="271"/>
      <c r="P104" s="271"/>
      <c r="Q104" s="271"/>
      <c r="R104" s="271"/>
      <c r="S104" s="271"/>
      <c r="T104" s="271"/>
      <c r="U104" s="326"/>
    </row>
    <row r="105" spans="1:21" ht="12.75" customHeight="1">
      <c r="A105" s="347" t="s">
        <v>234</v>
      </c>
      <c r="B105" s="341" t="s">
        <v>230</v>
      </c>
      <c r="C105" s="277" t="s">
        <v>132</v>
      </c>
      <c r="D105" s="85" t="s">
        <v>152</v>
      </c>
      <c r="E105" s="86">
        <f>E107+E108+E109+E110</f>
        <v>575647</v>
      </c>
      <c r="F105" s="86">
        <f aca="true" t="shared" si="19" ref="F105:L105">F107+F108+F109+F110</f>
        <v>575647</v>
      </c>
      <c r="G105" s="86">
        <f t="shared" si="19"/>
        <v>0</v>
      </c>
      <c r="H105" s="86">
        <f t="shared" si="19"/>
        <v>0</v>
      </c>
      <c r="I105" s="86">
        <f t="shared" si="19"/>
        <v>0</v>
      </c>
      <c r="J105" s="86">
        <f t="shared" si="19"/>
        <v>0</v>
      </c>
      <c r="K105" s="86">
        <f t="shared" si="19"/>
        <v>0</v>
      </c>
      <c r="L105" s="86">
        <f t="shared" si="19"/>
        <v>0</v>
      </c>
      <c r="M105" s="266" t="s">
        <v>12</v>
      </c>
      <c r="N105" s="272">
        <v>1</v>
      </c>
      <c r="O105" s="272">
        <v>1</v>
      </c>
      <c r="P105" s="272">
        <v>1</v>
      </c>
      <c r="Q105" s="272">
        <v>1</v>
      </c>
      <c r="R105" s="272">
        <v>1</v>
      </c>
      <c r="S105" s="272">
        <v>1</v>
      </c>
      <c r="T105" s="272">
        <v>1</v>
      </c>
      <c r="U105" s="324" t="s">
        <v>86</v>
      </c>
    </row>
    <row r="106" spans="1:21" ht="12.75">
      <c r="A106" s="348"/>
      <c r="B106" s="342"/>
      <c r="C106" s="278"/>
      <c r="D106" s="283" t="s">
        <v>177</v>
      </c>
      <c r="E106" s="284"/>
      <c r="F106" s="284"/>
      <c r="G106" s="284"/>
      <c r="H106" s="284"/>
      <c r="I106" s="284"/>
      <c r="J106" s="284"/>
      <c r="K106" s="284"/>
      <c r="L106" s="285"/>
      <c r="M106" s="267"/>
      <c r="N106" s="273"/>
      <c r="O106" s="273"/>
      <c r="P106" s="273"/>
      <c r="Q106" s="273"/>
      <c r="R106" s="273"/>
      <c r="S106" s="273"/>
      <c r="T106" s="273"/>
      <c r="U106" s="325"/>
    </row>
    <row r="107" spans="1:21" ht="12.75">
      <c r="A107" s="348"/>
      <c r="B107" s="342"/>
      <c r="C107" s="278"/>
      <c r="D107" s="87" t="s">
        <v>150</v>
      </c>
      <c r="E107" s="88">
        <f>F107+G107+H107+I107+J107+K107+L107</f>
        <v>575647</v>
      </c>
      <c r="F107" s="89">
        <v>575647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267"/>
      <c r="N107" s="273"/>
      <c r="O107" s="273"/>
      <c r="P107" s="273"/>
      <c r="Q107" s="273"/>
      <c r="R107" s="273"/>
      <c r="S107" s="273"/>
      <c r="T107" s="273"/>
      <c r="U107" s="325"/>
    </row>
    <row r="108" spans="1:21" ht="12.75">
      <c r="A108" s="348"/>
      <c r="B108" s="342"/>
      <c r="C108" s="278"/>
      <c r="D108" s="87" t="s">
        <v>148</v>
      </c>
      <c r="E108" s="88">
        <f>F108+G108+H108+I108+J108+K108+L108</f>
        <v>0</v>
      </c>
      <c r="F108" s="89"/>
      <c r="G108" s="89"/>
      <c r="H108" s="89"/>
      <c r="I108" s="89"/>
      <c r="J108" s="89"/>
      <c r="K108" s="89"/>
      <c r="L108" s="89"/>
      <c r="M108" s="267"/>
      <c r="N108" s="273"/>
      <c r="O108" s="273"/>
      <c r="P108" s="273"/>
      <c r="Q108" s="273"/>
      <c r="R108" s="273"/>
      <c r="S108" s="273"/>
      <c r="T108" s="273"/>
      <c r="U108" s="325"/>
    </row>
    <row r="109" spans="1:21" ht="12.75">
      <c r="A109" s="348"/>
      <c r="B109" s="342"/>
      <c r="C109" s="278"/>
      <c r="D109" s="87" t="s">
        <v>149</v>
      </c>
      <c r="E109" s="88">
        <f>F109+G109+H109+I109+J109+K109+L109</f>
        <v>0</v>
      </c>
      <c r="F109" s="89"/>
      <c r="G109" s="89"/>
      <c r="H109" s="89"/>
      <c r="I109" s="89"/>
      <c r="J109" s="89"/>
      <c r="K109" s="89"/>
      <c r="L109" s="89"/>
      <c r="M109" s="267"/>
      <c r="N109" s="273"/>
      <c r="O109" s="273"/>
      <c r="P109" s="273"/>
      <c r="Q109" s="273"/>
      <c r="R109" s="273"/>
      <c r="S109" s="273"/>
      <c r="T109" s="273"/>
      <c r="U109" s="325"/>
    </row>
    <row r="110" spans="1:21" ht="12.75">
      <c r="A110" s="349"/>
      <c r="B110" s="343"/>
      <c r="C110" s="279"/>
      <c r="D110" s="87" t="s">
        <v>151</v>
      </c>
      <c r="E110" s="88">
        <f>F110+G110+H110+I110+J110+K110+L110</f>
        <v>0</v>
      </c>
      <c r="F110" s="89"/>
      <c r="G110" s="89"/>
      <c r="H110" s="89"/>
      <c r="I110" s="89"/>
      <c r="J110" s="89"/>
      <c r="K110" s="89"/>
      <c r="L110" s="89"/>
      <c r="M110" s="268"/>
      <c r="N110" s="276"/>
      <c r="O110" s="276"/>
      <c r="P110" s="276"/>
      <c r="Q110" s="276"/>
      <c r="R110" s="276"/>
      <c r="S110" s="276"/>
      <c r="T110" s="276"/>
      <c r="U110" s="326"/>
    </row>
    <row r="111" spans="1:21" ht="12.75" customHeight="1">
      <c r="A111" s="347" t="s">
        <v>1</v>
      </c>
      <c r="B111" s="341" t="s">
        <v>231</v>
      </c>
      <c r="C111" s="277" t="s">
        <v>132</v>
      </c>
      <c r="D111" s="85" t="s">
        <v>152</v>
      </c>
      <c r="E111" s="86">
        <f>E113+E114+E115+E116</f>
        <v>8750000</v>
      </c>
      <c r="F111" s="86">
        <f aca="true" t="shared" si="20" ref="F111:L111">F113+F114+F115+F116</f>
        <v>8750000</v>
      </c>
      <c r="G111" s="86">
        <f t="shared" si="20"/>
        <v>0</v>
      </c>
      <c r="H111" s="86">
        <f t="shared" si="20"/>
        <v>0</v>
      </c>
      <c r="I111" s="86">
        <f t="shared" si="20"/>
        <v>0</v>
      </c>
      <c r="J111" s="86">
        <f t="shared" si="20"/>
        <v>0</v>
      </c>
      <c r="K111" s="86">
        <f t="shared" si="20"/>
        <v>0</v>
      </c>
      <c r="L111" s="86">
        <f t="shared" si="20"/>
        <v>0</v>
      </c>
      <c r="M111" s="350" t="s">
        <v>87</v>
      </c>
      <c r="N111" s="272">
        <v>1</v>
      </c>
      <c r="O111" s="272">
        <v>1</v>
      </c>
      <c r="P111" s="272">
        <v>1</v>
      </c>
      <c r="Q111" s="272">
        <v>1</v>
      </c>
      <c r="R111" s="272">
        <v>1</v>
      </c>
      <c r="S111" s="272">
        <v>1</v>
      </c>
      <c r="T111" s="272">
        <v>1</v>
      </c>
      <c r="U111" s="324" t="s">
        <v>86</v>
      </c>
    </row>
    <row r="112" spans="1:21" ht="12.75">
      <c r="A112" s="348"/>
      <c r="B112" s="342"/>
      <c r="C112" s="278"/>
      <c r="D112" s="283" t="s">
        <v>177</v>
      </c>
      <c r="E112" s="284"/>
      <c r="F112" s="284"/>
      <c r="G112" s="284"/>
      <c r="H112" s="284"/>
      <c r="I112" s="284"/>
      <c r="J112" s="284"/>
      <c r="K112" s="284"/>
      <c r="L112" s="285"/>
      <c r="M112" s="351"/>
      <c r="N112" s="273"/>
      <c r="O112" s="273"/>
      <c r="P112" s="273"/>
      <c r="Q112" s="273"/>
      <c r="R112" s="273"/>
      <c r="S112" s="273"/>
      <c r="T112" s="273"/>
      <c r="U112" s="325"/>
    </row>
    <row r="113" spans="1:21" ht="12.75">
      <c r="A113" s="348"/>
      <c r="B113" s="342"/>
      <c r="C113" s="278"/>
      <c r="D113" s="87" t="s">
        <v>150</v>
      </c>
      <c r="E113" s="88">
        <f>F113+G113+H113+I113+J113+K113+L113</f>
        <v>0</v>
      </c>
      <c r="F113" s="89"/>
      <c r="G113" s="89"/>
      <c r="H113" s="89"/>
      <c r="I113" s="89"/>
      <c r="J113" s="89"/>
      <c r="K113" s="89"/>
      <c r="L113" s="89"/>
      <c r="M113" s="351"/>
      <c r="N113" s="273"/>
      <c r="O113" s="273"/>
      <c r="P113" s="273"/>
      <c r="Q113" s="273"/>
      <c r="R113" s="273"/>
      <c r="S113" s="273"/>
      <c r="T113" s="273"/>
      <c r="U113" s="325"/>
    </row>
    <row r="114" spans="1:21" ht="12.75">
      <c r="A114" s="348"/>
      <c r="B114" s="342"/>
      <c r="C114" s="278"/>
      <c r="D114" s="87" t="s">
        <v>148</v>
      </c>
      <c r="E114" s="88">
        <f>F114+G114+H114+I114+J114+K114+L114</f>
        <v>0</v>
      </c>
      <c r="F114" s="89"/>
      <c r="G114" s="89"/>
      <c r="H114" s="89"/>
      <c r="I114" s="89"/>
      <c r="J114" s="89"/>
      <c r="K114" s="89"/>
      <c r="L114" s="89"/>
      <c r="M114" s="351"/>
      <c r="N114" s="273"/>
      <c r="O114" s="273"/>
      <c r="P114" s="273"/>
      <c r="Q114" s="273"/>
      <c r="R114" s="273"/>
      <c r="S114" s="273"/>
      <c r="T114" s="273"/>
      <c r="U114" s="325"/>
    </row>
    <row r="115" spans="1:21" ht="12.75">
      <c r="A115" s="348"/>
      <c r="B115" s="342"/>
      <c r="C115" s="278"/>
      <c r="D115" s="87" t="s">
        <v>149</v>
      </c>
      <c r="E115" s="88">
        <f>F115+G115+H115+I115+J115+K115+L115</f>
        <v>0</v>
      </c>
      <c r="F115" s="89"/>
      <c r="G115" s="89"/>
      <c r="H115" s="89"/>
      <c r="I115" s="89"/>
      <c r="J115" s="89"/>
      <c r="K115" s="89"/>
      <c r="L115" s="89"/>
      <c r="M115" s="351"/>
      <c r="N115" s="273"/>
      <c r="O115" s="273"/>
      <c r="P115" s="273"/>
      <c r="Q115" s="273"/>
      <c r="R115" s="273"/>
      <c r="S115" s="273"/>
      <c r="T115" s="273"/>
      <c r="U115" s="325"/>
    </row>
    <row r="116" spans="1:21" ht="12.75">
      <c r="A116" s="349"/>
      <c r="B116" s="343"/>
      <c r="C116" s="279"/>
      <c r="D116" s="87" t="s">
        <v>151</v>
      </c>
      <c r="E116" s="88">
        <f>F116+G116+H116+I116+J116+K116+L116</f>
        <v>8750000</v>
      </c>
      <c r="F116" s="89">
        <v>8750000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352"/>
      <c r="N116" s="276"/>
      <c r="O116" s="276"/>
      <c r="P116" s="276"/>
      <c r="Q116" s="276"/>
      <c r="R116" s="276"/>
      <c r="S116" s="276"/>
      <c r="T116" s="276"/>
      <c r="U116" s="326"/>
    </row>
    <row r="117" spans="1:21" ht="13.5" customHeight="1">
      <c r="A117" s="327"/>
      <c r="B117" s="330" t="s">
        <v>235</v>
      </c>
      <c r="C117" s="327"/>
      <c r="D117" s="90" t="s">
        <v>152</v>
      </c>
      <c r="E117" s="91">
        <f aca="true" t="shared" si="21" ref="E117:L117">E119+E120+E121+E122</f>
        <v>1666307398.8999999</v>
      </c>
      <c r="F117" s="91">
        <f t="shared" si="21"/>
        <v>222458828.14</v>
      </c>
      <c r="G117" s="91">
        <f t="shared" si="21"/>
        <v>208515129.67000005</v>
      </c>
      <c r="H117" s="91">
        <f t="shared" si="21"/>
        <v>240658765.97000003</v>
      </c>
      <c r="I117" s="91">
        <f t="shared" si="21"/>
        <v>248668668.78</v>
      </c>
      <c r="J117" s="91">
        <f t="shared" si="21"/>
        <v>248668668.78</v>
      </c>
      <c r="K117" s="91">
        <f t="shared" si="21"/>
        <v>248668668.78</v>
      </c>
      <c r="L117" s="91">
        <f t="shared" si="21"/>
        <v>248668668.78</v>
      </c>
      <c r="M117" s="309"/>
      <c r="N117" s="303"/>
      <c r="O117" s="303"/>
      <c r="P117" s="303"/>
      <c r="Q117" s="303"/>
      <c r="R117" s="303"/>
      <c r="S117" s="303"/>
      <c r="T117" s="303"/>
      <c r="U117" s="306"/>
    </row>
    <row r="118" spans="1:21" ht="12.75" customHeight="1">
      <c r="A118" s="328"/>
      <c r="B118" s="331"/>
      <c r="C118" s="328"/>
      <c r="D118" s="312" t="s">
        <v>177</v>
      </c>
      <c r="E118" s="313"/>
      <c r="F118" s="313"/>
      <c r="G118" s="313"/>
      <c r="H118" s="313"/>
      <c r="I118" s="313"/>
      <c r="J118" s="313"/>
      <c r="K118" s="313"/>
      <c r="L118" s="314"/>
      <c r="M118" s="310"/>
      <c r="N118" s="304"/>
      <c r="O118" s="304"/>
      <c r="P118" s="304"/>
      <c r="Q118" s="304"/>
      <c r="R118" s="304"/>
      <c r="S118" s="304"/>
      <c r="T118" s="304"/>
      <c r="U118" s="307"/>
    </row>
    <row r="119" spans="1:21" ht="13.5" customHeight="1">
      <c r="A119" s="328"/>
      <c r="B119" s="331"/>
      <c r="C119" s="328"/>
      <c r="D119" s="92" t="s">
        <v>150</v>
      </c>
      <c r="E119" s="91">
        <f>F119+G119+H119+I119+J119+K119+L119</f>
        <v>1438563505.85</v>
      </c>
      <c r="F119" s="93">
        <f aca="true" t="shared" si="22" ref="F119:L122">F77+F83+F95+F101+F107+F113+F89</f>
        <v>186855783.14</v>
      </c>
      <c r="G119" s="93">
        <f t="shared" si="22"/>
        <v>188760756.62000003</v>
      </c>
      <c r="H119" s="93">
        <f t="shared" si="22"/>
        <v>206181470.97000003</v>
      </c>
      <c r="I119" s="93">
        <f t="shared" si="22"/>
        <v>214191373.78</v>
      </c>
      <c r="J119" s="93">
        <f t="shared" si="22"/>
        <v>214191373.78</v>
      </c>
      <c r="K119" s="93">
        <f t="shared" si="22"/>
        <v>214191373.78</v>
      </c>
      <c r="L119" s="93">
        <f t="shared" si="22"/>
        <v>214191373.78</v>
      </c>
      <c r="M119" s="310"/>
      <c r="N119" s="304"/>
      <c r="O119" s="304"/>
      <c r="P119" s="304"/>
      <c r="Q119" s="304"/>
      <c r="R119" s="304"/>
      <c r="S119" s="304"/>
      <c r="T119" s="304"/>
      <c r="U119" s="307"/>
    </row>
    <row r="120" spans="1:21" ht="13.5" customHeight="1">
      <c r="A120" s="328"/>
      <c r="B120" s="331"/>
      <c r="C120" s="328"/>
      <c r="D120" s="92" t="s">
        <v>148</v>
      </c>
      <c r="E120" s="91">
        <f>F120+G120+H120+I120+J120+K120+L120</f>
        <v>4863060</v>
      </c>
      <c r="F120" s="93">
        <f t="shared" si="22"/>
        <v>2487050</v>
      </c>
      <c r="G120" s="93">
        <f t="shared" si="22"/>
        <v>2376010</v>
      </c>
      <c r="H120" s="93">
        <f t="shared" si="22"/>
        <v>0</v>
      </c>
      <c r="I120" s="93">
        <f t="shared" si="22"/>
        <v>0</v>
      </c>
      <c r="J120" s="93">
        <f t="shared" si="22"/>
        <v>0</v>
      </c>
      <c r="K120" s="93">
        <f t="shared" si="22"/>
        <v>0</v>
      </c>
      <c r="L120" s="93">
        <f t="shared" si="22"/>
        <v>0</v>
      </c>
      <c r="M120" s="310"/>
      <c r="N120" s="304"/>
      <c r="O120" s="304"/>
      <c r="P120" s="304"/>
      <c r="Q120" s="304"/>
      <c r="R120" s="304"/>
      <c r="S120" s="304"/>
      <c r="T120" s="304"/>
      <c r="U120" s="307"/>
    </row>
    <row r="121" spans="1:21" ht="13.5" customHeight="1">
      <c r="A121" s="328"/>
      <c r="B121" s="331"/>
      <c r="C121" s="328"/>
      <c r="D121" s="92" t="s">
        <v>149</v>
      </c>
      <c r="E121" s="91">
        <f>F121+G121+H121+I121+J121+K121+L121</f>
        <v>0</v>
      </c>
      <c r="F121" s="93">
        <f t="shared" si="22"/>
        <v>0</v>
      </c>
      <c r="G121" s="93">
        <f t="shared" si="22"/>
        <v>0</v>
      </c>
      <c r="H121" s="93">
        <f t="shared" si="22"/>
        <v>0</v>
      </c>
      <c r="I121" s="93">
        <f t="shared" si="22"/>
        <v>0</v>
      </c>
      <c r="J121" s="93">
        <f t="shared" si="22"/>
        <v>0</v>
      </c>
      <c r="K121" s="93">
        <f t="shared" si="22"/>
        <v>0</v>
      </c>
      <c r="L121" s="93">
        <f t="shared" si="22"/>
        <v>0</v>
      </c>
      <c r="M121" s="310"/>
      <c r="N121" s="304"/>
      <c r="O121" s="304"/>
      <c r="P121" s="304"/>
      <c r="Q121" s="304"/>
      <c r="R121" s="304"/>
      <c r="S121" s="304"/>
      <c r="T121" s="304"/>
      <c r="U121" s="307"/>
    </row>
    <row r="122" spans="1:21" ht="13.5" customHeight="1">
      <c r="A122" s="329"/>
      <c r="B122" s="332"/>
      <c r="C122" s="329"/>
      <c r="D122" s="92" t="s">
        <v>151</v>
      </c>
      <c r="E122" s="91">
        <f>F122+G122+H122+I122+J122+K122+L122</f>
        <v>222880833.05</v>
      </c>
      <c r="F122" s="93">
        <f t="shared" si="22"/>
        <v>33115995</v>
      </c>
      <c r="G122" s="93">
        <f t="shared" si="22"/>
        <v>17378363.05</v>
      </c>
      <c r="H122" s="93">
        <f t="shared" si="22"/>
        <v>34477295</v>
      </c>
      <c r="I122" s="93">
        <f t="shared" si="22"/>
        <v>34477295</v>
      </c>
      <c r="J122" s="93">
        <f t="shared" si="22"/>
        <v>34477295</v>
      </c>
      <c r="K122" s="93">
        <f t="shared" si="22"/>
        <v>34477295</v>
      </c>
      <c r="L122" s="93">
        <f t="shared" si="22"/>
        <v>34477295</v>
      </c>
      <c r="M122" s="311"/>
      <c r="N122" s="305"/>
      <c r="O122" s="305"/>
      <c r="P122" s="305"/>
      <c r="Q122" s="305"/>
      <c r="R122" s="305"/>
      <c r="S122" s="305"/>
      <c r="T122" s="305"/>
      <c r="U122" s="308"/>
    </row>
    <row r="123" spans="1:21" s="218" customFormat="1" ht="13.5" customHeight="1">
      <c r="A123" s="327"/>
      <c r="B123" s="330" t="s">
        <v>126</v>
      </c>
      <c r="C123" s="327"/>
      <c r="D123" s="90" t="s">
        <v>152</v>
      </c>
      <c r="E123" s="91">
        <f>E125+E126+E127+E128</f>
        <v>4745510109.070001</v>
      </c>
      <c r="F123" s="91">
        <f aca="true" t="shared" si="23" ref="F123:L123">F117+F68</f>
        <v>630157257.97</v>
      </c>
      <c r="G123" s="91">
        <f t="shared" si="23"/>
        <v>609054837.7</v>
      </c>
      <c r="H123" s="91">
        <f t="shared" si="23"/>
        <v>663038031.8</v>
      </c>
      <c r="I123" s="91">
        <f t="shared" si="23"/>
        <v>698281295.4</v>
      </c>
      <c r="J123" s="91">
        <f t="shared" si="23"/>
        <v>714992895.4</v>
      </c>
      <c r="K123" s="91">
        <f t="shared" si="23"/>
        <v>714992895.4</v>
      </c>
      <c r="L123" s="91">
        <f t="shared" si="23"/>
        <v>714992895.4</v>
      </c>
      <c r="M123" s="309"/>
      <c r="N123" s="303"/>
      <c r="O123" s="303"/>
      <c r="P123" s="303"/>
      <c r="Q123" s="303"/>
      <c r="R123" s="303"/>
      <c r="S123" s="303"/>
      <c r="T123" s="303"/>
      <c r="U123" s="306"/>
    </row>
    <row r="124" spans="1:21" ht="12.75" customHeight="1">
      <c r="A124" s="328"/>
      <c r="B124" s="331"/>
      <c r="C124" s="328"/>
      <c r="D124" s="312" t="s">
        <v>177</v>
      </c>
      <c r="E124" s="313"/>
      <c r="F124" s="313"/>
      <c r="G124" s="313"/>
      <c r="H124" s="313"/>
      <c r="I124" s="313"/>
      <c r="J124" s="313"/>
      <c r="K124" s="313"/>
      <c r="L124" s="314"/>
      <c r="M124" s="310"/>
      <c r="N124" s="304"/>
      <c r="O124" s="304"/>
      <c r="P124" s="304"/>
      <c r="Q124" s="304"/>
      <c r="R124" s="304"/>
      <c r="S124" s="304"/>
      <c r="T124" s="304"/>
      <c r="U124" s="307"/>
    </row>
    <row r="125" spans="1:21" ht="13.5" customHeight="1">
      <c r="A125" s="328"/>
      <c r="B125" s="331"/>
      <c r="C125" s="328"/>
      <c r="D125" s="92" t="s">
        <v>150</v>
      </c>
      <c r="E125" s="91">
        <f>F125+G125+H125+I125+J125+K125+L125</f>
        <v>2202572440.0200005</v>
      </c>
      <c r="F125" s="93">
        <f aca="true" t="shared" si="24" ref="F125:L128">F70+F119</f>
        <v>288108773.96999997</v>
      </c>
      <c r="G125" s="93">
        <f t="shared" si="24"/>
        <v>288004159.65000004</v>
      </c>
      <c r="H125" s="93">
        <f t="shared" si="24"/>
        <v>315547464.8</v>
      </c>
      <c r="I125" s="93">
        <f t="shared" si="24"/>
        <v>327728010.4</v>
      </c>
      <c r="J125" s="93">
        <f t="shared" si="24"/>
        <v>327728010.4</v>
      </c>
      <c r="K125" s="93">
        <f t="shared" si="24"/>
        <v>327728010.4</v>
      </c>
      <c r="L125" s="93">
        <f t="shared" si="24"/>
        <v>327728010.4</v>
      </c>
      <c r="M125" s="310"/>
      <c r="N125" s="304"/>
      <c r="O125" s="304"/>
      <c r="P125" s="304"/>
      <c r="Q125" s="304"/>
      <c r="R125" s="304"/>
      <c r="S125" s="304"/>
      <c r="T125" s="304"/>
      <c r="U125" s="307"/>
    </row>
    <row r="126" spans="1:21" ht="13.5" customHeight="1">
      <c r="A126" s="328"/>
      <c r="B126" s="331"/>
      <c r="C126" s="328"/>
      <c r="D126" s="92" t="s">
        <v>148</v>
      </c>
      <c r="E126" s="91">
        <f>F126+G126+H126+I126+J126+K126+L126</f>
        <v>2314017901</v>
      </c>
      <c r="F126" s="93">
        <f t="shared" si="24"/>
        <v>308069784</v>
      </c>
      <c r="G126" s="93">
        <f t="shared" si="24"/>
        <v>302809610</v>
      </c>
      <c r="H126" s="93">
        <f t="shared" si="24"/>
        <v>312150567</v>
      </c>
      <c r="I126" s="93">
        <f t="shared" si="24"/>
        <v>335213285</v>
      </c>
      <c r="J126" s="93">
        <f t="shared" si="24"/>
        <v>351924885</v>
      </c>
      <c r="K126" s="93">
        <f t="shared" si="24"/>
        <v>351924885</v>
      </c>
      <c r="L126" s="93">
        <f t="shared" si="24"/>
        <v>351924885</v>
      </c>
      <c r="M126" s="310"/>
      <c r="N126" s="304"/>
      <c r="O126" s="304"/>
      <c r="P126" s="304"/>
      <c r="Q126" s="304"/>
      <c r="R126" s="304"/>
      <c r="S126" s="304"/>
      <c r="T126" s="304"/>
      <c r="U126" s="307"/>
    </row>
    <row r="127" spans="1:21" ht="13.5" customHeight="1">
      <c r="A127" s="328"/>
      <c r="B127" s="331"/>
      <c r="C127" s="328"/>
      <c r="D127" s="92" t="s">
        <v>149</v>
      </c>
      <c r="E127" s="91">
        <f>F127+G127+H127+I127+J127+K127+L127</f>
        <v>0</v>
      </c>
      <c r="F127" s="93">
        <f t="shared" si="24"/>
        <v>0</v>
      </c>
      <c r="G127" s="93">
        <f t="shared" si="24"/>
        <v>0</v>
      </c>
      <c r="H127" s="93">
        <f t="shared" si="24"/>
        <v>0</v>
      </c>
      <c r="I127" s="93">
        <f t="shared" si="24"/>
        <v>0</v>
      </c>
      <c r="J127" s="93">
        <f t="shared" si="24"/>
        <v>0</v>
      </c>
      <c r="K127" s="93">
        <f t="shared" si="24"/>
        <v>0</v>
      </c>
      <c r="L127" s="93">
        <f t="shared" si="24"/>
        <v>0</v>
      </c>
      <c r="M127" s="310"/>
      <c r="N127" s="304"/>
      <c r="O127" s="304"/>
      <c r="P127" s="304"/>
      <c r="Q127" s="304"/>
      <c r="R127" s="304"/>
      <c r="S127" s="304"/>
      <c r="T127" s="304"/>
      <c r="U127" s="307"/>
    </row>
    <row r="128" spans="1:21" ht="13.5" customHeight="1">
      <c r="A128" s="329"/>
      <c r="B128" s="332"/>
      <c r="C128" s="329"/>
      <c r="D128" s="92" t="s">
        <v>151</v>
      </c>
      <c r="E128" s="91">
        <f>F128+G128+H128+I128+J128+K128+L128</f>
        <v>228919768.05</v>
      </c>
      <c r="F128" s="93">
        <f t="shared" si="24"/>
        <v>33978700</v>
      </c>
      <c r="G128" s="93">
        <f t="shared" si="24"/>
        <v>18241068.05</v>
      </c>
      <c r="H128" s="93">
        <f t="shared" si="24"/>
        <v>35340000</v>
      </c>
      <c r="I128" s="93">
        <f t="shared" si="24"/>
        <v>35340000</v>
      </c>
      <c r="J128" s="93">
        <f t="shared" si="24"/>
        <v>35340000</v>
      </c>
      <c r="K128" s="93">
        <f t="shared" si="24"/>
        <v>35340000</v>
      </c>
      <c r="L128" s="93">
        <f t="shared" si="24"/>
        <v>35340000</v>
      </c>
      <c r="M128" s="311"/>
      <c r="N128" s="305"/>
      <c r="O128" s="305"/>
      <c r="P128" s="305"/>
      <c r="Q128" s="305"/>
      <c r="R128" s="305"/>
      <c r="S128" s="305"/>
      <c r="T128" s="305"/>
      <c r="U128" s="308"/>
    </row>
    <row r="130" spans="5:8" s="111" customFormat="1" ht="12.75">
      <c r="E130" s="112"/>
      <c r="G130" s="217"/>
      <c r="H130" s="217"/>
    </row>
    <row r="131" spans="7:8" ht="12.75">
      <c r="G131" s="217"/>
      <c r="H131" s="95"/>
    </row>
    <row r="132" spans="5:9" ht="12.75">
      <c r="E132" s="95"/>
      <c r="G132" s="113"/>
      <c r="H132" s="113"/>
      <c r="I132" s="113"/>
    </row>
    <row r="133" spans="5:9" ht="12.75">
      <c r="E133" s="95"/>
      <c r="F133" s="114"/>
      <c r="G133" s="115"/>
      <c r="H133" s="115"/>
      <c r="I133" s="115"/>
    </row>
    <row r="134" spans="5:9" ht="12.75">
      <c r="E134" s="95"/>
      <c r="F134" s="114"/>
      <c r="G134" s="113"/>
      <c r="H134" s="113"/>
      <c r="I134" s="113"/>
    </row>
    <row r="135" spans="2:9" ht="12.75">
      <c r="B135" s="95"/>
      <c r="E135" s="95"/>
      <c r="F135" s="116"/>
      <c r="G135" s="117"/>
      <c r="H135" s="95"/>
      <c r="I135" s="95"/>
    </row>
    <row r="136" spans="2:9" ht="12.75">
      <c r="B136" s="95"/>
      <c r="E136" s="95"/>
      <c r="F136" s="118"/>
      <c r="G136" s="117"/>
      <c r="H136" s="95"/>
      <c r="I136" s="95"/>
    </row>
    <row r="137" spans="2:9" ht="12.75">
      <c r="B137" s="95"/>
      <c r="E137" s="95"/>
      <c r="F137" s="116"/>
      <c r="G137" s="117"/>
      <c r="H137" s="95"/>
      <c r="I137" s="95"/>
    </row>
    <row r="138" spans="2:9" ht="12.75">
      <c r="B138" s="95"/>
      <c r="E138" s="115"/>
      <c r="F138" s="116"/>
      <c r="G138" s="119"/>
      <c r="H138" s="95"/>
      <c r="I138" s="95"/>
    </row>
    <row r="139" spans="2:9" ht="12.75">
      <c r="B139" s="95"/>
      <c r="C139" s="114"/>
      <c r="E139" s="95"/>
      <c r="F139" s="116"/>
      <c r="G139" s="119"/>
      <c r="H139" s="95"/>
      <c r="I139" s="95"/>
    </row>
    <row r="140" spans="2:9" ht="12.75">
      <c r="B140" s="95"/>
      <c r="C140" s="114"/>
      <c r="E140" s="95"/>
      <c r="F140" s="116"/>
      <c r="G140" s="120"/>
      <c r="H140" s="95"/>
      <c r="I140" s="95"/>
    </row>
    <row r="141" spans="2:9" ht="12.75">
      <c r="B141" s="95"/>
      <c r="C141" s="121"/>
      <c r="E141" s="95"/>
      <c r="F141" s="116"/>
      <c r="G141" s="122"/>
      <c r="H141" s="120"/>
      <c r="I141" s="95"/>
    </row>
    <row r="142" spans="2:9" ht="12.75">
      <c r="B142" s="95"/>
      <c r="C142" s="114"/>
      <c r="E142" s="117"/>
      <c r="F142" s="116"/>
      <c r="G142" s="120"/>
      <c r="H142" s="95"/>
      <c r="I142" s="95"/>
    </row>
    <row r="143" spans="2:9" ht="12.75">
      <c r="B143" s="95"/>
      <c r="C143" s="114"/>
      <c r="E143" s="117"/>
      <c r="F143" s="116"/>
      <c r="G143" s="119"/>
      <c r="H143" s="123"/>
      <c r="I143" s="123"/>
    </row>
    <row r="144" spans="5:9" ht="12.75">
      <c r="E144" s="115"/>
      <c r="F144" s="116"/>
      <c r="G144" s="119"/>
      <c r="H144" s="123"/>
      <c r="I144" s="123"/>
    </row>
    <row r="145" spans="6:9" ht="12.75">
      <c r="F145" s="116"/>
      <c r="G145" s="119"/>
      <c r="H145" s="123"/>
      <c r="I145" s="123"/>
    </row>
    <row r="146" spans="6:9" ht="12.75">
      <c r="F146" s="116"/>
      <c r="G146" s="119"/>
      <c r="H146" s="124"/>
      <c r="I146" s="124"/>
    </row>
    <row r="147" spans="6:9" ht="12.75">
      <c r="F147" s="116"/>
      <c r="G147" s="119"/>
      <c r="H147" s="123"/>
      <c r="I147" s="123"/>
    </row>
    <row r="148" spans="6:9" ht="12.75">
      <c r="F148" s="116"/>
      <c r="G148" s="119"/>
      <c r="H148" s="123"/>
      <c r="I148" s="123"/>
    </row>
    <row r="149" spans="6:9" ht="12.75">
      <c r="F149" s="116"/>
      <c r="G149" s="119"/>
      <c r="H149" s="123"/>
      <c r="I149" s="123"/>
    </row>
    <row r="150" spans="6:9" ht="12.75">
      <c r="F150" s="116"/>
      <c r="G150" s="119"/>
      <c r="H150" s="124"/>
      <c r="I150" s="124"/>
    </row>
    <row r="151" spans="6:9" ht="12.75">
      <c r="F151" s="116"/>
      <c r="G151" s="125"/>
      <c r="H151" s="123"/>
      <c r="I151" s="123"/>
    </row>
    <row r="152" spans="6:9" ht="12.75">
      <c r="F152" s="116"/>
      <c r="G152" s="119"/>
      <c r="H152" s="124"/>
      <c r="I152" s="124"/>
    </row>
    <row r="153" spans="6:9" ht="12.75">
      <c r="F153" s="116"/>
      <c r="G153" s="120"/>
      <c r="H153" s="123"/>
      <c r="I153" s="95"/>
    </row>
    <row r="154" spans="6:9" ht="12.75">
      <c r="F154" s="116"/>
      <c r="G154" s="117"/>
      <c r="H154" s="123"/>
      <c r="I154" s="95"/>
    </row>
    <row r="155" spans="6:9" ht="12.75">
      <c r="F155" s="114"/>
      <c r="G155" s="95"/>
      <c r="H155" s="117"/>
      <c r="I155" s="95"/>
    </row>
    <row r="156" ht="12.75">
      <c r="F156" s="126"/>
    </row>
    <row r="157" spans="6:7" ht="12.75">
      <c r="F157" s="114"/>
      <c r="G157" s="95"/>
    </row>
    <row r="158" spans="6:8" ht="12.75">
      <c r="F158" s="114"/>
      <c r="G158" s="95"/>
      <c r="H158" s="127"/>
    </row>
    <row r="159" spans="6:7" ht="12.75">
      <c r="F159" s="125"/>
      <c r="G159" s="119"/>
    </row>
    <row r="160" ht="12.75">
      <c r="G160" s="95"/>
    </row>
    <row r="161" ht="12.75">
      <c r="G161" s="95"/>
    </row>
    <row r="162" ht="12.75">
      <c r="G162" s="95"/>
    </row>
    <row r="163" ht="12.75">
      <c r="G163" s="95"/>
    </row>
    <row r="164" ht="12.75">
      <c r="G164" s="95"/>
    </row>
    <row r="165" ht="12.75">
      <c r="G165" s="95"/>
    </row>
    <row r="166" spans="6:7" ht="12.75">
      <c r="F166" s="323"/>
      <c r="G166" s="323"/>
    </row>
    <row r="167" ht="12.75">
      <c r="G167" s="95"/>
    </row>
    <row r="168" ht="12.75">
      <c r="G168" s="95"/>
    </row>
    <row r="170" ht="12.75">
      <c r="G170" s="95"/>
    </row>
    <row r="171" ht="12.75">
      <c r="G171" s="95"/>
    </row>
    <row r="173" ht="12.75">
      <c r="F173" s="114" t="s">
        <v>2</v>
      </c>
    </row>
    <row r="174" spans="6:9" ht="12.75">
      <c r="F174" s="82" t="s">
        <v>3</v>
      </c>
      <c r="G174" s="95">
        <f>59/112*G176</f>
        <v>242478.9375</v>
      </c>
      <c r="H174" s="95">
        <f>59/112*H176</f>
        <v>0</v>
      </c>
      <c r="I174" s="95">
        <f>59/112*I176</f>
        <v>0</v>
      </c>
    </row>
    <row r="175" spans="6:9" ht="12.75">
      <c r="F175" s="82" t="s">
        <v>4</v>
      </c>
      <c r="G175" s="95">
        <f>53/112*G176</f>
        <v>217820.0625</v>
      </c>
      <c r="H175" s="95">
        <f>53/112*H176</f>
        <v>0</v>
      </c>
      <c r="I175" s="95">
        <f>53/112*I176</f>
        <v>0</v>
      </c>
    </row>
    <row r="176" spans="6:9" ht="12.75">
      <c r="F176" s="82" t="s">
        <v>5</v>
      </c>
      <c r="G176" s="95">
        <v>460299</v>
      </c>
      <c r="H176" s="95">
        <f>H136</f>
        <v>0</v>
      </c>
      <c r="I176" s="95">
        <f>I136</f>
        <v>0</v>
      </c>
    </row>
  </sheetData>
  <sheetProtection/>
  <mergeCells count="272">
    <mergeCell ref="M105:M110"/>
    <mergeCell ref="N105:N110"/>
    <mergeCell ref="O105:O110"/>
    <mergeCell ref="S105:S110"/>
    <mergeCell ref="S56:S61"/>
    <mergeCell ref="T105:T110"/>
    <mergeCell ref="R93:R98"/>
    <mergeCell ref="T87:T92"/>
    <mergeCell ref="T93:T98"/>
    <mergeCell ref="O93:O98"/>
    <mergeCell ref="Q62:Q67"/>
    <mergeCell ref="Q68:Q73"/>
    <mergeCell ref="D82:L82"/>
    <mergeCell ref="M81:M86"/>
    <mergeCell ref="Q75:Q80"/>
    <mergeCell ref="U105:U110"/>
    <mergeCell ref="D106:L106"/>
    <mergeCell ref="P105:P110"/>
    <mergeCell ref="Q105:Q110"/>
    <mergeCell ref="R105:R110"/>
    <mergeCell ref="Q99:Q104"/>
    <mergeCell ref="P99:P104"/>
    <mergeCell ref="O75:O80"/>
    <mergeCell ref="O68:O73"/>
    <mergeCell ref="O99:O104"/>
    <mergeCell ref="P87:P92"/>
    <mergeCell ref="P93:P98"/>
    <mergeCell ref="Q93:Q98"/>
    <mergeCell ref="A105:A110"/>
    <mergeCell ref="B105:B110"/>
    <mergeCell ref="C105:C110"/>
    <mergeCell ref="B99:B104"/>
    <mergeCell ref="C99:C104"/>
    <mergeCell ref="U93:U98"/>
    <mergeCell ref="D94:L94"/>
    <mergeCell ref="A93:A98"/>
    <mergeCell ref="B93:B98"/>
    <mergeCell ref="C93:C98"/>
    <mergeCell ref="U87:U92"/>
    <mergeCell ref="D100:L100"/>
    <mergeCell ref="S93:S98"/>
    <mergeCell ref="D88:L88"/>
    <mergeCell ref="R99:R104"/>
    <mergeCell ref="N93:N98"/>
    <mergeCell ref="S87:S92"/>
    <mergeCell ref="M99:M104"/>
    <mergeCell ref="N99:N104"/>
    <mergeCell ref="M93:M98"/>
    <mergeCell ref="A99:A104"/>
    <mergeCell ref="A87:A92"/>
    <mergeCell ref="B87:B92"/>
    <mergeCell ref="C87:C92"/>
    <mergeCell ref="M87:M92"/>
    <mergeCell ref="O87:O92"/>
    <mergeCell ref="N87:N92"/>
    <mergeCell ref="R87:R92"/>
    <mergeCell ref="Q87:Q92"/>
    <mergeCell ref="N81:N86"/>
    <mergeCell ref="P81:P86"/>
    <mergeCell ref="Q81:Q86"/>
    <mergeCell ref="O81:O86"/>
    <mergeCell ref="R81:R86"/>
    <mergeCell ref="A81:A86"/>
    <mergeCell ref="B81:B86"/>
    <mergeCell ref="C81:C86"/>
    <mergeCell ref="C50:C55"/>
    <mergeCell ref="A56:A61"/>
    <mergeCell ref="B56:B61"/>
    <mergeCell ref="C56:C61"/>
    <mergeCell ref="A50:A55"/>
    <mergeCell ref="B50:B55"/>
    <mergeCell ref="A75:A80"/>
    <mergeCell ref="M56:M61"/>
    <mergeCell ref="N56:N61"/>
    <mergeCell ref="D57:L57"/>
    <mergeCell ref="A2:U2"/>
    <mergeCell ref="A3:A4"/>
    <mergeCell ref="B3:B4"/>
    <mergeCell ref="C3:C4"/>
    <mergeCell ref="D3:D4"/>
    <mergeCell ref="D51:L51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D15:L15"/>
    <mergeCell ref="P14:P19"/>
    <mergeCell ref="R14:R19"/>
    <mergeCell ref="S14:S19"/>
    <mergeCell ref="N20:N25"/>
    <mergeCell ref="O20:O25"/>
    <mergeCell ref="D21:L21"/>
    <mergeCell ref="P20:P25"/>
    <mergeCell ref="A20:A25"/>
    <mergeCell ref="B20:B25"/>
    <mergeCell ref="C20:C25"/>
    <mergeCell ref="M20:M25"/>
    <mergeCell ref="S20:S25"/>
    <mergeCell ref="T20:T25"/>
    <mergeCell ref="T14:T19"/>
    <mergeCell ref="U14:U19"/>
    <mergeCell ref="P26:P31"/>
    <mergeCell ref="Q26:Q31"/>
    <mergeCell ref="Q20:Q25"/>
    <mergeCell ref="R20:R25"/>
    <mergeCell ref="T26:T31"/>
    <mergeCell ref="U26:U31"/>
    <mergeCell ref="U20:U25"/>
    <mergeCell ref="Q14:Q19"/>
    <mergeCell ref="A26:A31"/>
    <mergeCell ref="B26:B31"/>
    <mergeCell ref="C26:C31"/>
    <mergeCell ref="M26:M31"/>
    <mergeCell ref="N26:N31"/>
    <mergeCell ref="O26:O31"/>
    <mergeCell ref="D27:L27"/>
    <mergeCell ref="R32:R37"/>
    <mergeCell ref="R26:R31"/>
    <mergeCell ref="S26:S31"/>
    <mergeCell ref="U32:U37"/>
    <mergeCell ref="S32:S37"/>
    <mergeCell ref="T32:T37"/>
    <mergeCell ref="U38:U43"/>
    <mergeCell ref="A32:A37"/>
    <mergeCell ref="B32:B37"/>
    <mergeCell ref="C32:C37"/>
    <mergeCell ref="D33:L33"/>
    <mergeCell ref="A38:A43"/>
    <mergeCell ref="B38:B43"/>
    <mergeCell ref="C38:C43"/>
    <mergeCell ref="D39:L39"/>
    <mergeCell ref="Q32:Q37"/>
    <mergeCell ref="O38:O43"/>
    <mergeCell ref="S38:S43"/>
    <mergeCell ref="P38:P43"/>
    <mergeCell ref="Q38:Q43"/>
    <mergeCell ref="R38:R43"/>
    <mergeCell ref="T38:T43"/>
    <mergeCell ref="U44:U49"/>
    <mergeCell ref="A44:A49"/>
    <mergeCell ref="B44:B49"/>
    <mergeCell ref="C44:C49"/>
    <mergeCell ref="M44:M49"/>
    <mergeCell ref="N44:N49"/>
    <mergeCell ref="O44:O49"/>
    <mergeCell ref="D45:L45"/>
    <mergeCell ref="P44:P49"/>
    <mergeCell ref="Q44:Q49"/>
    <mergeCell ref="R44:R49"/>
    <mergeCell ref="S44:S49"/>
    <mergeCell ref="T44:T49"/>
    <mergeCell ref="P50:P55"/>
    <mergeCell ref="Q50:Q55"/>
    <mergeCell ref="R50:R55"/>
    <mergeCell ref="S50:S55"/>
    <mergeCell ref="T50:T55"/>
    <mergeCell ref="A111:A116"/>
    <mergeCell ref="B111:B116"/>
    <mergeCell ref="C111:C116"/>
    <mergeCell ref="M111:M116"/>
    <mergeCell ref="D112:L112"/>
    <mergeCell ref="N111:N116"/>
    <mergeCell ref="O111:O116"/>
    <mergeCell ref="S111:S116"/>
    <mergeCell ref="T111:T116"/>
    <mergeCell ref="P111:P116"/>
    <mergeCell ref="Q111:Q116"/>
    <mergeCell ref="R111:R116"/>
    <mergeCell ref="S99:S104"/>
    <mergeCell ref="T99:T104"/>
    <mergeCell ref="U56:U61"/>
    <mergeCell ref="S75:S80"/>
    <mergeCell ref="T75:T80"/>
    <mergeCell ref="U75:U80"/>
    <mergeCell ref="U62:U67"/>
    <mergeCell ref="S81:S86"/>
    <mergeCell ref="T81:T86"/>
    <mergeCell ref="U99:U104"/>
    <mergeCell ref="U50:U55"/>
    <mergeCell ref="U81:U86"/>
    <mergeCell ref="T56:T61"/>
    <mergeCell ref="O50:O55"/>
    <mergeCell ref="R75:R80"/>
    <mergeCell ref="P75:P80"/>
    <mergeCell ref="P56:P61"/>
    <mergeCell ref="Q56:Q61"/>
    <mergeCell ref="R56:R61"/>
    <mergeCell ref="O56:O61"/>
    <mergeCell ref="B75:B80"/>
    <mergeCell ref="C75:C80"/>
    <mergeCell ref="M75:M80"/>
    <mergeCell ref="M32:M37"/>
    <mergeCell ref="N32:N37"/>
    <mergeCell ref="N75:N80"/>
    <mergeCell ref="M38:M43"/>
    <mergeCell ref="N38:N43"/>
    <mergeCell ref="M50:M55"/>
    <mergeCell ref="N50:N55"/>
    <mergeCell ref="O32:O37"/>
    <mergeCell ref="P32:P37"/>
    <mergeCell ref="A62:A67"/>
    <mergeCell ref="B62:B67"/>
    <mergeCell ref="C62:C67"/>
    <mergeCell ref="M62:M67"/>
    <mergeCell ref="N62:N67"/>
    <mergeCell ref="O62:O67"/>
    <mergeCell ref="D63:L63"/>
    <mergeCell ref="P62:P67"/>
    <mergeCell ref="R62:R67"/>
    <mergeCell ref="S62:S67"/>
    <mergeCell ref="T62:T67"/>
    <mergeCell ref="A68:A73"/>
    <mergeCell ref="B68:B73"/>
    <mergeCell ref="C68:C73"/>
    <mergeCell ref="M68:M73"/>
    <mergeCell ref="N68:N73"/>
    <mergeCell ref="P68:P73"/>
    <mergeCell ref="D69:L69"/>
    <mergeCell ref="R68:R73"/>
    <mergeCell ref="S68:S73"/>
    <mergeCell ref="T68:T73"/>
    <mergeCell ref="U68:U73"/>
    <mergeCell ref="B74:U74"/>
    <mergeCell ref="A117:A122"/>
    <mergeCell ref="B117:B122"/>
    <mergeCell ref="C117:C122"/>
    <mergeCell ref="M117:M122"/>
    <mergeCell ref="N117:N122"/>
    <mergeCell ref="O117:O122"/>
    <mergeCell ref="D118:L118"/>
    <mergeCell ref="D76:L76"/>
    <mergeCell ref="U111:U116"/>
    <mergeCell ref="A123:A128"/>
    <mergeCell ref="B123:B128"/>
    <mergeCell ref="C123:C128"/>
    <mergeCell ref="M123:M128"/>
    <mergeCell ref="D124:L124"/>
    <mergeCell ref="P117:P122"/>
    <mergeCell ref="Q117:Q122"/>
    <mergeCell ref="R117:R122"/>
    <mergeCell ref="S123:S128"/>
    <mergeCell ref="U123:U128"/>
    <mergeCell ref="S117:S122"/>
    <mergeCell ref="T117:T122"/>
    <mergeCell ref="U117:U122"/>
    <mergeCell ref="T123:T128"/>
    <mergeCell ref="F166:G166"/>
    <mergeCell ref="P123:P128"/>
    <mergeCell ref="Q123:Q128"/>
    <mergeCell ref="R123:R128"/>
    <mergeCell ref="N123:N128"/>
    <mergeCell ref="O123:O12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58" customWidth="1"/>
    <col min="2" max="2" width="36.8515625" style="55" customWidth="1"/>
    <col min="3" max="3" width="7.421875" style="55" customWidth="1"/>
    <col min="4" max="7" width="9.140625" style="55" customWidth="1"/>
    <col min="8" max="8" width="10.421875" style="55" bestFit="1" customWidth="1"/>
    <col min="9" max="11" width="9.140625" style="55" customWidth="1"/>
    <col min="12" max="12" width="10.421875" style="55" bestFit="1" customWidth="1"/>
    <col min="13" max="16384" width="9.140625" style="55" customWidth="1"/>
  </cols>
  <sheetData>
    <row r="1" spans="1:11" ht="15.75">
      <c r="A1" s="51"/>
      <c r="B1" s="52"/>
      <c r="C1" s="52"/>
      <c r="D1" s="52"/>
      <c r="E1" s="52"/>
      <c r="F1" s="52"/>
      <c r="G1" s="52"/>
      <c r="H1" s="52"/>
      <c r="I1" s="53"/>
      <c r="J1" s="53"/>
      <c r="K1" s="8" t="s">
        <v>237</v>
      </c>
    </row>
    <row r="2" spans="1:12" ht="34.5" customHeight="1">
      <c r="A2" s="244" t="s">
        <v>127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1" customHeight="1">
      <c r="A3" s="246" t="s">
        <v>156</v>
      </c>
      <c r="B3" s="246" t="s">
        <v>160</v>
      </c>
      <c r="C3" s="246" t="s">
        <v>157</v>
      </c>
      <c r="D3" s="251" t="s">
        <v>159</v>
      </c>
      <c r="E3" s="252"/>
      <c r="F3" s="252"/>
      <c r="G3" s="252"/>
      <c r="H3" s="252"/>
      <c r="I3" s="252"/>
      <c r="J3" s="252"/>
      <c r="K3" s="252"/>
      <c r="L3" s="253"/>
    </row>
    <row r="4" spans="1:12" ht="26.25" customHeight="1">
      <c r="A4" s="246"/>
      <c r="B4" s="246"/>
      <c r="C4" s="246"/>
      <c r="D4" s="247" t="s">
        <v>118</v>
      </c>
      <c r="E4" s="247" t="s">
        <v>119</v>
      </c>
      <c r="F4" s="248" t="s">
        <v>43</v>
      </c>
      <c r="G4" s="249"/>
      <c r="H4" s="249"/>
      <c r="I4" s="249"/>
      <c r="J4" s="249"/>
      <c r="K4" s="249"/>
      <c r="L4" s="250"/>
    </row>
    <row r="5" spans="1:12" ht="19.5" customHeight="1">
      <c r="A5" s="247"/>
      <c r="B5" s="246"/>
      <c r="C5" s="247"/>
      <c r="D5" s="254"/>
      <c r="E5" s="254"/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 ht="19.5" customHeight="1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</row>
    <row r="7" spans="1:12" ht="36" customHeight="1">
      <c r="A7" s="1"/>
      <c r="B7" s="245" t="s">
        <v>128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1:12" ht="109.5" customHeight="1">
      <c r="A8" s="1">
        <v>1</v>
      </c>
      <c r="B8" s="2" t="s">
        <v>238</v>
      </c>
      <c r="C8" s="1" t="s">
        <v>158</v>
      </c>
      <c r="D8" s="3">
        <v>100</v>
      </c>
      <c r="E8" s="3">
        <v>100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</row>
    <row r="9" spans="1:12" ht="51">
      <c r="A9" s="1">
        <v>2</v>
      </c>
      <c r="B9" s="2" t="s">
        <v>239</v>
      </c>
      <c r="C9" s="1" t="s">
        <v>241</v>
      </c>
      <c r="D9" s="3">
        <v>0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</row>
    <row r="10" spans="1:12" ht="54.75" customHeight="1">
      <c r="A10" s="1">
        <v>3</v>
      </c>
      <c r="B10" s="2" t="s">
        <v>240</v>
      </c>
      <c r="C10" s="1" t="s">
        <v>158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</row>
    <row r="11" spans="1:12" ht="24" customHeight="1">
      <c r="A11" s="1">
        <v>1</v>
      </c>
      <c r="B11" s="245" t="s">
        <v>68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2" s="56" customFormat="1" ht="76.5">
      <c r="A12" s="25" t="s">
        <v>192</v>
      </c>
      <c r="B12" s="2" t="s">
        <v>242</v>
      </c>
      <c r="C12" s="3" t="s">
        <v>158</v>
      </c>
      <c r="D12" s="21">
        <v>99.9</v>
      </c>
      <c r="E12" s="21">
        <v>99.6</v>
      </c>
      <c r="F12" s="31">
        <v>100</v>
      </c>
      <c r="G12" s="31">
        <v>100</v>
      </c>
      <c r="H12" s="31">
        <v>100</v>
      </c>
      <c r="I12" s="31">
        <v>100</v>
      </c>
      <c r="J12" s="31">
        <v>100</v>
      </c>
      <c r="K12" s="31">
        <v>100</v>
      </c>
      <c r="L12" s="31">
        <v>100</v>
      </c>
    </row>
    <row r="13" spans="1:12" s="56" customFormat="1" ht="93" customHeight="1">
      <c r="A13" s="25" t="s">
        <v>193</v>
      </c>
      <c r="B13" s="2" t="s">
        <v>243</v>
      </c>
      <c r="C13" s="3" t="s">
        <v>158</v>
      </c>
      <c r="D13" s="3">
        <v>100</v>
      </c>
      <c r="E13" s="3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</row>
    <row r="14" spans="1:12" s="56" customFormat="1" ht="12.75">
      <c r="A14" s="104"/>
      <c r="B14" s="105"/>
      <c r="C14" s="106"/>
      <c r="D14" s="106"/>
      <c r="E14" s="106"/>
      <c r="F14" s="204"/>
      <c r="G14" s="204"/>
      <c r="H14" s="204"/>
      <c r="I14" s="204"/>
      <c r="J14" s="204"/>
      <c r="K14" s="204"/>
      <c r="L14" s="205" t="s">
        <v>120</v>
      </c>
    </row>
    <row r="15" spans="1:12" s="56" customFormat="1" ht="12.75">
      <c r="A15" s="246" t="s">
        <v>156</v>
      </c>
      <c r="B15" s="246" t="s">
        <v>160</v>
      </c>
      <c r="C15" s="246" t="s">
        <v>157</v>
      </c>
      <c r="D15" s="251" t="s">
        <v>159</v>
      </c>
      <c r="E15" s="252"/>
      <c r="F15" s="252"/>
      <c r="G15" s="252"/>
      <c r="H15" s="252"/>
      <c r="I15" s="252"/>
      <c r="J15" s="252"/>
      <c r="K15" s="252"/>
      <c r="L15" s="253"/>
    </row>
    <row r="16" spans="1:12" s="56" customFormat="1" ht="12.75">
      <c r="A16" s="246"/>
      <c r="B16" s="246"/>
      <c r="C16" s="246"/>
      <c r="D16" s="247" t="s">
        <v>118</v>
      </c>
      <c r="E16" s="247" t="s">
        <v>119</v>
      </c>
      <c r="F16" s="248" t="s">
        <v>43</v>
      </c>
      <c r="G16" s="249"/>
      <c r="H16" s="249"/>
      <c r="I16" s="249"/>
      <c r="J16" s="249"/>
      <c r="K16" s="249"/>
      <c r="L16" s="250"/>
    </row>
    <row r="17" spans="1:12" s="56" customFormat="1" ht="12.75">
      <c r="A17" s="247"/>
      <c r="B17" s="246"/>
      <c r="C17" s="247"/>
      <c r="D17" s="254"/>
      <c r="E17" s="254"/>
      <c r="F17" s="5">
        <v>2014</v>
      </c>
      <c r="G17" s="5">
        <v>2015</v>
      </c>
      <c r="H17" s="5">
        <v>2016</v>
      </c>
      <c r="I17" s="5">
        <v>2017</v>
      </c>
      <c r="J17" s="5">
        <v>2018</v>
      </c>
      <c r="K17" s="5">
        <v>2019</v>
      </c>
      <c r="L17" s="5">
        <v>2020</v>
      </c>
    </row>
    <row r="18" spans="1:12" s="56" customFormat="1" ht="12.75">
      <c r="A18" s="80">
        <v>1</v>
      </c>
      <c r="B18" s="80">
        <v>2</v>
      </c>
      <c r="C18" s="80">
        <v>3</v>
      </c>
      <c r="D18" s="80">
        <v>4</v>
      </c>
      <c r="E18" s="80">
        <v>5</v>
      </c>
      <c r="F18" s="80">
        <v>6</v>
      </c>
      <c r="G18" s="80">
        <v>7</v>
      </c>
      <c r="H18" s="80">
        <v>8</v>
      </c>
      <c r="I18" s="80">
        <v>9</v>
      </c>
      <c r="J18" s="80">
        <v>10</v>
      </c>
      <c r="K18" s="80">
        <v>11</v>
      </c>
      <c r="L18" s="80">
        <v>12</v>
      </c>
    </row>
    <row r="19" spans="1:12" ht="24" customHeight="1">
      <c r="A19" s="1">
        <v>2</v>
      </c>
      <c r="B19" s="245" t="s">
        <v>69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2" ht="63.75">
      <c r="A20" s="25" t="s">
        <v>208</v>
      </c>
      <c r="B20" s="23" t="s">
        <v>244</v>
      </c>
      <c r="C20" s="1" t="s">
        <v>158</v>
      </c>
      <c r="D20" s="3">
        <v>100</v>
      </c>
      <c r="E20" s="3">
        <v>100</v>
      </c>
      <c r="F20" s="3">
        <v>100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3">
        <v>100</v>
      </c>
    </row>
    <row r="21" spans="1:12" ht="76.5">
      <c r="A21" s="25" t="s">
        <v>209</v>
      </c>
      <c r="B21" s="23" t="s">
        <v>245</v>
      </c>
      <c r="C21" s="1" t="s">
        <v>158</v>
      </c>
      <c r="D21" s="1">
        <v>91.7</v>
      </c>
      <c r="E21" s="1">
        <v>92</v>
      </c>
      <c r="F21" s="1">
        <v>93</v>
      </c>
      <c r="G21" s="1">
        <v>94</v>
      </c>
      <c r="H21" s="1">
        <v>95</v>
      </c>
      <c r="I21" s="1">
        <v>96</v>
      </c>
      <c r="J21" s="1">
        <v>96</v>
      </c>
      <c r="K21" s="1">
        <v>96</v>
      </c>
      <c r="L21" s="1">
        <v>96</v>
      </c>
    </row>
    <row r="22" spans="1:12" ht="24" customHeight="1">
      <c r="A22" s="1">
        <v>3</v>
      </c>
      <c r="B22" s="245" t="s">
        <v>70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63.75">
      <c r="A23" s="25" t="s">
        <v>316</v>
      </c>
      <c r="B23" s="24" t="s">
        <v>246</v>
      </c>
      <c r="C23" s="1" t="s">
        <v>241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</row>
    <row r="24" spans="1:12" ht="24" customHeight="1">
      <c r="A24" s="1">
        <v>4</v>
      </c>
      <c r="B24" s="245" t="s">
        <v>71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</row>
    <row r="25" spans="1:12" ht="63.75">
      <c r="A25" s="25" t="s">
        <v>317</v>
      </c>
      <c r="B25" s="23" t="s">
        <v>247</v>
      </c>
      <c r="C25" s="1" t="s">
        <v>158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</row>
    <row r="26" spans="1:12" ht="51">
      <c r="A26" s="29" t="s">
        <v>318</v>
      </c>
      <c r="B26" s="23" t="s">
        <v>248</v>
      </c>
      <c r="C26" s="1" t="s">
        <v>158</v>
      </c>
      <c r="D26" s="3">
        <v>100</v>
      </c>
      <c r="E26" s="3">
        <v>100</v>
      </c>
      <c r="F26" s="3">
        <v>100</v>
      </c>
      <c r="G26" s="3">
        <v>100</v>
      </c>
      <c r="H26" s="3">
        <v>100</v>
      </c>
      <c r="I26" s="3">
        <v>100</v>
      </c>
      <c r="J26" s="3">
        <v>100</v>
      </c>
      <c r="K26" s="3">
        <v>100</v>
      </c>
      <c r="L26" s="3">
        <v>100</v>
      </c>
    </row>
    <row r="27" spans="1:12" ht="51">
      <c r="A27" s="29" t="s">
        <v>318</v>
      </c>
      <c r="B27" s="33" t="s">
        <v>249</v>
      </c>
      <c r="C27" s="1" t="s">
        <v>241</v>
      </c>
      <c r="D27" s="3">
        <v>0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</row>
  </sheetData>
  <sheetProtection/>
  <mergeCells count="20">
    <mergeCell ref="B7:L7"/>
    <mergeCell ref="B11:L11"/>
    <mergeCell ref="B24:L24"/>
    <mergeCell ref="B19:L19"/>
    <mergeCell ref="B22:L22"/>
    <mergeCell ref="A2:L2"/>
    <mergeCell ref="A3:A5"/>
    <mergeCell ref="B3:B5"/>
    <mergeCell ref="C3:C5"/>
    <mergeCell ref="D3:L3"/>
    <mergeCell ref="F4:L4"/>
    <mergeCell ref="D4:D5"/>
    <mergeCell ref="E4:E5"/>
    <mergeCell ref="A15:A17"/>
    <mergeCell ref="B15:B17"/>
    <mergeCell ref="C15:C17"/>
    <mergeCell ref="D15:L15"/>
    <mergeCell ref="D16:D17"/>
    <mergeCell ref="E16:E17"/>
    <mergeCell ref="F16:L16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115" zoomScalePageLayoutView="0" workbookViewId="0" topLeftCell="A1">
      <selection activeCell="D18" sqref="D18"/>
    </sheetView>
  </sheetViews>
  <sheetFormatPr defaultColWidth="9.140625" defaultRowHeight="15"/>
  <cols>
    <col min="1" max="1" width="35.421875" style="59" customWidth="1"/>
    <col min="2" max="2" width="18.28125" style="59" customWidth="1"/>
    <col min="3" max="3" width="15.421875" style="59" customWidth="1"/>
    <col min="4" max="4" width="13.00390625" style="59" customWidth="1"/>
    <col min="5" max="9" width="13.7109375" style="59" customWidth="1"/>
    <col min="10" max="16384" width="9.140625" style="59" customWidth="1"/>
  </cols>
  <sheetData>
    <row r="1" spans="5:10" ht="18.75" customHeight="1">
      <c r="E1" s="60"/>
      <c r="F1" s="7"/>
      <c r="G1" s="8"/>
      <c r="I1" s="54" t="s">
        <v>250</v>
      </c>
      <c r="J1" s="61"/>
    </row>
    <row r="2" ht="15.75">
      <c r="F2" s="8"/>
    </row>
    <row r="3" spans="1:9" ht="36.75" customHeight="1">
      <c r="A3" s="244" t="s">
        <v>129</v>
      </c>
      <c r="B3" s="244"/>
      <c r="C3" s="244"/>
      <c r="D3" s="244"/>
      <c r="E3" s="244"/>
      <c r="F3" s="244"/>
      <c r="G3" s="244"/>
      <c r="H3" s="244"/>
      <c r="I3" s="244"/>
    </row>
    <row r="4" spans="1:9" ht="30" customHeight="1">
      <c r="A4" s="233" t="s">
        <v>163</v>
      </c>
      <c r="B4" s="235" t="s">
        <v>164</v>
      </c>
      <c r="C4" s="237" t="s">
        <v>165</v>
      </c>
      <c r="D4" s="237"/>
      <c r="E4" s="237"/>
      <c r="F4" s="237"/>
      <c r="G4" s="237"/>
      <c r="H4" s="237"/>
      <c r="I4" s="237"/>
    </row>
    <row r="5" spans="1:9" ht="16.5" customHeight="1">
      <c r="A5" s="234"/>
      <c r="B5" s="236"/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9">
        <v>2020</v>
      </c>
    </row>
    <row r="6" spans="1:9" ht="16.5" customHeight="1">
      <c r="A6" s="129" t="s">
        <v>107</v>
      </c>
      <c r="B6" s="129" t="s">
        <v>108</v>
      </c>
      <c r="C6" s="129" t="s">
        <v>109</v>
      </c>
      <c r="D6" s="129" t="s">
        <v>110</v>
      </c>
      <c r="E6" s="129" t="s">
        <v>111</v>
      </c>
      <c r="F6" s="129" t="s">
        <v>112</v>
      </c>
      <c r="G6" s="129" t="s">
        <v>113</v>
      </c>
      <c r="H6" s="129" t="s">
        <v>114</v>
      </c>
      <c r="I6" s="129" t="s">
        <v>115</v>
      </c>
    </row>
    <row r="7" spans="1:9" ht="19.5" customHeight="1">
      <c r="A7" s="62" t="s">
        <v>130</v>
      </c>
      <c r="B7" s="63">
        <f>B9+B10+B11+B12</f>
        <v>328070226.74</v>
      </c>
      <c r="C7" s="63">
        <f aca="true" t="shared" si="0" ref="C7:I7">C9+C10+C11+C12</f>
        <v>43291513</v>
      </c>
      <c r="D7" s="63">
        <f t="shared" si="0"/>
        <v>45426098.84</v>
      </c>
      <c r="E7" s="63">
        <f t="shared" si="0"/>
        <v>47663082.980000004</v>
      </c>
      <c r="F7" s="63">
        <f t="shared" si="0"/>
        <v>47922382.980000004</v>
      </c>
      <c r="G7" s="63">
        <f t="shared" si="0"/>
        <v>47922382.980000004</v>
      </c>
      <c r="H7" s="63">
        <f t="shared" si="0"/>
        <v>47922382.980000004</v>
      </c>
      <c r="I7" s="63">
        <f t="shared" si="0"/>
        <v>47922382.980000004</v>
      </c>
    </row>
    <row r="8" spans="1:9" ht="16.5" customHeight="1">
      <c r="A8" s="316" t="s">
        <v>166</v>
      </c>
      <c r="B8" s="317"/>
      <c r="C8" s="317"/>
      <c r="D8" s="317"/>
      <c r="E8" s="317"/>
      <c r="F8" s="317"/>
      <c r="G8" s="317"/>
      <c r="H8" s="317"/>
      <c r="I8" s="318"/>
    </row>
    <row r="9" spans="1:9" ht="16.5" customHeight="1">
      <c r="A9" s="14" t="s">
        <v>167</v>
      </c>
      <c r="B9" s="128">
        <f>B16</f>
        <v>95000326.74000001</v>
      </c>
      <c r="C9" s="41">
        <f aca="true" t="shared" si="1" ref="C9:I9">C16</f>
        <v>12523313</v>
      </c>
      <c r="D9" s="41">
        <f t="shared" si="1"/>
        <v>13168598.84</v>
      </c>
      <c r="E9" s="41">
        <f t="shared" si="1"/>
        <v>13861682.98</v>
      </c>
      <c r="F9" s="41">
        <f t="shared" si="1"/>
        <v>13861682.98</v>
      </c>
      <c r="G9" s="41">
        <f t="shared" si="1"/>
        <v>13861682.98</v>
      </c>
      <c r="H9" s="41">
        <f t="shared" si="1"/>
        <v>13861682.98</v>
      </c>
      <c r="I9" s="41">
        <f t="shared" si="1"/>
        <v>13861682.98</v>
      </c>
    </row>
    <row r="10" spans="1:9" ht="16.5" customHeight="1">
      <c r="A10" s="14" t="s">
        <v>47</v>
      </c>
      <c r="B10" s="128">
        <f aca="true" t="shared" si="2" ref="B10:I12">B17</f>
        <v>233069900</v>
      </c>
      <c r="C10" s="41">
        <f t="shared" si="2"/>
        <v>30768200</v>
      </c>
      <c r="D10" s="41">
        <f t="shared" si="2"/>
        <v>32257500</v>
      </c>
      <c r="E10" s="41">
        <f t="shared" si="2"/>
        <v>33801400</v>
      </c>
      <c r="F10" s="41">
        <f t="shared" si="2"/>
        <v>34060700</v>
      </c>
      <c r="G10" s="41">
        <f t="shared" si="2"/>
        <v>34060700</v>
      </c>
      <c r="H10" s="41">
        <f t="shared" si="2"/>
        <v>34060700</v>
      </c>
      <c r="I10" s="41">
        <f t="shared" si="2"/>
        <v>34060700</v>
      </c>
    </row>
    <row r="11" spans="1:9" ht="16.5" customHeight="1">
      <c r="A11" s="14" t="s">
        <v>48</v>
      </c>
      <c r="B11" s="128">
        <f t="shared" si="2"/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</row>
    <row r="12" spans="1:9" ht="16.5" customHeight="1">
      <c r="A12" s="14" t="s">
        <v>170</v>
      </c>
      <c r="B12" s="128">
        <f t="shared" si="2"/>
        <v>0</v>
      </c>
      <c r="C12" s="41">
        <f t="shared" si="2"/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</row>
    <row r="13" spans="1:9" ht="16.5" customHeight="1">
      <c r="A13" s="241" t="s">
        <v>171</v>
      </c>
      <c r="B13" s="242"/>
      <c r="C13" s="242"/>
      <c r="D13" s="242"/>
      <c r="E13" s="242"/>
      <c r="F13" s="242"/>
      <c r="G13" s="242"/>
      <c r="H13" s="242"/>
      <c r="I13" s="243"/>
    </row>
    <row r="14" spans="1:9" ht="39.75" customHeight="1">
      <c r="A14" s="64" t="s">
        <v>178</v>
      </c>
      <c r="B14" s="63">
        <f>B16+B17+B18+B19</f>
        <v>328070226.74</v>
      </c>
      <c r="C14" s="63">
        <f>C16+C17+C18+C19</f>
        <v>43291513</v>
      </c>
      <c r="D14" s="63">
        <f aca="true" t="shared" si="3" ref="D14:I14">D16+D17+D18+D19</f>
        <v>45426098.84</v>
      </c>
      <c r="E14" s="63">
        <f t="shared" si="3"/>
        <v>47663082.980000004</v>
      </c>
      <c r="F14" s="63">
        <f t="shared" si="3"/>
        <v>47922382.980000004</v>
      </c>
      <c r="G14" s="63">
        <f t="shared" si="3"/>
        <v>47922382.980000004</v>
      </c>
      <c r="H14" s="63">
        <f t="shared" si="3"/>
        <v>47922382.980000004</v>
      </c>
      <c r="I14" s="63">
        <f t="shared" si="3"/>
        <v>47922382.980000004</v>
      </c>
    </row>
    <row r="15" spans="1:9" ht="16.5" customHeight="1">
      <c r="A15" s="316" t="s">
        <v>166</v>
      </c>
      <c r="B15" s="317"/>
      <c r="C15" s="317"/>
      <c r="D15" s="317"/>
      <c r="E15" s="317"/>
      <c r="F15" s="317"/>
      <c r="G15" s="317"/>
      <c r="H15" s="317"/>
      <c r="I15" s="318"/>
    </row>
    <row r="16" spans="1:9" ht="16.5" customHeight="1">
      <c r="A16" s="14" t="s">
        <v>167</v>
      </c>
      <c r="B16" s="128">
        <f>SUM(C16:I16)</f>
        <v>95000326.74000001</v>
      </c>
      <c r="C16" s="42">
        <v>12523313</v>
      </c>
      <c r="D16" s="42">
        <f>+'таб 3(3)'!G115</f>
        <v>13168598.84</v>
      </c>
      <c r="E16" s="42">
        <v>13861682.98</v>
      </c>
      <c r="F16" s="42">
        <v>13861682.98</v>
      </c>
      <c r="G16" s="42">
        <v>13861682.98</v>
      </c>
      <c r="H16" s="42">
        <v>13861682.98</v>
      </c>
      <c r="I16" s="42">
        <v>13861682.98</v>
      </c>
    </row>
    <row r="17" spans="1:9" ht="16.5" customHeight="1">
      <c r="A17" s="14" t="s">
        <v>47</v>
      </c>
      <c r="B17" s="128">
        <f>SUM(C17:I17)</f>
        <v>233069900</v>
      </c>
      <c r="C17" s="46">
        <f>'таб 3(3)'!F116</f>
        <v>30768200</v>
      </c>
      <c r="D17" s="42">
        <f>+'таб 3(3)'!G116</f>
        <v>32257500</v>
      </c>
      <c r="E17" s="42">
        <v>33801400</v>
      </c>
      <c r="F17" s="42">
        <v>34060700</v>
      </c>
      <c r="G17" s="42">
        <v>34060700</v>
      </c>
      <c r="H17" s="42">
        <v>34060700</v>
      </c>
      <c r="I17" s="42">
        <v>34060700</v>
      </c>
    </row>
    <row r="18" spans="1:9" ht="16.5" customHeight="1">
      <c r="A18" s="14" t="s">
        <v>48</v>
      </c>
      <c r="B18" s="128">
        <f>SUM(C18:I18)</f>
        <v>0</v>
      </c>
      <c r="C18" s="41"/>
      <c r="D18" s="41"/>
      <c r="E18" s="41"/>
      <c r="F18" s="41"/>
      <c r="G18" s="41"/>
      <c r="H18" s="41"/>
      <c r="I18" s="41"/>
    </row>
    <row r="19" spans="1:9" ht="16.5" customHeight="1">
      <c r="A19" s="14" t="s">
        <v>170</v>
      </c>
      <c r="B19" s="128">
        <f>SUM(C19:I19)</f>
        <v>0</v>
      </c>
      <c r="C19" s="41"/>
      <c r="D19" s="41"/>
      <c r="E19" s="41"/>
      <c r="F19" s="41"/>
      <c r="G19" s="41"/>
      <c r="H19" s="41"/>
      <c r="I19" s="41"/>
    </row>
    <row r="20" spans="1:9" ht="25.5">
      <c r="A20" s="19" t="s">
        <v>172</v>
      </c>
      <c r="B20" s="128">
        <f>SUM(C20:I20)</f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2015-09-30T08:27:20Z</cp:lastPrinted>
  <dcterms:created xsi:type="dcterms:W3CDTF">2013-06-06T11:09:14Z</dcterms:created>
  <dcterms:modified xsi:type="dcterms:W3CDTF">2015-10-15T14:25:09Z</dcterms:modified>
  <cp:category/>
  <cp:version/>
  <cp:contentType/>
  <cp:contentStatus/>
</cp:coreProperties>
</file>