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0"/>
  </bookViews>
  <sheets>
    <sheet name="табл.2 (1)" sheetId="1" r:id="rId1"/>
    <sheet name="табл.3(1)" sheetId="2" r:id="rId2"/>
    <sheet name="табл.2 (2)" sheetId="3" r:id="rId3"/>
    <sheet name="табл.3 (2)" sheetId="4" r:id="rId4"/>
    <sheet name="табл.2 (3)" sheetId="5" r:id="rId5"/>
    <sheet name="табл.3 (3)" sheetId="6" r:id="rId6"/>
  </sheets>
  <externalReferences>
    <externalReference r:id="rId9"/>
    <externalReference r:id="rId10"/>
  </externalReferences>
  <definedNames>
    <definedName name="_xlnm.Print_Area" localSheetId="0">'табл.2 (1)'!$A$1:$I$20</definedName>
  </definedNames>
  <calcPr fullCalcOnLoad="1"/>
</workbook>
</file>

<file path=xl/sharedStrings.xml><?xml version="1.0" encoding="utf-8"?>
<sst xmlns="http://schemas.openxmlformats.org/spreadsheetml/2006/main" count="517" uniqueCount="143">
  <si>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</si>
  <si>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</si>
  <si>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</si>
  <si>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</si>
  <si>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</si>
  <si>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</si>
  <si>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</si>
  <si>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</si>
  <si>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</si>
  <si>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</si>
  <si>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</si>
  <si>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</si>
  <si>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</si>
  <si>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</si>
  <si>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</si>
  <si>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</si>
  <si>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</si>
  <si>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</si>
  <si>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</si>
  <si>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</si>
  <si>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</si>
  <si>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</si>
  <si>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</si>
  <si>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</si>
  <si>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</si>
  <si>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</si>
  <si>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</si>
  <si>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</si>
  <si>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</si>
  <si>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</si>
  <si>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</si>
  <si>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</si>
  <si>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</si>
  <si>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</si>
  <si>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</si>
  <si>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</si>
  <si>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</si>
  <si>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</si>
  <si>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</si>
  <si>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</si>
  <si>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</si>
  <si>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</si>
  <si>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</si>
  <si>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</si>
  <si>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</si>
  <si>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</si>
  <si>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</si>
  <si>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</si>
  <si>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</si>
  <si>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</si>
  <si>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</si>
  <si>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</si>
  <si>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</si>
  <si>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</si>
  <si>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</si>
  <si>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</si>
  <si>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</si>
  <si>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</si>
  <si>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</si>
  <si>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</si>
  <si>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</si>
  <si>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</si>
  <si>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</si>
  <si>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</si>
  <si>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</si>
  <si>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</si>
  <si>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</si>
  <si>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</si>
  <si>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</si>
  <si>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</si>
  <si>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</si>
  <si>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</si>
  <si>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</si>
  <si>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</si>
  <si>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</si>
  <si>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35020</t>
  </si>
  <si>
    <t>32844</t>
  </si>
  <si>
    <t>21930</t>
  </si>
  <si>
    <t>21386</t>
  </si>
  <si>
    <t>24514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</si>
  <si>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</si>
  <si>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</si>
  <si>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</si>
  <si>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</si>
  <si>
    <t xml:space="preserve">4. Обоснование ресурсного обеспечения Подпрограммы 2 "Библиотечное дело ЗАТО Александровск" </t>
  </si>
  <si>
    <t>Всего по Подпрограмме 2</t>
  </si>
  <si>
    <t>3. Перечень основных мероприятий Подпрограммы 2 "Библиотечное дело ЗАТО Александровск"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</si>
  <si>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</si>
  <si>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1.Организация библиотечного и информационного обслуживания населения</t>
  </si>
  <si>
    <t>Библиотечное, библиографическое и информационне обслуживание пользователей библиотеки</t>
  </si>
  <si>
    <t>Количество выданных экземпляров библиотечного фонда, ед.</t>
  </si>
  <si>
    <t>Библиотеки ЗАТО Александровск</t>
  </si>
  <si>
    <t>Количество посещений, ед.</t>
  </si>
  <si>
    <t>1.2.</t>
  </si>
  <si>
    <t>Количество работников, чел</t>
  </si>
  <si>
    <t>Итого по задаче 1</t>
  </si>
  <si>
    <t>Задача 2.Сохранение, пополнение и эффективное использование библиотечных фондов</t>
  </si>
  <si>
    <t xml:space="preserve"> Выполнение работы по формированию и учету фондов библиотек</t>
  </si>
  <si>
    <t>2014-2016</t>
  </si>
  <si>
    <t>Количество экземпляров  библиотечного фонда,ед.</t>
  </si>
  <si>
    <t>Выполнение работы по библиографической обработке документов и организации каталогов</t>
  </si>
  <si>
    <t>Количество внесенных библиографических записей в электронный каталог,ед.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</si>
  <si>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</si>
  <si>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Количество документов,ед.</t>
  </si>
  <si>
    <t>Библиографическая обработка документов и создание каталогов</t>
  </si>
  <si>
    <t>Итого по задаче 2</t>
  </si>
  <si>
    <t>Задача 3.Организация культурно-просветительской работы</t>
  </si>
  <si>
    <t>Организация и проведение культурно-массовых мероприятий</t>
  </si>
  <si>
    <t>Итого по задаче 3</t>
  </si>
  <si>
    <t>ВСЕГО по Подпрограмме 2:</t>
  </si>
  <si>
    <t xml:space="preserve">Таблица  № 2 (2)                                                                      </t>
  </si>
  <si>
    <t xml:space="preserve">Таблица № 3 (2)                                                                                    </t>
  </si>
  <si>
    <t xml:space="preserve">Таблица  № 2 (1)                                                                     </t>
  </si>
  <si>
    <t xml:space="preserve">таблица № 3 (1)                                                                                       </t>
  </si>
  <si>
    <t>4. Обоснование ресурсного обеспечения Подпрограммы 3 "Музейное дело ЗАТО Александровск" на 2014-2020 годы</t>
  </si>
  <si>
    <t>Всего по Подпрограмме 3</t>
  </si>
  <si>
    <t>в том числе инвестиции в основной капитал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</si>
  <si>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</si>
  <si>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</si>
  <si>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</si>
  <si>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</si>
  <si>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</si>
  <si>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</si>
  <si>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</si>
  <si>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</si>
  <si>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</si>
  <si>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</si>
  <si>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</si>
  <si>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</si>
  <si>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</si>
  <si>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</si>
  <si>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</si>
  <si>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</si>
  <si>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</si>
  <si>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</si>
  <si>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</si>
  <si>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</si>
  <si>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</si>
  <si>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</si>
  <si>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</si>
  <si>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ВСЕГО по Подпрограмме 3:</t>
  </si>
  <si>
    <t xml:space="preserve">Таблица  № 3 (3)                                                                                      </t>
  </si>
  <si>
    <t>Таблица  № 2 (3)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</si>
</sst>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30" borderId="16" xfId="0" applyFont="1" applyFill="1" applyBorder="1" applyAlignment="1">
      <alignment vertical="center"/>
    </xf>
    <xf numFmtId="4" fontId="18" fillId="30" borderId="16" xfId="0" applyNumberFormat="1" applyFont="1" applyFill="1" applyBorder="1" applyAlignment="1">
      <alignment vertical="center"/>
    </xf>
    <xf numFmtId="4" fontId="18" fillId="30" borderId="17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vertical="center"/>
    </xf>
    <xf numFmtId="4" fontId="18" fillId="30" borderId="10" xfId="0" applyNumberFormat="1" applyFont="1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/>
    </xf>
    <xf numFmtId="0" fontId="19" fillId="30" borderId="18" xfId="0" applyFont="1" applyFill="1" applyBorder="1" applyAlignment="1">
      <alignment vertical="center"/>
    </xf>
    <xf numFmtId="4" fontId="18" fillId="30" borderId="18" xfId="0" applyNumberFormat="1" applyFont="1" applyFill="1" applyBorder="1" applyAlignment="1">
      <alignment vertical="center"/>
    </xf>
    <xf numFmtId="4" fontId="19" fillId="30" borderId="18" xfId="0" applyNumberFormat="1" applyFont="1" applyFill="1" applyBorder="1" applyAlignment="1">
      <alignment vertical="center"/>
    </xf>
    <xf numFmtId="4" fontId="19" fillId="30" borderId="19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4" fontId="7" fillId="31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8" fillId="30" borderId="15" xfId="0" applyNumberFormat="1" applyFont="1" applyFill="1" applyBorder="1" applyAlignment="1">
      <alignment horizontal="center" vertical="center" wrapText="1"/>
    </xf>
    <xf numFmtId="4" fontId="8" fillId="30" borderId="21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5" xfId="0" applyNumberFormat="1" applyFont="1" applyFill="1" applyBorder="1" applyAlignment="1">
      <alignment horizontal="left" vertical="center" wrapText="1"/>
    </xf>
    <xf numFmtId="2" fontId="12" fillId="30" borderId="21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20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2" fontId="7" fillId="30" borderId="15" xfId="0" applyNumberFormat="1" applyFont="1" applyFill="1" applyBorder="1" applyAlignment="1">
      <alignment horizontal="center" vertical="center"/>
    </xf>
    <xf numFmtId="2" fontId="7" fillId="30" borderId="21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8" fillId="30" borderId="15" xfId="0" applyNumberFormat="1" applyFont="1" applyFill="1" applyBorder="1" applyAlignment="1">
      <alignment horizontal="center" vertical="center"/>
    </xf>
    <xf numFmtId="4" fontId="8" fillId="30" borderId="21" xfId="0" applyNumberFormat="1" applyFont="1" applyFill="1" applyBorder="1" applyAlignment="1">
      <alignment horizontal="center" vertical="center"/>
    </xf>
    <xf numFmtId="4" fontId="8" fillId="30" borderId="11" xfId="0" applyNumberFormat="1" applyFont="1" applyFill="1" applyBorder="1" applyAlignment="1">
      <alignment horizontal="center" vertical="center"/>
    </xf>
    <xf numFmtId="0" fontId="17" fillId="30" borderId="22" xfId="0" applyNumberFormat="1" applyFont="1" applyFill="1" applyBorder="1" applyAlignment="1">
      <alignment horizontal="center" vertical="center" wrapText="1"/>
    </xf>
    <xf numFmtId="0" fontId="17" fillId="30" borderId="25" xfId="0" applyNumberFormat="1" applyFont="1" applyFill="1" applyBorder="1" applyAlignment="1">
      <alignment horizontal="center" vertical="center" wrapText="1"/>
    </xf>
    <xf numFmtId="0" fontId="17" fillId="30" borderId="13" xfId="0" applyNumberFormat="1" applyFont="1" applyFill="1" applyBorder="1" applyAlignment="1">
      <alignment horizontal="center" vertical="center" wrapText="1"/>
    </xf>
    <xf numFmtId="0" fontId="18" fillId="30" borderId="26" xfId="0" applyNumberFormat="1" applyFont="1" applyFill="1" applyBorder="1" applyAlignment="1">
      <alignment horizontal="center" vertical="center" wrapText="1"/>
    </xf>
    <xf numFmtId="0" fontId="18" fillId="30" borderId="27" xfId="0" applyNumberFormat="1" applyFont="1" applyFill="1" applyBorder="1" applyAlignment="1">
      <alignment horizontal="center" vertical="center" wrapText="1"/>
    </xf>
    <xf numFmtId="0" fontId="18" fillId="30" borderId="28" xfId="0" applyNumberFormat="1" applyFont="1" applyFill="1" applyBorder="1" applyAlignment="1">
      <alignment horizontal="center" vertical="center" wrapText="1"/>
    </xf>
    <xf numFmtId="0" fontId="17" fillId="30" borderId="16" xfId="0" applyNumberFormat="1" applyFont="1" applyFill="1" applyBorder="1" applyAlignment="1">
      <alignment horizontal="center" vertical="center" wrapText="1"/>
    </xf>
    <xf numFmtId="0" fontId="17" fillId="30" borderId="10" xfId="0" applyNumberFormat="1" applyFont="1" applyFill="1" applyBorder="1" applyAlignment="1">
      <alignment horizontal="center" vertical="center" wrapText="1"/>
    </xf>
    <xf numFmtId="0" fontId="17" fillId="30" borderId="18" xfId="0" applyNumberFormat="1" applyFont="1" applyFill="1" applyBorder="1" applyAlignment="1">
      <alignment horizontal="center" vertical="center" wrapText="1"/>
    </xf>
    <xf numFmtId="2" fontId="12" fillId="30" borderId="24" xfId="0" applyNumberFormat="1" applyFont="1" applyFill="1" applyBorder="1" applyAlignment="1">
      <alignment horizontal="left" vertical="center" wrapText="1"/>
    </xf>
    <xf numFmtId="2" fontId="12" fillId="30" borderId="29" xfId="0" applyNumberFormat="1" applyFont="1" applyFill="1" applyBorder="1" applyAlignment="1">
      <alignment horizontal="left" vertical="center" wrapText="1"/>
    </xf>
    <xf numFmtId="2" fontId="12" fillId="30" borderId="30" xfId="0" applyNumberFormat="1" applyFont="1" applyFill="1" applyBorder="1" applyAlignment="1">
      <alignment horizontal="left" vertical="center" wrapText="1"/>
    </xf>
    <xf numFmtId="0" fontId="19" fillId="30" borderId="14" xfId="0" applyFont="1" applyFill="1" applyBorder="1" applyAlignment="1">
      <alignment horizontal="left" vertical="center"/>
    </xf>
    <xf numFmtId="0" fontId="19" fillId="30" borderId="20" xfId="0" applyFont="1" applyFill="1" applyBorder="1" applyAlignment="1">
      <alignment horizontal="left" vertical="center"/>
    </xf>
    <xf numFmtId="0" fontId="19" fillId="30" borderId="31" xfId="0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8" fillId="30" borderId="23" xfId="0" applyNumberFormat="1" applyFont="1" applyFill="1" applyBorder="1" applyAlignment="1">
      <alignment horizontal="center" vertical="center"/>
    </xf>
    <xf numFmtId="4" fontId="8" fillId="30" borderId="0" xfId="0" applyNumberFormat="1" applyFont="1" applyFill="1" applyBorder="1" applyAlignment="1">
      <alignment horizontal="center" vertical="center"/>
    </xf>
    <xf numFmtId="4" fontId="8" fillId="30" borderId="32" xfId="0" applyNumberFormat="1" applyFont="1" applyFill="1" applyBorder="1" applyAlignment="1">
      <alignment horizontal="center" vertical="center"/>
    </xf>
    <xf numFmtId="2" fontId="7" fillId="30" borderId="24" xfId="0" applyNumberFormat="1" applyFont="1" applyFill="1" applyBorder="1" applyAlignment="1">
      <alignment horizontal="center" vertical="center"/>
    </xf>
    <xf numFmtId="2" fontId="7" fillId="30" borderId="29" xfId="0" applyNumberFormat="1" applyFont="1" applyFill="1" applyBorder="1" applyAlignment="1">
      <alignment horizontal="center" vertical="center"/>
    </xf>
    <xf numFmtId="2" fontId="7" fillId="30" borderId="30" xfId="0" applyNumberFormat="1" applyFont="1" applyFill="1" applyBorder="1" applyAlignment="1">
      <alignment horizontal="center" vertical="center"/>
    </xf>
    <xf numFmtId="0" fontId="17" fillId="30" borderId="15" xfId="0" applyNumberFormat="1" applyFont="1" applyFill="1" applyBorder="1" applyAlignment="1">
      <alignment horizontal="center" vertical="center" wrapText="1"/>
    </xf>
    <xf numFmtId="0" fontId="17" fillId="30" borderId="21" xfId="0" applyNumberFormat="1" applyFont="1" applyFill="1" applyBorder="1" applyAlignment="1">
      <alignment horizontal="center" vertical="center" wrapText="1"/>
    </xf>
    <xf numFmtId="0" fontId="17" fillId="30" borderId="11" xfId="0" applyNumberFormat="1" applyFont="1" applyFill="1" applyBorder="1" applyAlignment="1">
      <alignment horizontal="center" vertical="center" wrapText="1"/>
    </xf>
    <xf numFmtId="0" fontId="18" fillId="30" borderId="15" xfId="0" applyNumberFormat="1" applyFont="1" applyFill="1" applyBorder="1" applyAlignment="1">
      <alignment horizontal="center" vertical="center" wrapText="1"/>
    </xf>
    <xf numFmtId="0" fontId="18" fillId="30" borderId="21" xfId="0" applyNumberFormat="1" applyFont="1" applyFill="1" applyBorder="1" applyAlignment="1">
      <alignment horizontal="center" vertical="center" wrapText="1"/>
    </xf>
    <xf numFmtId="0" fontId="18" fillId="30" borderId="11" xfId="0" applyNumberFormat="1" applyFont="1" applyFill="1" applyBorder="1" applyAlignment="1">
      <alignment horizontal="center" vertical="center" wrapText="1"/>
    </xf>
    <xf numFmtId="2" fontId="12" fillId="30" borderId="22" xfId="0" applyNumberFormat="1" applyFont="1" applyFill="1" applyBorder="1" applyAlignment="1">
      <alignment horizontal="left" vertical="center" wrapText="1"/>
    </xf>
    <xf numFmtId="2" fontId="12" fillId="30" borderId="25" xfId="0" applyNumberFormat="1" applyFont="1" applyFill="1" applyBorder="1" applyAlignment="1">
      <alignment horizontal="left" vertical="center" wrapText="1"/>
    </xf>
    <xf numFmtId="2" fontId="12" fillId="30" borderId="13" xfId="0" applyNumberFormat="1" applyFont="1" applyFill="1" applyBorder="1" applyAlignment="1">
      <alignment horizontal="left" vertical="center" wrapText="1"/>
    </xf>
    <xf numFmtId="0" fontId="19" fillId="30" borderId="14" xfId="0" applyFont="1" applyFill="1" applyBorder="1" applyAlignment="1">
      <alignment horizontal="center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left" vertical="center" wrapText="1"/>
    </xf>
    <xf numFmtId="2" fontId="7" fillId="0" borderId="29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5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4" fontId="7" fillId="0" borderId="3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3091_5764814815\&#1050;&#1086;&#1087;&#1080;&#1103;%202%20&#1041;&#1080;&#1073;&#1083;&#1080;&#1086;&#1090;&#1077;&#1095;&#1085;&#1086;&#1077;%20&#1076;&#1077;&#1083;&#1086;%2020.10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3091_5764814815\&#1050;&#1086;&#1087;&#1080;&#1103;%203%20&#1052;&#1091;&#1079;&#1077;&#1081;&#1085;&#1086;&#1077;%20&#1076;&#1077;&#1083;&#1086;%2019.10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2">
          <cell r="F72">
            <v>50166870</v>
          </cell>
          <cell r="G72">
            <v>48176381.82000001</v>
          </cell>
          <cell r="H72">
            <v>48469840.33</v>
          </cell>
          <cell r="I72">
            <v>49656295.13</v>
          </cell>
          <cell r="J72">
            <v>49394476.71</v>
          </cell>
          <cell r="K72">
            <v>49470174.25</v>
          </cell>
          <cell r="L72">
            <v>49470174.25</v>
          </cell>
        </row>
        <row r="73">
          <cell r="F73">
            <v>3342945.69</v>
          </cell>
          <cell r="G73">
            <v>2448681</v>
          </cell>
          <cell r="H73">
            <v>2442571.87</v>
          </cell>
          <cell r="I73">
            <v>5264533.7299999995</v>
          </cell>
          <cell r="J73">
            <v>4808283.09</v>
          </cell>
          <cell r="K73">
            <v>441612.48</v>
          </cell>
          <cell r="L73">
            <v>441612.48</v>
          </cell>
        </row>
        <row r="74">
          <cell r="G74">
            <v>13320</v>
          </cell>
          <cell r="H74">
            <v>63113</v>
          </cell>
          <cell r="I74">
            <v>34010.51</v>
          </cell>
          <cell r="J74">
            <v>0</v>
          </cell>
          <cell r="K74">
            <v>0</v>
          </cell>
          <cell r="L74">
            <v>0</v>
          </cell>
        </row>
        <row r="75">
          <cell r="H75">
            <v>85000</v>
          </cell>
          <cell r="I75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8">
          <cell r="G78">
            <v>12978696.45</v>
          </cell>
          <cell r="H78">
            <v>13119814.439999998</v>
          </cell>
          <cell r="I78">
            <v>14316564.29</v>
          </cell>
          <cell r="J78">
            <v>14098861.93</v>
          </cell>
          <cell r="K78">
            <v>14421646.93</v>
          </cell>
          <cell r="L78">
            <v>14421646.93</v>
          </cell>
        </row>
        <row r="79">
          <cell r="H79">
            <v>582512</v>
          </cell>
          <cell r="I79">
            <v>1316946.22</v>
          </cell>
          <cell r="J79">
            <v>1156011.0699999998</v>
          </cell>
        </row>
        <row r="81">
          <cell r="F81">
            <v>92037.14</v>
          </cell>
          <cell r="G81">
            <v>106000</v>
          </cell>
          <cell r="H81">
            <v>128429.5</v>
          </cell>
          <cell r="I81">
            <v>216866</v>
          </cell>
          <cell r="J81">
            <v>106000</v>
          </cell>
          <cell r="K81">
            <v>106000</v>
          </cell>
          <cell r="L81">
            <v>106000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115" zoomScaleSheetLayoutView="115" zoomScalePageLayoutView="0" workbookViewId="0" topLeftCell="A1">
      <selection activeCell="C17" sqref="C17"/>
    </sheetView>
  </sheetViews>
  <sheetFormatPr defaultColWidth="9.140625" defaultRowHeight="15"/>
  <cols>
    <col min="1" max="1" width="32.57421875" style="23" customWidth="1"/>
    <col min="2" max="2" width="18.421875" style="23" customWidth="1"/>
    <col min="3" max="8" width="15.421875" style="23" customWidth="1"/>
    <col min="9" max="9" width="15.140625" style="23" customWidth="1"/>
    <col min="10" max="16384" width="9.140625" style="23" customWidth="1"/>
  </cols>
  <sheetData>
    <row r="1" spans="5:10" ht="15.75">
      <c r="E1" s="24"/>
      <c r="G1" s="76" t="s">
        <v>112</v>
      </c>
      <c r="H1" s="76"/>
      <c r="I1" s="76"/>
      <c r="J1" s="25"/>
    </row>
    <row r="3" spans="1:9" ht="15.75">
      <c r="A3" s="77" t="s">
        <v>53</v>
      </c>
      <c r="B3" s="77"/>
      <c r="C3" s="77"/>
      <c r="D3" s="77"/>
      <c r="E3" s="77"/>
      <c r="F3" s="77"/>
      <c r="G3" s="77"/>
      <c r="H3" s="77"/>
      <c r="I3" s="77"/>
    </row>
    <row r="5" spans="1:9" ht="15.75">
      <c r="A5" s="78" t="s">
        <v>10</v>
      </c>
      <c r="B5" s="80" t="s">
        <v>11</v>
      </c>
      <c r="C5" s="82" t="s">
        <v>12</v>
      </c>
      <c r="D5" s="82"/>
      <c r="E5" s="82"/>
      <c r="F5" s="82"/>
      <c r="G5" s="82"/>
      <c r="H5" s="82"/>
      <c r="I5" s="82"/>
    </row>
    <row r="6" spans="1:9" ht="15.75">
      <c r="A6" s="79"/>
      <c r="B6" s="81"/>
      <c r="C6" s="28">
        <v>2014</v>
      </c>
      <c r="D6" s="28">
        <v>2015</v>
      </c>
      <c r="E6" s="28">
        <v>2016</v>
      </c>
      <c r="F6" s="28">
        <v>2017</v>
      </c>
      <c r="G6" s="28">
        <v>2018</v>
      </c>
      <c r="H6" s="28">
        <v>2019</v>
      </c>
      <c r="I6" s="29">
        <v>2020</v>
      </c>
    </row>
    <row r="7" spans="1:9" ht="15.75">
      <c r="A7" s="26">
        <v>1</v>
      </c>
      <c r="B7" s="27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9">
        <v>9</v>
      </c>
    </row>
    <row r="8" spans="1:9" ht="30" customHeight="1">
      <c r="A8" s="30" t="s">
        <v>36</v>
      </c>
      <c r="B8" s="31">
        <f>B10+B11+B12+B13</f>
        <v>1242948527.2600002</v>
      </c>
      <c r="C8" s="31">
        <f aca="true" t="shared" si="0" ref="C8:I8">C10+C11+C12+C13</f>
        <v>169671123.63000003</v>
      </c>
      <c r="D8" s="31">
        <f t="shared" si="0"/>
        <v>166832058.4</v>
      </c>
      <c r="E8" s="31">
        <f t="shared" si="0"/>
        <v>178151552.88</v>
      </c>
      <c r="F8" s="31">
        <f t="shared" si="0"/>
        <v>198175051.31</v>
      </c>
      <c r="G8" s="31">
        <f t="shared" si="0"/>
        <v>182765558.54000002</v>
      </c>
      <c r="H8" s="31">
        <f t="shared" si="0"/>
        <v>173705091.25</v>
      </c>
      <c r="I8" s="31">
        <f t="shared" si="0"/>
        <v>173648091.25</v>
      </c>
    </row>
    <row r="9" spans="1:9" ht="30" customHeight="1">
      <c r="A9" s="70" t="s">
        <v>13</v>
      </c>
      <c r="B9" s="71"/>
      <c r="C9" s="71"/>
      <c r="D9" s="71"/>
      <c r="E9" s="71"/>
      <c r="F9" s="71"/>
      <c r="G9" s="71"/>
      <c r="H9" s="71"/>
      <c r="I9" s="72"/>
    </row>
    <row r="10" spans="1:9" ht="30" customHeight="1">
      <c r="A10" s="32" t="s">
        <v>14</v>
      </c>
      <c r="B10" s="31">
        <f>C10+D10+E10+F10+G10+H10+I10</f>
        <v>1149406499.65</v>
      </c>
      <c r="C10" s="33">
        <f>C17</f>
        <v>160117960.24</v>
      </c>
      <c r="D10" s="33">
        <f aca="true" t="shared" si="1" ref="D10:I10">D17</f>
        <v>154661265.49</v>
      </c>
      <c r="E10" s="33">
        <f t="shared" si="1"/>
        <v>163350077.13</v>
      </c>
      <c r="F10" s="33">
        <f t="shared" si="1"/>
        <v>174996715.06</v>
      </c>
      <c r="G10" s="33">
        <f t="shared" si="1"/>
        <v>164905074.27</v>
      </c>
      <c r="H10" s="33">
        <f t="shared" si="1"/>
        <v>165716203.73</v>
      </c>
      <c r="I10" s="33">
        <f t="shared" si="1"/>
        <v>165659203.73</v>
      </c>
    </row>
    <row r="11" spans="1:9" ht="30" customHeight="1">
      <c r="A11" s="32" t="s">
        <v>15</v>
      </c>
      <c r="B11" s="31">
        <f>C11+D11+E11+F11+G11+H11+I11</f>
        <v>44184516.88000001</v>
      </c>
      <c r="C11" s="33">
        <f>C18</f>
        <v>4344894.3100000005</v>
      </c>
      <c r="D11" s="33">
        <f aca="true" t="shared" si="2" ref="D11:I11">D18</f>
        <v>5597215</v>
      </c>
      <c r="E11" s="33">
        <f t="shared" si="2"/>
        <v>6483560.13</v>
      </c>
      <c r="F11" s="33">
        <f t="shared" si="2"/>
        <v>12817408.13</v>
      </c>
      <c r="G11" s="33">
        <f t="shared" si="2"/>
        <v>11574884.27</v>
      </c>
      <c r="H11" s="33">
        <f t="shared" si="2"/>
        <v>1683277.52</v>
      </c>
      <c r="I11" s="33">
        <f t="shared" si="2"/>
        <v>1683277.52</v>
      </c>
    </row>
    <row r="12" spans="1:9" ht="30" customHeight="1">
      <c r="A12" s="32" t="s">
        <v>16</v>
      </c>
      <c r="B12" s="31">
        <f>C12+D12+E12+F12+G12+H12+I12</f>
        <v>50000</v>
      </c>
      <c r="C12" s="33">
        <f>C19</f>
        <v>0</v>
      </c>
      <c r="D12" s="33">
        <f aca="true" t="shared" si="3" ref="D12:I12">D19</f>
        <v>0</v>
      </c>
      <c r="E12" s="33">
        <f t="shared" si="3"/>
        <v>0</v>
      </c>
      <c r="F12" s="33">
        <f t="shared" si="3"/>
        <v>50000</v>
      </c>
      <c r="G12" s="33">
        <f t="shared" si="3"/>
        <v>0</v>
      </c>
      <c r="H12" s="33">
        <f t="shared" si="3"/>
        <v>0</v>
      </c>
      <c r="I12" s="33">
        <f t="shared" si="3"/>
        <v>0</v>
      </c>
    </row>
    <row r="13" spans="1:9" ht="30" customHeight="1">
      <c r="A13" s="32" t="s">
        <v>17</v>
      </c>
      <c r="B13" s="31">
        <f>C13+D13+E13+F13+G13+H13+I13</f>
        <v>49307510.730000004</v>
      </c>
      <c r="C13" s="33">
        <f>C20</f>
        <v>5208269.08</v>
      </c>
      <c r="D13" s="33">
        <f aca="true" t="shared" si="4" ref="D13:I13">D20</f>
        <v>6573577.91</v>
      </c>
      <c r="E13" s="33">
        <f t="shared" si="4"/>
        <v>8317915.62</v>
      </c>
      <c r="F13" s="33">
        <f t="shared" si="4"/>
        <v>10310928.120000001</v>
      </c>
      <c r="G13" s="33">
        <f t="shared" si="4"/>
        <v>6285600</v>
      </c>
      <c r="H13" s="33">
        <f t="shared" si="4"/>
        <v>6305610</v>
      </c>
      <c r="I13" s="33">
        <f t="shared" si="4"/>
        <v>6305610</v>
      </c>
    </row>
    <row r="14" spans="1:9" ht="30" customHeight="1">
      <c r="A14" s="73" t="s">
        <v>18</v>
      </c>
      <c r="B14" s="74"/>
      <c r="C14" s="74"/>
      <c r="D14" s="74"/>
      <c r="E14" s="74"/>
      <c r="F14" s="74"/>
      <c r="G14" s="74"/>
      <c r="H14" s="74"/>
      <c r="I14" s="75"/>
    </row>
    <row r="15" spans="1:9" ht="63" customHeight="1">
      <c r="A15" s="34" t="s">
        <v>30</v>
      </c>
      <c r="B15" s="31">
        <f>B17+B18+B19+B20</f>
        <v>1242948527.2600002</v>
      </c>
      <c r="C15" s="31">
        <f aca="true" t="shared" si="5" ref="C15:I15">C17+C18+C19+C20</f>
        <v>169671123.63000003</v>
      </c>
      <c r="D15" s="31">
        <f t="shared" si="5"/>
        <v>166832058.4</v>
      </c>
      <c r="E15" s="31">
        <f t="shared" si="5"/>
        <v>178151552.88</v>
      </c>
      <c r="F15" s="31">
        <f t="shared" si="5"/>
        <v>198175051.31</v>
      </c>
      <c r="G15" s="31">
        <f t="shared" si="5"/>
        <v>182765558.54000002</v>
      </c>
      <c r="H15" s="31">
        <f t="shared" si="5"/>
        <v>173705091.25</v>
      </c>
      <c r="I15" s="31">
        <f t="shared" si="5"/>
        <v>173648091.25</v>
      </c>
    </row>
    <row r="16" spans="1:9" ht="30" customHeight="1">
      <c r="A16" s="70" t="s">
        <v>13</v>
      </c>
      <c r="B16" s="71"/>
      <c r="C16" s="71"/>
      <c r="D16" s="71"/>
      <c r="E16" s="71"/>
      <c r="F16" s="71"/>
      <c r="G16" s="71"/>
      <c r="H16" s="71"/>
      <c r="I16" s="72"/>
    </row>
    <row r="17" spans="1:9" ht="30" customHeight="1">
      <c r="A17" s="32" t="s">
        <v>14</v>
      </c>
      <c r="B17" s="31">
        <f>C17+D17+E17+F17+G17+H17+I17</f>
        <v>1149406499.65</v>
      </c>
      <c r="C17" s="33">
        <f>'табл.3(1)'!F84</f>
        <v>160117960.24</v>
      </c>
      <c r="D17" s="33">
        <f>'табл.3(1)'!G84</f>
        <v>154661265.49</v>
      </c>
      <c r="E17" s="33">
        <f>'табл.3(1)'!H84</f>
        <v>163350077.13</v>
      </c>
      <c r="F17" s="33">
        <f>'табл.3(1)'!I84</f>
        <v>174996715.06</v>
      </c>
      <c r="G17" s="33">
        <f>'табл.3(1)'!J84</f>
        <v>164905074.27</v>
      </c>
      <c r="H17" s="33">
        <f>'табл.3(1)'!K84</f>
        <v>165716203.73</v>
      </c>
      <c r="I17" s="33">
        <f>'табл.3(1)'!L84</f>
        <v>165659203.73</v>
      </c>
    </row>
    <row r="18" spans="1:9" ht="30" customHeight="1">
      <c r="A18" s="32" t="s">
        <v>15</v>
      </c>
      <c r="B18" s="31">
        <f>C18+D18+E18+F18+G18+H18+I18</f>
        <v>44184516.88000001</v>
      </c>
      <c r="C18" s="33">
        <f>'табл.3(1)'!F85</f>
        <v>4344894.3100000005</v>
      </c>
      <c r="D18" s="33">
        <f>'табл.3(1)'!G85</f>
        <v>5597215</v>
      </c>
      <c r="E18" s="33">
        <f>'табл.3(1)'!H85</f>
        <v>6483560.13</v>
      </c>
      <c r="F18" s="33">
        <f>'табл.3(1)'!I85</f>
        <v>12817408.13</v>
      </c>
      <c r="G18" s="33">
        <f>'табл.3(1)'!J85</f>
        <v>11574884.27</v>
      </c>
      <c r="H18" s="33">
        <f>'табл.3(1)'!K85</f>
        <v>1683277.52</v>
      </c>
      <c r="I18" s="33">
        <f>'табл.3(1)'!L85</f>
        <v>1683277.52</v>
      </c>
    </row>
    <row r="19" spans="1:9" ht="30" customHeight="1">
      <c r="A19" s="32" t="s">
        <v>16</v>
      </c>
      <c r="B19" s="31">
        <f>C19+D19+E19+F19+G19+H19+I19</f>
        <v>50000</v>
      </c>
      <c r="C19" s="33">
        <v>0</v>
      </c>
      <c r="D19" s="33">
        <v>0</v>
      </c>
      <c r="E19" s="33">
        <v>0</v>
      </c>
      <c r="F19" s="33">
        <f>'табл.3(1)'!I86</f>
        <v>50000</v>
      </c>
      <c r="G19" s="33">
        <v>0</v>
      </c>
      <c r="H19" s="33">
        <v>0</v>
      </c>
      <c r="I19" s="33">
        <v>0</v>
      </c>
    </row>
    <row r="20" spans="1:9" ht="30" customHeight="1">
      <c r="A20" s="32" t="s">
        <v>17</v>
      </c>
      <c r="B20" s="31">
        <f>C20+D20+E20+F20+G20+H20+I20</f>
        <v>49307510.730000004</v>
      </c>
      <c r="C20" s="33">
        <f>'табл.3(1)'!F87</f>
        <v>5208269.08</v>
      </c>
      <c r="D20" s="33">
        <f>'табл.3(1)'!G87</f>
        <v>6573577.91</v>
      </c>
      <c r="E20" s="33">
        <f>'табл.3(1)'!H87</f>
        <v>8317915.62</v>
      </c>
      <c r="F20" s="33">
        <f>'табл.3(1)'!I87</f>
        <v>10310928.120000001</v>
      </c>
      <c r="G20" s="33">
        <f>'табл.3(1)'!J87</f>
        <v>6285600</v>
      </c>
      <c r="H20" s="33">
        <f>'табл.3(1)'!K87</f>
        <v>6305610</v>
      </c>
      <c r="I20" s="33">
        <f>'табл.3(1)'!L87</f>
        <v>6305610</v>
      </c>
    </row>
    <row r="22" ht="15.75">
      <c r="A22" s="35"/>
    </row>
    <row r="23" ht="15.75">
      <c r="A23" s="36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115" zoomScalePageLayoutView="0" workbookViewId="0" topLeftCell="A51">
      <selection activeCell="F84" sqref="F84:L87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7" width="8.421875" style="10" customWidth="1"/>
    <col min="18" max="18" width="8.57421875" style="10" customWidth="1"/>
    <col min="19" max="19" width="8.421875" style="10" customWidth="1"/>
    <col min="20" max="20" width="8.8515625" style="10" customWidth="1"/>
    <col min="21" max="21" width="24.421875" style="10" customWidth="1"/>
    <col min="22" max="16384" width="9.140625" style="10" customWidth="1"/>
  </cols>
  <sheetData>
    <row r="1" s="8" customFormat="1" ht="14.25" customHeight="1">
      <c r="U1" s="9" t="s">
        <v>113</v>
      </c>
    </row>
    <row r="2" spans="1:21" s="8" customFormat="1" ht="12.75">
      <c r="A2" s="135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1.5" customHeight="1">
      <c r="A3" s="117" t="s">
        <v>7</v>
      </c>
      <c r="B3" s="118" t="s">
        <v>19</v>
      </c>
      <c r="C3" s="118" t="s">
        <v>20</v>
      </c>
      <c r="D3" s="118" t="s">
        <v>10</v>
      </c>
      <c r="E3" s="118" t="s">
        <v>27</v>
      </c>
      <c r="F3" s="118"/>
      <c r="G3" s="118"/>
      <c r="H3" s="118"/>
      <c r="I3" s="118"/>
      <c r="J3" s="118"/>
      <c r="K3" s="118"/>
      <c r="L3" s="118"/>
      <c r="M3" s="117" t="s">
        <v>56</v>
      </c>
      <c r="N3" s="117"/>
      <c r="O3" s="117"/>
      <c r="P3" s="117"/>
      <c r="Q3" s="117"/>
      <c r="R3" s="117"/>
      <c r="S3" s="117"/>
      <c r="T3" s="117"/>
      <c r="U3" s="115" t="s">
        <v>28</v>
      </c>
    </row>
    <row r="4" spans="1:21" ht="21" customHeight="1">
      <c r="A4" s="117"/>
      <c r="B4" s="118"/>
      <c r="C4" s="118"/>
      <c r="D4" s="118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16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119" t="s">
        <v>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1:21" ht="12.75">
      <c r="A7" s="12">
        <v>1</v>
      </c>
      <c r="B7" s="111" t="s">
        <v>38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1:21" ht="12.75">
      <c r="A8" s="124" t="s">
        <v>5</v>
      </c>
      <c r="B8" s="128" t="s">
        <v>51</v>
      </c>
      <c r="C8" s="89" t="s">
        <v>55</v>
      </c>
      <c r="D8" s="13" t="s">
        <v>4</v>
      </c>
      <c r="E8" s="14">
        <f>E10+E11+E12+E13</f>
        <v>15835395.07</v>
      </c>
      <c r="F8" s="14">
        <f aca="true" t="shared" si="0" ref="F8:L8">F10+F11+F12+F13</f>
        <v>1729980</v>
      </c>
      <c r="G8" s="14">
        <f t="shared" si="0"/>
        <v>1670815.07</v>
      </c>
      <c r="H8" s="14">
        <f t="shared" si="0"/>
        <v>2299220</v>
      </c>
      <c r="I8" s="14">
        <f t="shared" si="0"/>
        <v>4923720</v>
      </c>
      <c r="J8" s="14">
        <f t="shared" si="0"/>
        <v>1756220</v>
      </c>
      <c r="K8" s="14">
        <f t="shared" si="0"/>
        <v>1756220</v>
      </c>
      <c r="L8" s="14">
        <f t="shared" si="0"/>
        <v>1699220</v>
      </c>
      <c r="M8" s="96" t="s">
        <v>47</v>
      </c>
      <c r="N8" s="83" t="s">
        <v>33</v>
      </c>
      <c r="O8" s="83" t="s">
        <v>33</v>
      </c>
      <c r="P8" s="83" t="s">
        <v>33</v>
      </c>
      <c r="Q8" s="83" t="s">
        <v>33</v>
      </c>
      <c r="R8" s="83" t="s">
        <v>33</v>
      </c>
      <c r="S8" s="83" t="s">
        <v>33</v>
      </c>
      <c r="T8" s="83" t="s">
        <v>33</v>
      </c>
      <c r="U8" s="92" t="s">
        <v>31</v>
      </c>
    </row>
    <row r="9" spans="1:21" ht="12.75">
      <c r="A9" s="124"/>
      <c r="B9" s="128"/>
      <c r="C9" s="90"/>
      <c r="D9" s="86" t="s">
        <v>29</v>
      </c>
      <c r="E9" s="87"/>
      <c r="F9" s="87"/>
      <c r="G9" s="87"/>
      <c r="H9" s="87"/>
      <c r="I9" s="87"/>
      <c r="J9" s="87"/>
      <c r="K9" s="87"/>
      <c r="L9" s="88"/>
      <c r="M9" s="136"/>
      <c r="N9" s="110"/>
      <c r="O9" s="110"/>
      <c r="P9" s="110"/>
      <c r="Q9" s="110"/>
      <c r="R9" s="110"/>
      <c r="S9" s="110"/>
      <c r="T9" s="110"/>
      <c r="U9" s="122"/>
    </row>
    <row r="10" spans="1:21" ht="12.75">
      <c r="A10" s="124"/>
      <c r="B10" s="128"/>
      <c r="C10" s="90"/>
      <c r="D10" s="15" t="s">
        <v>2</v>
      </c>
      <c r="E10" s="16">
        <f>SUM(F10:L10)</f>
        <v>15835395.07</v>
      </c>
      <c r="F10" s="16">
        <v>1729980</v>
      </c>
      <c r="G10" s="16">
        <v>1670815.07</v>
      </c>
      <c r="H10" s="16">
        <v>2299220</v>
      </c>
      <c r="I10" s="16">
        <f>4866720+57000</f>
        <v>4923720</v>
      </c>
      <c r="J10" s="16">
        <f>1699220+57000</f>
        <v>1756220</v>
      </c>
      <c r="K10" s="16">
        <f>1699220+57000</f>
        <v>1756220</v>
      </c>
      <c r="L10" s="16">
        <f>L16</f>
        <v>1699220</v>
      </c>
      <c r="M10" s="136"/>
      <c r="N10" s="110"/>
      <c r="O10" s="110"/>
      <c r="P10" s="110"/>
      <c r="Q10" s="110"/>
      <c r="R10" s="110"/>
      <c r="S10" s="110"/>
      <c r="T10" s="110"/>
      <c r="U10" s="122"/>
    </row>
    <row r="11" spans="1:21" ht="12.75">
      <c r="A11" s="124"/>
      <c r="B11" s="128"/>
      <c r="C11" s="90"/>
      <c r="D11" s="15" t="s">
        <v>0</v>
      </c>
      <c r="E11" s="16">
        <f>SUM(F11:L11)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36"/>
      <c r="N11" s="110"/>
      <c r="O11" s="110"/>
      <c r="P11" s="110"/>
      <c r="Q11" s="110"/>
      <c r="R11" s="110"/>
      <c r="S11" s="110"/>
      <c r="T11" s="110"/>
      <c r="U11" s="122"/>
    </row>
    <row r="12" spans="1:21" ht="12.75">
      <c r="A12" s="124"/>
      <c r="B12" s="128"/>
      <c r="C12" s="90"/>
      <c r="D12" s="15" t="s">
        <v>1</v>
      </c>
      <c r="E12" s="16">
        <f>SUM(F12:L12)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36"/>
      <c r="N12" s="110"/>
      <c r="O12" s="110"/>
      <c r="P12" s="110"/>
      <c r="Q12" s="110"/>
      <c r="R12" s="110"/>
      <c r="S12" s="110"/>
      <c r="T12" s="110"/>
      <c r="U12" s="122"/>
    </row>
    <row r="13" spans="1:21" ht="12.75">
      <c r="A13" s="124"/>
      <c r="B13" s="128"/>
      <c r="C13" s="91"/>
      <c r="D13" s="15" t="s">
        <v>3</v>
      </c>
      <c r="E13" s="16">
        <f>SUM(F13:L13)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37"/>
      <c r="N13" s="114"/>
      <c r="O13" s="114"/>
      <c r="P13" s="114"/>
      <c r="Q13" s="114"/>
      <c r="R13" s="114"/>
      <c r="S13" s="114"/>
      <c r="T13" s="114"/>
      <c r="U13" s="123"/>
    </row>
    <row r="14" spans="1:21" ht="12.75">
      <c r="A14" s="102"/>
      <c r="B14" s="129" t="s">
        <v>39</v>
      </c>
      <c r="C14" s="89"/>
      <c r="D14" s="13" t="s">
        <v>4</v>
      </c>
      <c r="E14" s="14">
        <f>E16+E17+E18+E19</f>
        <v>15835395.07</v>
      </c>
      <c r="F14" s="14">
        <f aca="true" t="shared" si="1" ref="F14:L14">F16+F17+F18+F19</f>
        <v>1729980</v>
      </c>
      <c r="G14" s="14">
        <f t="shared" si="1"/>
        <v>1670815.07</v>
      </c>
      <c r="H14" s="14">
        <f t="shared" si="1"/>
        <v>2299220</v>
      </c>
      <c r="I14" s="14">
        <f t="shared" si="1"/>
        <v>4923720</v>
      </c>
      <c r="J14" s="14">
        <f t="shared" si="1"/>
        <v>1756220</v>
      </c>
      <c r="K14" s="14">
        <f t="shared" si="1"/>
        <v>1756220</v>
      </c>
      <c r="L14" s="14">
        <f t="shared" si="1"/>
        <v>1699220</v>
      </c>
      <c r="M14" s="96"/>
      <c r="N14" s="83"/>
      <c r="O14" s="83"/>
      <c r="P14" s="83"/>
      <c r="Q14" s="83"/>
      <c r="R14" s="83"/>
      <c r="S14" s="83"/>
      <c r="T14" s="83"/>
      <c r="U14" s="92"/>
    </row>
    <row r="15" spans="1:21" ht="12.75">
      <c r="A15" s="103"/>
      <c r="B15" s="130"/>
      <c r="C15" s="90"/>
      <c r="D15" s="86" t="s">
        <v>29</v>
      </c>
      <c r="E15" s="87"/>
      <c r="F15" s="87"/>
      <c r="G15" s="87"/>
      <c r="H15" s="87"/>
      <c r="I15" s="87"/>
      <c r="J15" s="87"/>
      <c r="K15" s="87"/>
      <c r="L15" s="88"/>
      <c r="M15" s="97"/>
      <c r="N15" s="84"/>
      <c r="O15" s="84"/>
      <c r="P15" s="84"/>
      <c r="Q15" s="84"/>
      <c r="R15" s="84"/>
      <c r="S15" s="84"/>
      <c r="T15" s="84"/>
      <c r="U15" s="84"/>
    </row>
    <row r="16" spans="1:21" ht="12.75">
      <c r="A16" s="103"/>
      <c r="B16" s="130"/>
      <c r="C16" s="90"/>
      <c r="D16" s="15" t="s">
        <v>2</v>
      </c>
      <c r="E16" s="16">
        <f>SUM(F16:L16)</f>
        <v>15835395.07</v>
      </c>
      <c r="F16" s="16">
        <f aca="true" t="shared" si="2" ref="F16:K16">F10</f>
        <v>1729980</v>
      </c>
      <c r="G16" s="16">
        <f t="shared" si="2"/>
        <v>1670815.07</v>
      </c>
      <c r="H16" s="16">
        <f t="shared" si="2"/>
        <v>2299220</v>
      </c>
      <c r="I16" s="16">
        <f t="shared" si="2"/>
        <v>4923720</v>
      </c>
      <c r="J16" s="16">
        <f t="shared" si="2"/>
        <v>1756220</v>
      </c>
      <c r="K16" s="16">
        <f t="shared" si="2"/>
        <v>1756220</v>
      </c>
      <c r="L16" s="16">
        <v>1699220</v>
      </c>
      <c r="M16" s="97"/>
      <c r="N16" s="84"/>
      <c r="O16" s="84"/>
      <c r="P16" s="84"/>
      <c r="Q16" s="84"/>
      <c r="R16" s="84"/>
      <c r="S16" s="84"/>
      <c r="T16" s="84"/>
      <c r="U16" s="84"/>
    </row>
    <row r="17" spans="1:21" ht="12.75">
      <c r="A17" s="103"/>
      <c r="B17" s="130"/>
      <c r="C17" s="90"/>
      <c r="D17" s="15" t="s">
        <v>0</v>
      </c>
      <c r="E17" s="16">
        <f>SUM(F17:L17)</f>
        <v>0</v>
      </c>
      <c r="F17" s="16">
        <f aca="true" t="shared" si="3" ref="F17:L19">F11</f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97"/>
      <c r="N17" s="84"/>
      <c r="O17" s="84"/>
      <c r="P17" s="84"/>
      <c r="Q17" s="84"/>
      <c r="R17" s="84"/>
      <c r="S17" s="84"/>
      <c r="T17" s="84"/>
      <c r="U17" s="84"/>
    </row>
    <row r="18" spans="1:21" ht="12.75">
      <c r="A18" s="103"/>
      <c r="B18" s="130"/>
      <c r="C18" s="90"/>
      <c r="D18" s="15" t="s">
        <v>1</v>
      </c>
      <c r="E18" s="16">
        <f>SUM(F18:L18)</f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97"/>
      <c r="N18" s="84"/>
      <c r="O18" s="84"/>
      <c r="P18" s="84"/>
      <c r="Q18" s="84"/>
      <c r="R18" s="84"/>
      <c r="S18" s="84"/>
      <c r="T18" s="84"/>
      <c r="U18" s="84"/>
    </row>
    <row r="19" spans="1:21" ht="12.75">
      <c r="A19" s="104"/>
      <c r="B19" s="131"/>
      <c r="C19" s="91"/>
      <c r="D19" s="15" t="s">
        <v>3</v>
      </c>
      <c r="E19" s="16">
        <f>SUM(F19:L19)</f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97"/>
      <c r="N19" s="84"/>
      <c r="O19" s="84"/>
      <c r="P19" s="84"/>
      <c r="Q19" s="84"/>
      <c r="R19" s="84"/>
      <c r="S19" s="84"/>
      <c r="T19" s="84"/>
      <c r="U19" s="84"/>
    </row>
    <row r="20" spans="1:21" ht="15">
      <c r="A20" s="3">
        <v>2</v>
      </c>
      <c r="B20" s="125" t="s">
        <v>40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7"/>
      <c r="M20" s="98"/>
      <c r="N20" s="85"/>
      <c r="O20" s="85"/>
      <c r="P20" s="85"/>
      <c r="Q20" s="85"/>
      <c r="R20" s="85"/>
      <c r="S20" s="85"/>
      <c r="T20" s="85"/>
      <c r="U20" s="85"/>
    </row>
    <row r="21" spans="1:21" ht="12.75">
      <c r="A21" s="102" t="s">
        <v>6</v>
      </c>
      <c r="B21" s="99" t="s">
        <v>52</v>
      </c>
      <c r="C21" s="89" t="s">
        <v>61</v>
      </c>
      <c r="D21" s="13" t="s">
        <v>4</v>
      </c>
      <c r="E21" s="14">
        <f>E23+E24+E25+E26</f>
        <v>189525217.22000003</v>
      </c>
      <c r="F21" s="14">
        <f aca="true" t="shared" si="4" ref="F21:L21">F23+F24+F25+F26</f>
        <v>65942807.34</v>
      </c>
      <c r="G21" s="14">
        <f t="shared" si="4"/>
        <v>61212738.510000005</v>
      </c>
      <c r="H21" s="14">
        <f t="shared" si="4"/>
        <v>62369671.37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08" t="s">
        <v>46</v>
      </c>
      <c r="N21" s="110">
        <v>711</v>
      </c>
      <c r="O21" s="110">
        <v>815</v>
      </c>
      <c r="P21" s="110">
        <v>825</v>
      </c>
      <c r="Q21" s="110">
        <v>0</v>
      </c>
      <c r="R21" s="110">
        <v>0</v>
      </c>
      <c r="S21" s="110">
        <v>0</v>
      </c>
      <c r="T21" s="110">
        <v>0</v>
      </c>
      <c r="U21" s="92" t="s">
        <v>48</v>
      </c>
    </row>
    <row r="22" spans="1:21" ht="12.75" customHeight="1">
      <c r="A22" s="84"/>
      <c r="B22" s="97"/>
      <c r="C22" s="90"/>
      <c r="D22" s="86" t="s">
        <v>29</v>
      </c>
      <c r="E22" s="87"/>
      <c r="F22" s="87"/>
      <c r="G22" s="87"/>
      <c r="H22" s="87"/>
      <c r="I22" s="87"/>
      <c r="J22" s="87"/>
      <c r="K22" s="87"/>
      <c r="L22" s="88"/>
      <c r="M22" s="109"/>
      <c r="N22" s="84"/>
      <c r="O22" s="84"/>
      <c r="P22" s="84"/>
      <c r="Q22" s="84"/>
      <c r="R22" s="84"/>
      <c r="S22" s="84"/>
      <c r="T22" s="84"/>
      <c r="U22" s="84"/>
    </row>
    <row r="23" spans="1:21" ht="12.75" customHeight="1">
      <c r="A23" s="84"/>
      <c r="B23" s="97"/>
      <c r="C23" s="90"/>
      <c r="D23" s="15" t="s">
        <v>2</v>
      </c>
      <c r="E23" s="16">
        <f>SUM(F23:L23)</f>
        <v>181498372.92000002</v>
      </c>
      <c r="F23" s="16">
        <v>63783452.34</v>
      </c>
      <c r="G23" s="16">
        <f>56914601.34+480455.57+994511.6</f>
        <v>58389568.510000005</v>
      </c>
      <c r="H23" s="16">
        <f>59193848.25+131503.82</f>
        <v>59325352.07</v>
      </c>
      <c r="I23" s="16"/>
      <c r="J23" s="16"/>
      <c r="K23" s="16"/>
      <c r="L23" s="16"/>
      <c r="M23" s="109"/>
      <c r="N23" s="84"/>
      <c r="O23" s="84"/>
      <c r="P23" s="84"/>
      <c r="Q23" s="84"/>
      <c r="R23" s="84"/>
      <c r="S23" s="84"/>
      <c r="T23" s="84"/>
      <c r="U23" s="84"/>
    </row>
    <row r="24" spans="1:21" ht="12.75" customHeight="1">
      <c r="A24" s="84"/>
      <c r="B24" s="97"/>
      <c r="C24" s="90"/>
      <c r="D24" s="15" t="s">
        <v>0</v>
      </c>
      <c r="E24" s="16">
        <f>SUM(F24:L24)</f>
        <v>699944</v>
      </c>
      <c r="F24" s="16">
        <v>222820</v>
      </c>
      <c r="G24" s="16">
        <v>212870</v>
      </c>
      <c r="H24" s="16">
        <v>264254</v>
      </c>
      <c r="I24" s="16">
        <v>0</v>
      </c>
      <c r="J24" s="16">
        <v>0</v>
      </c>
      <c r="K24" s="16">
        <v>0</v>
      </c>
      <c r="L24" s="16">
        <v>0</v>
      </c>
      <c r="M24" s="109"/>
      <c r="N24" s="84"/>
      <c r="O24" s="84"/>
      <c r="P24" s="84"/>
      <c r="Q24" s="84"/>
      <c r="R24" s="84"/>
      <c r="S24" s="84"/>
      <c r="T24" s="84"/>
      <c r="U24" s="84"/>
    </row>
    <row r="25" spans="1:21" ht="12.75" customHeight="1">
      <c r="A25" s="84"/>
      <c r="B25" s="97"/>
      <c r="C25" s="90"/>
      <c r="D25" s="15" t="s">
        <v>1</v>
      </c>
      <c r="E25" s="16">
        <f>SUM(F25:L25)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09"/>
      <c r="N25" s="84"/>
      <c r="O25" s="84"/>
      <c r="P25" s="84"/>
      <c r="Q25" s="84"/>
      <c r="R25" s="84"/>
      <c r="S25" s="84"/>
      <c r="T25" s="84"/>
      <c r="U25" s="84"/>
    </row>
    <row r="26" spans="1:21" ht="12.75" customHeight="1">
      <c r="A26" s="85"/>
      <c r="B26" s="98"/>
      <c r="C26" s="91"/>
      <c r="D26" s="15" t="s">
        <v>3</v>
      </c>
      <c r="E26" s="16">
        <f>SUM(F26:L26)</f>
        <v>7326900.3</v>
      </c>
      <c r="F26" s="16">
        <v>1936535</v>
      </c>
      <c r="G26" s="16">
        <f>2240260+250040+120000</f>
        <v>2610300</v>
      </c>
      <c r="H26" s="16">
        <f>2498800+166540+114725.3</f>
        <v>2780065.3</v>
      </c>
      <c r="I26" s="16"/>
      <c r="J26" s="16"/>
      <c r="K26" s="16"/>
      <c r="L26" s="16"/>
      <c r="M26" s="109"/>
      <c r="N26" s="84"/>
      <c r="O26" s="84"/>
      <c r="P26" s="84"/>
      <c r="Q26" s="84"/>
      <c r="R26" s="84"/>
      <c r="S26" s="84"/>
      <c r="T26" s="84"/>
      <c r="U26" s="85"/>
    </row>
    <row r="27" spans="1:21" ht="12.75" customHeight="1">
      <c r="A27" s="102" t="s">
        <v>41</v>
      </c>
      <c r="B27" s="99" t="s">
        <v>62</v>
      </c>
      <c r="C27" s="89" t="s">
        <v>63</v>
      </c>
      <c r="D27" s="13" t="s">
        <v>4</v>
      </c>
      <c r="E27" s="14">
        <f>E29+E30+E31+E32</f>
        <v>3750796.88</v>
      </c>
      <c r="F27" s="14">
        <f aca="true" t="shared" si="5" ref="F27:L27">F29+F30+F31+F32</f>
        <v>782555</v>
      </c>
      <c r="G27" s="14">
        <f t="shared" si="5"/>
        <v>553116.88</v>
      </c>
      <c r="H27" s="14">
        <f t="shared" si="5"/>
        <v>505125</v>
      </c>
      <c r="I27" s="14">
        <f t="shared" si="5"/>
        <v>470000</v>
      </c>
      <c r="J27" s="14">
        <f t="shared" si="5"/>
        <v>480000</v>
      </c>
      <c r="K27" s="14">
        <f t="shared" si="5"/>
        <v>480000</v>
      </c>
      <c r="L27" s="14">
        <f t="shared" si="5"/>
        <v>480000</v>
      </c>
      <c r="M27" s="154" t="s">
        <v>82</v>
      </c>
      <c r="N27" s="83" t="s">
        <v>81</v>
      </c>
      <c r="O27" s="83" t="s">
        <v>81</v>
      </c>
      <c r="P27" s="83" t="s">
        <v>81</v>
      </c>
      <c r="Q27" s="83">
        <v>0</v>
      </c>
      <c r="R27" s="83">
        <v>0</v>
      </c>
      <c r="S27" s="83">
        <v>0</v>
      </c>
      <c r="T27" s="83">
        <v>0</v>
      </c>
      <c r="U27" s="92" t="s">
        <v>48</v>
      </c>
    </row>
    <row r="28" spans="1:21" ht="12.75" customHeight="1">
      <c r="A28" s="84"/>
      <c r="B28" s="97"/>
      <c r="C28" s="90"/>
      <c r="D28" s="86" t="s">
        <v>29</v>
      </c>
      <c r="E28" s="87"/>
      <c r="F28" s="87"/>
      <c r="G28" s="87"/>
      <c r="H28" s="87"/>
      <c r="I28" s="87"/>
      <c r="J28" s="87"/>
      <c r="K28" s="87"/>
      <c r="L28" s="88"/>
      <c r="M28" s="155"/>
      <c r="N28" s="84"/>
      <c r="O28" s="84"/>
      <c r="P28" s="84"/>
      <c r="Q28" s="84"/>
      <c r="R28" s="84"/>
      <c r="S28" s="84"/>
      <c r="T28" s="84"/>
      <c r="U28" s="84"/>
    </row>
    <row r="29" spans="1:21" ht="44.25" customHeight="1">
      <c r="A29" s="84"/>
      <c r="B29" s="97"/>
      <c r="C29" s="90"/>
      <c r="D29" s="15" t="s">
        <v>2</v>
      </c>
      <c r="E29" s="16">
        <f>SUM(F29:L29)</f>
        <v>273581.88</v>
      </c>
      <c r="F29" s="16">
        <v>203040</v>
      </c>
      <c r="G29" s="16">
        <v>25416.88</v>
      </c>
      <c r="H29" s="16">
        <v>45125</v>
      </c>
      <c r="I29" s="16">
        <v>0</v>
      </c>
      <c r="J29" s="16">
        <v>0</v>
      </c>
      <c r="K29" s="16">
        <v>0</v>
      </c>
      <c r="L29" s="16">
        <v>0</v>
      </c>
      <c r="M29" s="155"/>
      <c r="N29" s="84"/>
      <c r="O29" s="84"/>
      <c r="P29" s="84"/>
      <c r="Q29" s="84"/>
      <c r="R29" s="84"/>
      <c r="S29" s="84"/>
      <c r="T29" s="84"/>
      <c r="U29" s="84"/>
    </row>
    <row r="30" spans="1:21" ht="12.75" customHeight="1">
      <c r="A30" s="84"/>
      <c r="B30" s="97"/>
      <c r="C30" s="90"/>
      <c r="D30" s="15" t="s">
        <v>0</v>
      </c>
      <c r="E30" s="16">
        <f>SUM(F30:L30)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08" t="s">
        <v>65</v>
      </c>
      <c r="N30" s="83">
        <v>0</v>
      </c>
      <c r="O30" s="83">
        <v>0</v>
      </c>
      <c r="P30" s="83">
        <v>0</v>
      </c>
      <c r="Q30" s="83">
        <v>161</v>
      </c>
      <c r="R30" s="83">
        <v>167</v>
      </c>
      <c r="S30" s="83">
        <v>173</v>
      </c>
      <c r="T30" s="83">
        <v>173</v>
      </c>
      <c r="U30" s="84"/>
    </row>
    <row r="31" spans="1:21" ht="12.75" customHeight="1">
      <c r="A31" s="84"/>
      <c r="B31" s="97"/>
      <c r="C31" s="90"/>
      <c r="D31" s="15" t="s">
        <v>1</v>
      </c>
      <c r="E31" s="16">
        <f>SUM(F31:L31)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09"/>
      <c r="N31" s="84"/>
      <c r="O31" s="84"/>
      <c r="P31" s="84"/>
      <c r="Q31" s="84"/>
      <c r="R31" s="84"/>
      <c r="S31" s="84"/>
      <c r="T31" s="84"/>
      <c r="U31" s="84"/>
    </row>
    <row r="32" spans="1:21" ht="12.75" customHeight="1">
      <c r="A32" s="85"/>
      <c r="B32" s="98"/>
      <c r="C32" s="91"/>
      <c r="D32" s="15" t="s">
        <v>3</v>
      </c>
      <c r="E32" s="16">
        <f>SUM(F32:L32)</f>
        <v>3477215</v>
      </c>
      <c r="F32" s="16">
        <v>579515</v>
      </c>
      <c r="G32" s="16">
        <v>527700</v>
      </c>
      <c r="H32" s="16">
        <v>460000</v>
      </c>
      <c r="I32" s="16">
        <v>470000</v>
      </c>
      <c r="J32" s="16">
        <v>480000</v>
      </c>
      <c r="K32" s="16">
        <v>480000</v>
      </c>
      <c r="L32" s="16">
        <v>480000</v>
      </c>
      <c r="M32" s="109"/>
      <c r="N32" s="84"/>
      <c r="O32" s="84"/>
      <c r="P32" s="84"/>
      <c r="Q32" s="84"/>
      <c r="R32" s="84"/>
      <c r="S32" s="84"/>
      <c r="T32" s="84"/>
      <c r="U32" s="85"/>
    </row>
    <row r="33" spans="1:21" ht="12.75" customHeight="1">
      <c r="A33" s="102" t="s">
        <v>57</v>
      </c>
      <c r="B33" s="99" t="s">
        <v>64</v>
      </c>
      <c r="C33" s="89" t="s">
        <v>60</v>
      </c>
      <c r="D33" s="13" t="s">
        <v>4</v>
      </c>
      <c r="E33" s="14">
        <f>E35+E36+E37+E38</f>
        <v>179761063.17</v>
      </c>
      <c r="F33" s="14">
        <f aca="true" t="shared" si="6" ref="F33:L33">F35+F36+F37+F38</f>
        <v>0</v>
      </c>
      <c r="G33" s="14">
        <f t="shared" si="6"/>
        <v>0</v>
      </c>
      <c r="H33" s="14">
        <f t="shared" si="6"/>
        <v>0</v>
      </c>
      <c r="I33" s="14">
        <f t="shared" si="6"/>
        <v>45250573.22</v>
      </c>
      <c r="J33" s="14">
        <f t="shared" si="6"/>
        <v>44850253.39</v>
      </c>
      <c r="K33" s="14">
        <f t="shared" si="6"/>
        <v>44830118.28</v>
      </c>
      <c r="L33" s="14">
        <f t="shared" si="6"/>
        <v>44830118.28</v>
      </c>
      <c r="M33" s="108" t="s">
        <v>66</v>
      </c>
      <c r="N33" s="83">
        <v>0</v>
      </c>
      <c r="O33" s="83">
        <v>0</v>
      </c>
      <c r="P33" s="83">
        <v>0</v>
      </c>
      <c r="Q33" s="105" t="s">
        <v>74</v>
      </c>
      <c r="R33" s="105" t="s">
        <v>75</v>
      </c>
      <c r="S33" s="105" t="s">
        <v>76</v>
      </c>
      <c r="T33" s="105" t="s">
        <v>76</v>
      </c>
      <c r="U33" s="92" t="s">
        <v>48</v>
      </c>
    </row>
    <row r="34" spans="1:21" ht="12.75" customHeight="1">
      <c r="A34" s="84"/>
      <c r="B34" s="97"/>
      <c r="C34" s="90"/>
      <c r="D34" s="86" t="s">
        <v>29</v>
      </c>
      <c r="E34" s="87"/>
      <c r="F34" s="87"/>
      <c r="G34" s="87"/>
      <c r="H34" s="87"/>
      <c r="I34" s="87"/>
      <c r="J34" s="87"/>
      <c r="K34" s="87"/>
      <c r="L34" s="88"/>
      <c r="M34" s="109"/>
      <c r="N34" s="84"/>
      <c r="O34" s="84"/>
      <c r="P34" s="84"/>
      <c r="Q34" s="106"/>
      <c r="R34" s="106"/>
      <c r="S34" s="106"/>
      <c r="T34" s="106"/>
      <c r="U34" s="84"/>
    </row>
    <row r="35" spans="1:21" ht="12.75" customHeight="1">
      <c r="A35" s="84"/>
      <c r="B35" s="97"/>
      <c r="C35" s="90"/>
      <c r="D35" s="15" t="s">
        <v>2</v>
      </c>
      <c r="E35" s="16">
        <f>SUM(F35:L35)</f>
        <v>171054485.7</v>
      </c>
      <c r="F35" s="16">
        <v>0</v>
      </c>
      <c r="G35" s="16">
        <v>0</v>
      </c>
      <c r="H35" s="16">
        <v>0</v>
      </c>
      <c r="I35" s="16">
        <v>42755613.08</v>
      </c>
      <c r="J35" s="16">
        <v>42460732.06</v>
      </c>
      <c r="K35" s="16">
        <v>42919070.28</v>
      </c>
      <c r="L35" s="16">
        <v>42919070.28</v>
      </c>
      <c r="M35" s="109"/>
      <c r="N35" s="84"/>
      <c r="O35" s="84"/>
      <c r="P35" s="84"/>
      <c r="Q35" s="106"/>
      <c r="R35" s="106"/>
      <c r="S35" s="106"/>
      <c r="T35" s="106"/>
      <c r="U35" s="84"/>
    </row>
    <row r="36" spans="1:21" ht="12.75" customHeight="1">
      <c r="A36" s="84"/>
      <c r="B36" s="97"/>
      <c r="C36" s="90"/>
      <c r="D36" s="15" t="s">
        <v>0</v>
      </c>
      <c r="E36" s="16">
        <f>SUM(F36:L36)</f>
        <v>1035300.47</v>
      </c>
      <c r="F36" s="16">
        <v>0</v>
      </c>
      <c r="G36" s="16">
        <v>0</v>
      </c>
      <c r="H36" s="16">
        <v>0</v>
      </c>
      <c r="I36" s="16">
        <v>544827.14</v>
      </c>
      <c r="J36" s="16">
        <v>490473.33</v>
      </c>
      <c r="K36" s="16">
        <v>0</v>
      </c>
      <c r="L36" s="16">
        <v>0</v>
      </c>
      <c r="M36" s="109"/>
      <c r="N36" s="84"/>
      <c r="O36" s="84"/>
      <c r="P36" s="84"/>
      <c r="Q36" s="106"/>
      <c r="R36" s="106"/>
      <c r="S36" s="106"/>
      <c r="T36" s="106"/>
      <c r="U36" s="84"/>
    </row>
    <row r="37" spans="1:21" ht="12.75" customHeight="1">
      <c r="A37" s="84"/>
      <c r="B37" s="97"/>
      <c r="C37" s="90"/>
      <c r="D37" s="15" t="s">
        <v>1</v>
      </c>
      <c r="E37" s="16">
        <f>SUM(F37:L37)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09"/>
      <c r="N37" s="84"/>
      <c r="O37" s="84"/>
      <c r="P37" s="84"/>
      <c r="Q37" s="106"/>
      <c r="R37" s="106"/>
      <c r="S37" s="106"/>
      <c r="T37" s="106"/>
      <c r="U37" s="84"/>
    </row>
    <row r="38" spans="1:21" ht="12.75" customHeight="1">
      <c r="A38" s="85"/>
      <c r="B38" s="98"/>
      <c r="C38" s="91"/>
      <c r="D38" s="15" t="s">
        <v>3</v>
      </c>
      <c r="E38" s="16">
        <f>SUM(F38:L38)</f>
        <v>7671277</v>
      </c>
      <c r="F38" s="16">
        <v>0</v>
      </c>
      <c r="G38" s="16">
        <v>0</v>
      </c>
      <c r="H38" s="16">
        <v>0</v>
      </c>
      <c r="I38" s="16">
        <f>1888048+62085</f>
        <v>1950133</v>
      </c>
      <c r="J38" s="16">
        <v>1899048</v>
      </c>
      <c r="K38" s="16">
        <v>1911048</v>
      </c>
      <c r="L38" s="16">
        <v>1911048</v>
      </c>
      <c r="M38" s="109"/>
      <c r="N38" s="85"/>
      <c r="O38" s="85"/>
      <c r="P38" s="85"/>
      <c r="Q38" s="107"/>
      <c r="R38" s="107"/>
      <c r="S38" s="107"/>
      <c r="T38" s="107"/>
      <c r="U38" s="85"/>
    </row>
    <row r="39" spans="1:21" ht="12.75" customHeight="1">
      <c r="A39" s="102" t="s">
        <v>58</v>
      </c>
      <c r="B39" s="99" t="s">
        <v>80</v>
      </c>
      <c r="C39" s="89" t="s">
        <v>60</v>
      </c>
      <c r="D39" s="13" t="s">
        <v>4</v>
      </c>
      <c r="E39" s="14">
        <f>E41+E42+E43+E44</f>
        <v>84113376.58</v>
      </c>
      <c r="F39" s="14">
        <f aca="true" t="shared" si="7" ref="F39:L39">F41+F42+F43+F44</f>
        <v>0</v>
      </c>
      <c r="G39" s="14">
        <f t="shared" si="7"/>
        <v>0</v>
      </c>
      <c r="H39" s="14">
        <f t="shared" si="7"/>
        <v>0</v>
      </c>
      <c r="I39" s="14">
        <f t="shared" si="7"/>
        <v>21189850.91</v>
      </c>
      <c r="J39" s="14">
        <f t="shared" si="7"/>
        <v>21343349.09</v>
      </c>
      <c r="K39" s="14">
        <f t="shared" si="7"/>
        <v>20790088.29</v>
      </c>
      <c r="L39" s="14">
        <f t="shared" si="7"/>
        <v>20790088.29</v>
      </c>
      <c r="M39" s="108" t="s">
        <v>66</v>
      </c>
      <c r="N39" s="83">
        <v>0</v>
      </c>
      <c r="O39" s="83">
        <v>0</v>
      </c>
      <c r="P39" s="83">
        <v>0</v>
      </c>
      <c r="Q39" s="105" t="s">
        <v>77</v>
      </c>
      <c r="R39" s="105" t="s">
        <v>78</v>
      </c>
      <c r="S39" s="105" t="s">
        <v>79</v>
      </c>
      <c r="T39" s="105" t="s">
        <v>79</v>
      </c>
      <c r="U39" s="92" t="s">
        <v>48</v>
      </c>
    </row>
    <row r="40" spans="1:21" ht="12.75" customHeight="1">
      <c r="A40" s="84"/>
      <c r="B40" s="97"/>
      <c r="C40" s="90"/>
      <c r="D40" s="86" t="s">
        <v>29</v>
      </c>
      <c r="E40" s="87"/>
      <c r="F40" s="87"/>
      <c r="G40" s="87"/>
      <c r="H40" s="87"/>
      <c r="I40" s="87"/>
      <c r="J40" s="87"/>
      <c r="K40" s="87"/>
      <c r="L40" s="88"/>
      <c r="M40" s="109"/>
      <c r="N40" s="84"/>
      <c r="O40" s="84"/>
      <c r="P40" s="84"/>
      <c r="Q40" s="106"/>
      <c r="R40" s="106"/>
      <c r="S40" s="106"/>
      <c r="T40" s="106"/>
      <c r="U40" s="84"/>
    </row>
    <row r="41" spans="1:21" ht="12.75" customHeight="1">
      <c r="A41" s="84"/>
      <c r="B41" s="97"/>
      <c r="C41" s="90"/>
      <c r="D41" s="15" t="s">
        <v>2</v>
      </c>
      <c r="E41" s="16">
        <f>SUM(F41:L41)</f>
        <v>79766098.58</v>
      </c>
      <c r="F41" s="16">
        <v>0</v>
      </c>
      <c r="G41" s="16">
        <v>0</v>
      </c>
      <c r="H41" s="16">
        <v>0</v>
      </c>
      <c r="I41" s="16">
        <v>19798606.49</v>
      </c>
      <c r="J41" s="16">
        <v>20216439.51</v>
      </c>
      <c r="K41" s="16">
        <v>19875526.29</v>
      </c>
      <c r="L41" s="16">
        <v>19875526.29</v>
      </c>
      <c r="M41" s="109"/>
      <c r="N41" s="84"/>
      <c r="O41" s="84"/>
      <c r="P41" s="84"/>
      <c r="Q41" s="106"/>
      <c r="R41" s="106"/>
      <c r="S41" s="106"/>
      <c r="T41" s="106"/>
      <c r="U41" s="84"/>
    </row>
    <row r="42" spans="1:21" ht="12.75" customHeight="1">
      <c r="A42" s="84"/>
      <c r="B42" s="97"/>
      <c r="C42" s="90"/>
      <c r="D42" s="15" t="s">
        <v>0</v>
      </c>
      <c r="E42" s="16">
        <f>SUM(F42:L42)</f>
        <v>465135</v>
      </c>
      <c r="F42" s="16">
        <v>0</v>
      </c>
      <c r="G42" s="16">
        <v>0</v>
      </c>
      <c r="H42" s="16">
        <v>0</v>
      </c>
      <c r="I42" s="16">
        <v>244777.42</v>
      </c>
      <c r="J42" s="16">
        <v>220357.58</v>
      </c>
      <c r="K42" s="16">
        <v>0</v>
      </c>
      <c r="L42" s="16">
        <v>0</v>
      </c>
      <c r="M42" s="109"/>
      <c r="N42" s="84"/>
      <c r="O42" s="84"/>
      <c r="P42" s="84"/>
      <c r="Q42" s="106"/>
      <c r="R42" s="106"/>
      <c r="S42" s="106"/>
      <c r="T42" s="106"/>
      <c r="U42" s="84"/>
    </row>
    <row r="43" spans="1:21" ht="12.75" customHeight="1">
      <c r="A43" s="84"/>
      <c r="B43" s="97"/>
      <c r="C43" s="90"/>
      <c r="D43" s="15" t="s">
        <v>1</v>
      </c>
      <c r="E43" s="16">
        <f>SUM(F43:L43)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09"/>
      <c r="N43" s="84"/>
      <c r="O43" s="84"/>
      <c r="P43" s="84"/>
      <c r="Q43" s="106"/>
      <c r="R43" s="106"/>
      <c r="S43" s="106"/>
      <c r="T43" s="106"/>
      <c r="U43" s="84"/>
    </row>
    <row r="44" spans="1:21" ht="12.75" customHeight="1">
      <c r="A44" s="85"/>
      <c r="B44" s="98"/>
      <c r="C44" s="91"/>
      <c r="D44" s="15" t="s">
        <v>3</v>
      </c>
      <c r="E44" s="16">
        <f>SUM(F44:L44)</f>
        <v>3882143</v>
      </c>
      <c r="F44" s="16">
        <v>0</v>
      </c>
      <c r="G44" s="16">
        <v>0</v>
      </c>
      <c r="H44" s="16">
        <v>0</v>
      </c>
      <c r="I44" s="16">
        <f>902552+87915+156000</f>
        <v>1146467</v>
      </c>
      <c r="J44" s="16">
        <v>906552</v>
      </c>
      <c r="K44" s="16">
        <v>914562</v>
      </c>
      <c r="L44" s="16">
        <v>914562</v>
      </c>
      <c r="M44" s="109"/>
      <c r="N44" s="85"/>
      <c r="O44" s="85"/>
      <c r="P44" s="85"/>
      <c r="Q44" s="107"/>
      <c r="R44" s="107"/>
      <c r="S44" s="107"/>
      <c r="T44" s="107"/>
      <c r="U44" s="85"/>
    </row>
    <row r="45" spans="1:21" ht="12.75" customHeight="1">
      <c r="A45" s="151" t="s">
        <v>67</v>
      </c>
      <c r="B45" s="152" t="s">
        <v>68</v>
      </c>
      <c r="C45" s="89" t="s">
        <v>63</v>
      </c>
      <c r="D45" s="13" t="s">
        <v>4</v>
      </c>
      <c r="E45" s="14">
        <f>E47+E48+E49+E50</f>
        <v>4222391.03</v>
      </c>
      <c r="F45" s="14">
        <f aca="true" t="shared" si="8" ref="F45:L45">F47+F48+F49+F50</f>
        <v>0</v>
      </c>
      <c r="G45" s="14">
        <f t="shared" si="8"/>
        <v>0</v>
      </c>
      <c r="H45" s="14">
        <f t="shared" si="8"/>
        <v>0</v>
      </c>
      <c r="I45" s="14">
        <f t="shared" si="8"/>
        <v>1043305.03</v>
      </c>
      <c r="J45" s="14">
        <f t="shared" si="8"/>
        <v>978180</v>
      </c>
      <c r="K45" s="14">
        <f t="shared" si="8"/>
        <v>1100453</v>
      </c>
      <c r="L45" s="14">
        <f t="shared" si="8"/>
        <v>1100453</v>
      </c>
      <c r="M45" s="153"/>
      <c r="N45" s="83">
        <v>0</v>
      </c>
      <c r="O45" s="83">
        <v>0</v>
      </c>
      <c r="P45" s="83">
        <v>0</v>
      </c>
      <c r="Q45" s="105" t="s">
        <v>69</v>
      </c>
      <c r="R45" s="105" t="s">
        <v>70</v>
      </c>
      <c r="S45" s="105" t="s">
        <v>71</v>
      </c>
      <c r="T45" s="105" t="s">
        <v>71</v>
      </c>
      <c r="U45" s="92" t="s">
        <v>48</v>
      </c>
    </row>
    <row r="46" spans="1:21" ht="12.75" customHeight="1">
      <c r="A46" s="84"/>
      <c r="B46" s="97"/>
      <c r="C46" s="84"/>
      <c r="D46" s="86" t="s">
        <v>29</v>
      </c>
      <c r="E46" s="87"/>
      <c r="F46" s="87"/>
      <c r="G46" s="87"/>
      <c r="H46" s="87"/>
      <c r="I46" s="87"/>
      <c r="J46" s="87"/>
      <c r="K46" s="87"/>
      <c r="L46" s="88"/>
      <c r="M46" s="109"/>
      <c r="N46" s="84"/>
      <c r="O46" s="84"/>
      <c r="P46" s="84"/>
      <c r="Q46" s="106"/>
      <c r="R46" s="106"/>
      <c r="S46" s="106"/>
      <c r="T46" s="106"/>
      <c r="U46" s="84"/>
    </row>
    <row r="47" spans="1:21" ht="12.75" customHeight="1">
      <c r="A47" s="84"/>
      <c r="B47" s="97"/>
      <c r="C47" s="84"/>
      <c r="D47" s="15" t="s">
        <v>2</v>
      </c>
      <c r="E47" s="16">
        <f>SUM(F47:L47)</f>
        <v>4222391.03</v>
      </c>
      <c r="F47" s="16">
        <v>0</v>
      </c>
      <c r="G47" s="16">
        <v>0</v>
      </c>
      <c r="H47" s="16">
        <v>0</v>
      </c>
      <c r="I47" s="16">
        <f>1032524+10781.03</f>
        <v>1043305.03</v>
      </c>
      <c r="J47" s="16">
        <v>978180</v>
      </c>
      <c r="K47" s="16">
        <v>1100453</v>
      </c>
      <c r="L47" s="16">
        <v>1100453</v>
      </c>
      <c r="M47" s="109"/>
      <c r="N47" s="84"/>
      <c r="O47" s="84"/>
      <c r="P47" s="84"/>
      <c r="Q47" s="106"/>
      <c r="R47" s="106"/>
      <c r="S47" s="106"/>
      <c r="T47" s="106"/>
      <c r="U47" s="84"/>
    </row>
    <row r="48" spans="1:21" ht="12.75" customHeight="1">
      <c r="A48" s="84"/>
      <c r="B48" s="97"/>
      <c r="C48" s="84"/>
      <c r="D48" s="15" t="s">
        <v>0</v>
      </c>
      <c r="E48" s="16">
        <f>SUM(F48:L48)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09"/>
      <c r="N48" s="84"/>
      <c r="O48" s="84"/>
      <c r="P48" s="84"/>
      <c r="Q48" s="106"/>
      <c r="R48" s="106"/>
      <c r="S48" s="106"/>
      <c r="T48" s="106"/>
      <c r="U48" s="84"/>
    </row>
    <row r="49" spans="1:21" ht="12.75" customHeight="1">
      <c r="A49" s="84"/>
      <c r="B49" s="97"/>
      <c r="C49" s="84"/>
      <c r="D49" s="15" t="s">
        <v>1</v>
      </c>
      <c r="E49" s="16">
        <f>SUM(F49:L49)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09"/>
      <c r="N49" s="84"/>
      <c r="O49" s="84"/>
      <c r="P49" s="84"/>
      <c r="Q49" s="106"/>
      <c r="R49" s="106"/>
      <c r="S49" s="106"/>
      <c r="T49" s="106"/>
      <c r="U49" s="84"/>
    </row>
    <row r="50" spans="1:21" ht="12.75" customHeight="1">
      <c r="A50" s="85"/>
      <c r="B50" s="98"/>
      <c r="C50" s="85"/>
      <c r="D50" s="15" t="s">
        <v>3</v>
      </c>
      <c r="E50" s="16">
        <f>SUM(F50:L50)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50"/>
      <c r="N50" s="85"/>
      <c r="O50" s="85"/>
      <c r="P50" s="85"/>
      <c r="Q50" s="107"/>
      <c r="R50" s="107"/>
      <c r="S50" s="107"/>
      <c r="T50" s="107"/>
      <c r="U50" s="85"/>
    </row>
    <row r="51" spans="1:21" ht="12.75">
      <c r="A51" s="102"/>
      <c r="B51" s="129" t="s">
        <v>42</v>
      </c>
      <c r="C51" s="89"/>
      <c r="D51" s="13" t="s">
        <v>4</v>
      </c>
      <c r="E51" s="14">
        <f>E53+E54+E55+E56</f>
        <v>461372844.88000005</v>
      </c>
      <c r="F51" s="14">
        <f>F53+F54+F55+F56</f>
        <v>66725362.34</v>
      </c>
      <c r="G51" s="14">
        <f aca="true" t="shared" si="9" ref="G51:L51">G53+G54+G55+G56</f>
        <v>61765855.39000001</v>
      </c>
      <c r="H51" s="14">
        <f t="shared" si="9"/>
        <v>62874796.37</v>
      </c>
      <c r="I51" s="14">
        <f t="shared" si="9"/>
        <v>67953729.16</v>
      </c>
      <c r="J51" s="14">
        <f t="shared" si="9"/>
        <v>67651782.48</v>
      </c>
      <c r="K51" s="14">
        <f t="shared" si="9"/>
        <v>67200659.57</v>
      </c>
      <c r="L51" s="14">
        <f t="shared" si="9"/>
        <v>67200659.57</v>
      </c>
      <c r="M51" s="108"/>
      <c r="N51" s="83"/>
      <c r="O51" s="83"/>
      <c r="P51" s="83"/>
      <c r="Q51" s="83"/>
      <c r="R51" s="83"/>
      <c r="S51" s="83"/>
      <c r="T51" s="83"/>
      <c r="U51" s="96"/>
    </row>
    <row r="52" spans="1:21" ht="12.75">
      <c r="A52" s="84"/>
      <c r="B52" s="130"/>
      <c r="C52" s="84"/>
      <c r="D52" s="86" t="s">
        <v>29</v>
      </c>
      <c r="E52" s="87"/>
      <c r="F52" s="87"/>
      <c r="G52" s="87"/>
      <c r="H52" s="87"/>
      <c r="I52" s="87"/>
      <c r="J52" s="87"/>
      <c r="K52" s="87"/>
      <c r="L52" s="88"/>
      <c r="M52" s="109"/>
      <c r="N52" s="84"/>
      <c r="O52" s="84"/>
      <c r="P52" s="84"/>
      <c r="Q52" s="84"/>
      <c r="R52" s="84"/>
      <c r="S52" s="84"/>
      <c r="T52" s="84"/>
      <c r="U52" s="97"/>
    </row>
    <row r="53" spans="1:21" ht="12.75">
      <c r="A53" s="84"/>
      <c r="B53" s="130"/>
      <c r="C53" s="84"/>
      <c r="D53" s="15" t="s">
        <v>2</v>
      </c>
      <c r="E53" s="16">
        <f>SUM(F53:L53)</f>
        <v>436814930.11</v>
      </c>
      <c r="F53" s="16">
        <f>F23+F29+F35+F41+F47</f>
        <v>63986492.34</v>
      </c>
      <c r="G53" s="16">
        <f aca="true" t="shared" si="10" ref="G53:L53">G23+G29+G35+G41+G47</f>
        <v>58414985.39000001</v>
      </c>
      <c r="H53" s="16">
        <f t="shared" si="10"/>
        <v>59370477.07</v>
      </c>
      <c r="I53" s="16">
        <f t="shared" si="10"/>
        <v>63597524.599999994</v>
      </c>
      <c r="J53" s="16">
        <f t="shared" si="10"/>
        <v>63655351.57000001</v>
      </c>
      <c r="K53" s="16">
        <f t="shared" si="10"/>
        <v>63895049.57</v>
      </c>
      <c r="L53" s="16">
        <f t="shared" si="10"/>
        <v>63895049.57</v>
      </c>
      <c r="M53" s="109"/>
      <c r="N53" s="84"/>
      <c r="O53" s="84"/>
      <c r="P53" s="84"/>
      <c r="Q53" s="84"/>
      <c r="R53" s="84"/>
      <c r="S53" s="84"/>
      <c r="T53" s="84"/>
      <c r="U53" s="97"/>
    </row>
    <row r="54" spans="1:21" ht="12.75">
      <c r="A54" s="84"/>
      <c r="B54" s="130"/>
      <c r="C54" s="84"/>
      <c r="D54" s="15" t="s">
        <v>0</v>
      </c>
      <c r="E54" s="16">
        <f>SUM(F54:L54)</f>
        <v>2200379.47</v>
      </c>
      <c r="F54" s="16">
        <f aca="true" t="shared" si="11" ref="F54:L54">F24+F30+F36+F42+F48</f>
        <v>222820</v>
      </c>
      <c r="G54" s="16">
        <f t="shared" si="11"/>
        <v>212870</v>
      </c>
      <c r="H54" s="16">
        <f t="shared" si="11"/>
        <v>264254</v>
      </c>
      <c r="I54" s="16">
        <f t="shared" si="11"/>
        <v>789604.56</v>
      </c>
      <c r="J54" s="16">
        <f t="shared" si="11"/>
        <v>710830.91</v>
      </c>
      <c r="K54" s="16">
        <f t="shared" si="11"/>
        <v>0</v>
      </c>
      <c r="L54" s="16">
        <f t="shared" si="11"/>
        <v>0</v>
      </c>
      <c r="M54" s="109"/>
      <c r="N54" s="84"/>
      <c r="O54" s="84"/>
      <c r="P54" s="84"/>
      <c r="Q54" s="84"/>
      <c r="R54" s="84"/>
      <c r="S54" s="84"/>
      <c r="T54" s="84"/>
      <c r="U54" s="97"/>
    </row>
    <row r="55" spans="1:21" ht="12.75">
      <c r="A55" s="84"/>
      <c r="B55" s="130"/>
      <c r="C55" s="84"/>
      <c r="D55" s="15" t="s">
        <v>1</v>
      </c>
      <c r="E55" s="16">
        <f>SUM(F55:L55)</f>
        <v>0</v>
      </c>
      <c r="F55" s="16">
        <f aca="true" t="shared" si="12" ref="F55:L55">F25+F31+F37+F43+F49</f>
        <v>0</v>
      </c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09"/>
      <c r="N55" s="84"/>
      <c r="O55" s="84"/>
      <c r="P55" s="84"/>
      <c r="Q55" s="84"/>
      <c r="R55" s="84"/>
      <c r="S55" s="84"/>
      <c r="T55" s="84"/>
      <c r="U55" s="97"/>
    </row>
    <row r="56" spans="1:21" ht="12.75">
      <c r="A56" s="85"/>
      <c r="B56" s="131"/>
      <c r="C56" s="85"/>
      <c r="D56" s="15" t="s">
        <v>3</v>
      </c>
      <c r="E56" s="16">
        <f>SUM(F56:L56)</f>
        <v>22357535.3</v>
      </c>
      <c r="F56" s="16">
        <f aca="true" t="shared" si="13" ref="F56:L56">F26+F32+F38+F44+F50</f>
        <v>2516050</v>
      </c>
      <c r="G56" s="16">
        <f t="shared" si="13"/>
        <v>3138000</v>
      </c>
      <c r="H56" s="16">
        <f t="shared" si="13"/>
        <v>3240065.3</v>
      </c>
      <c r="I56" s="16">
        <f t="shared" si="13"/>
        <v>3566600</v>
      </c>
      <c r="J56" s="16">
        <f t="shared" si="13"/>
        <v>3285600</v>
      </c>
      <c r="K56" s="16">
        <f t="shared" si="13"/>
        <v>3305610</v>
      </c>
      <c r="L56" s="16">
        <f t="shared" si="13"/>
        <v>3305610</v>
      </c>
      <c r="M56" s="150"/>
      <c r="N56" s="85"/>
      <c r="O56" s="85"/>
      <c r="P56" s="85"/>
      <c r="Q56" s="85"/>
      <c r="R56" s="85"/>
      <c r="S56" s="85"/>
      <c r="T56" s="85"/>
      <c r="U56" s="98"/>
    </row>
    <row r="57" spans="1:21" ht="15">
      <c r="A57" s="5">
        <v>3</v>
      </c>
      <c r="B57" s="93" t="s">
        <v>34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</row>
    <row r="58" spans="1:21" ht="21" customHeight="1">
      <c r="A58" s="124" t="s">
        <v>32</v>
      </c>
      <c r="B58" s="128" t="s">
        <v>59</v>
      </c>
      <c r="C58" s="89" t="s">
        <v>63</v>
      </c>
      <c r="D58" s="13" t="s">
        <v>4</v>
      </c>
      <c r="E58" s="14">
        <f>E60+E61+E62+E63</f>
        <v>739510746.24</v>
      </c>
      <c r="F58" s="14">
        <f>F60+F61+F62+F63</f>
        <v>99267907.16000001</v>
      </c>
      <c r="G58" s="14">
        <f aca="true" t="shared" si="14" ref="G58:L58">G60+G61+G62+G63</f>
        <v>101524928.7</v>
      </c>
      <c r="H58" s="14">
        <f t="shared" si="14"/>
        <v>108043473.24999999</v>
      </c>
      <c r="I58" s="14">
        <f t="shared" si="14"/>
        <v>118401059.71000001</v>
      </c>
      <c r="J58" s="14">
        <f t="shared" si="14"/>
        <v>109776818.06</v>
      </c>
      <c r="K58" s="14">
        <f t="shared" si="14"/>
        <v>101248279.67999999</v>
      </c>
      <c r="L58" s="14">
        <f t="shared" si="14"/>
        <v>101248279.67999999</v>
      </c>
      <c r="M58" s="96" t="s">
        <v>49</v>
      </c>
      <c r="N58" s="102">
        <v>132</v>
      </c>
      <c r="O58" s="102">
        <v>140</v>
      </c>
      <c r="P58" s="102">
        <v>142</v>
      </c>
      <c r="Q58" s="102">
        <v>133</v>
      </c>
      <c r="R58" s="102">
        <v>133</v>
      </c>
      <c r="S58" s="102">
        <v>134</v>
      </c>
      <c r="T58" s="102">
        <v>134</v>
      </c>
      <c r="U58" s="92" t="s">
        <v>50</v>
      </c>
    </row>
    <row r="59" spans="1:21" ht="12.75">
      <c r="A59" s="124"/>
      <c r="B59" s="128"/>
      <c r="C59" s="90"/>
      <c r="D59" s="86" t="s">
        <v>29</v>
      </c>
      <c r="E59" s="87"/>
      <c r="F59" s="87"/>
      <c r="G59" s="87"/>
      <c r="H59" s="87"/>
      <c r="I59" s="87"/>
      <c r="J59" s="87"/>
      <c r="K59" s="87"/>
      <c r="L59" s="88"/>
      <c r="M59" s="136"/>
      <c r="N59" s="103"/>
      <c r="O59" s="103"/>
      <c r="P59" s="103"/>
      <c r="Q59" s="103"/>
      <c r="R59" s="103"/>
      <c r="S59" s="103"/>
      <c r="T59" s="103"/>
      <c r="U59" s="84"/>
    </row>
    <row r="60" spans="1:21" ht="12.75">
      <c r="A60" s="124"/>
      <c r="B60" s="128"/>
      <c r="C60" s="90"/>
      <c r="D60" s="15" t="s">
        <v>2</v>
      </c>
      <c r="E60" s="16">
        <f>SUM(F60:L60)</f>
        <v>689852403.15</v>
      </c>
      <c r="F60" s="16">
        <v>93638712.09</v>
      </c>
      <c r="G60" s="16">
        <f>93937834.31+232556.48</f>
        <v>94170390.79</v>
      </c>
      <c r="H60" s="16">
        <f>101138853.82+141526.24</f>
        <v>101280380.05999999</v>
      </c>
      <c r="I60" s="16">
        <f>104359717.68+730941.51</f>
        <v>105090659.19000001</v>
      </c>
      <c r="J60" s="16">
        <v>98107772.7</v>
      </c>
      <c r="K60" s="16">
        <v>98782244.16</v>
      </c>
      <c r="L60" s="16">
        <v>98782244.16</v>
      </c>
      <c r="M60" s="136"/>
      <c r="N60" s="103"/>
      <c r="O60" s="103"/>
      <c r="P60" s="103"/>
      <c r="Q60" s="103"/>
      <c r="R60" s="103"/>
      <c r="S60" s="103"/>
      <c r="T60" s="103"/>
      <c r="U60" s="84"/>
    </row>
    <row r="61" spans="1:21" ht="12.75">
      <c r="A61" s="124"/>
      <c r="B61" s="128"/>
      <c r="C61" s="90"/>
      <c r="D61" s="15" t="s">
        <v>0</v>
      </c>
      <c r="E61" s="16">
        <f>SUM(F61:L61)</f>
        <v>40207242.36000001</v>
      </c>
      <c r="F61" s="16">
        <v>4122074.31</v>
      </c>
      <c r="G61" s="16">
        <f>5894645-510300</f>
        <v>5384345</v>
      </c>
      <c r="H61" s="16">
        <v>6219306.13</v>
      </c>
      <c r="I61" s="16">
        <f>10035556.54+1504843.98</f>
        <v>11540400.52</v>
      </c>
      <c r="J61" s="16">
        <f>9095778.4+1353266.96</f>
        <v>10449045.36</v>
      </c>
      <c r="K61" s="16">
        <v>1246035.52</v>
      </c>
      <c r="L61" s="16">
        <v>1246035.52</v>
      </c>
      <c r="M61" s="136"/>
      <c r="N61" s="103"/>
      <c r="O61" s="103"/>
      <c r="P61" s="103"/>
      <c r="Q61" s="103"/>
      <c r="R61" s="103"/>
      <c r="S61" s="103"/>
      <c r="T61" s="103"/>
      <c r="U61" s="84"/>
    </row>
    <row r="62" spans="1:21" ht="12.75">
      <c r="A62" s="124"/>
      <c r="B62" s="128"/>
      <c r="C62" s="90"/>
      <c r="D62" s="15" t="s">
        <v>1</v>
      </c>
      <c r="E62" s="16">
        <f>SUM(F62:L62)</f>
        <v>50000</v>
      </c>
      <c r="F62" s="16">
        <v>0</v>
      </c>
      <c r="G62" s="16">
        <v>0</v>
      </c>
      <c r="H62" s="16">
        <v>0</v>
      </c>
      <c r="I62" s="16">
        <v>50000</v>
      </c>
      <c r="J62" s="16">
        <v>0</v>
      </c>
      <c r="K62" s="16">
        <v>0</v>
      </c>
      <c r="L62" s="16">
        <v>0</v>
      </c>
      <c r="M62" s="136"/>
      <c r="N62" s="103"/>
      <c r="O62" s="103"/>
      <c r="P62" s="103"/>
      <c r="Q62" s="103"/>
      <c r="R62" s="103"/>
      <c r="S62" s="103"/>
      <c r="T62" s="103"/>
      <c r="U62" s="84"/>
    </row>
    <row r="63" spans="1:21" ht="12.75">
      <c r="A63" s="124"/>
      <c r="B63" s="128"/>
      <c r="C63" s="91"/>
      <c r="D63" s="15" t="s">
        <v>3</v>
      </c>
      <c r="E63" s="16">
        <f>SUM(F63:L63)</f>
        <v>9401100.73</v>
      </c>
      <c r="F63" s="16">
        <v>1507120.76</v>
      </c>
      <c r="G63" s="16">
        <f>1630060.61+340132.3</f>
        <v>1970192.9100000001</v>
      </c>
      <c r="H63" s="16">
        <f>320000+223787.06</f>
        <v>543787.06</v>
      </c>
      <c r="I63" s="16">
        <f>1220000+500000</f>
        <v>1720000</v>
      </c>
      <c r="J63" s="16">
        <v>1220000</v>
      </c>
      <c r="K63" s="16">
        <v>1220000</v>
      </c>
      <c r="L63" s="16">
        <v>1220000</v>
      </c>
      <c r="M63" s="137"/>
      <c r="N63" s="104"/>
      <c r="O63" s="104"/>
      <c r="P63" s="104"/>
      <c r="Q63" s="104"/>
      <c r="R63" s="104"/>
      <c r="S63" s="104"/>
      <c r="T63" s="104"/>
      <c r="U63" s="85"/>
    </row>
    <row r="64" spans="1:21" ht="12.75" customHeight="1">
      <c r="A64" s="102" t="s">
        <v>43</v>
      </c>
      <c r="B64" s="99" t="s">
        <v>62</v>
      </c>
      <c r="C64" s="89" t="s">
        <v>63</v>
      </c>
      <c r="D64" s="13" t="s">
        <v>4</v>
      </c>
      <c r="E64" s="14">
        <f>E66+E67+E68+E69</f>
        <v>19116724.75</v>
      </c>
      <c r="F64" s="14">
        <f>F66+F67+F68+F69</f>
        <v>1947874.1300000001</v>
      </c>
      <c r="G64" s="14">
        <f aca="true" t="shared" si="15" ref="G64:L64">G66+G67+G68+G69</f>
        <v>1870459.24</v>
      </c>
      <c r="H64" s="14">
        <f t="shared" si="15"/>
        <v>4934063.26</v>
      </c>
      <c r="I64" s="14">
        <f t="shared" si="15"/>
        <v>5024328.12</v>
      </c>
      <c r="J64" s="14">
        <f t="shared" si="15"/>
        <v>1780000</v>
      </c>
      <c r="K64" s="14">
        <f t="shared" si="15"/>
        <v>1780000</v>
      </c>
      <c r="L64" s="14">
        <f t="shared" si="15"/>
        <v>1780000</v>
      </c>
      <c r="M64" s="148" t="s">
        <v>83</v>
      </c>
      <c r="N64" s="83" t="s">
        <v>35</v>
      </c>
      <c r="O64" s="83" t="s">
        <v>35</v>
      </c>
      <c r="P64" s="83" t="s">
        <v>35</v>
      </c>
      <c r="Q64" s="83">
        <v>0</v>
      </c>
      <c r="R64" s="83">
        <v>0</v>
      </c>
      <c r="S64" s="83">
        <v>0</v>
      </c>
      <c r="T64" s="83">
        <v>0</v>
      </c>
      <c r="U64" s="92" t="s">
        <v>50</v>
      </c>
    </row>
    <row r="65" spans="1:21" ht="29.25" customHeight="1">
      <c r="A65" s="103"/>
      <c r="B65" s="100"/>
      <c r="C65" s="90"/>
      <c r="D65" s="86" t="s">
        <v>29</v>
      </c>
      <c r="E65" s="87"/>
      <c r="F65" s="87"/>
      <c r="G65" s="87"/>
      <c r="H65" s="87"/>
      <c r="I65" s="87"/>
      <c r="J65" s="87"/>
      <c r="K65" s="87"/>
      <c r="L65" s="88"/>
      <c r="M65" s="149"/>
      <c r="N65" s="84"/>
      <c r="O65" s="84"/>
      <c r="P65" s="84"/>
      <c r="Q65" s="84"/>
      <c r="R65" s="84"/>
      <c r="S65" s="84"/>
      <c r="T65" s="84"/>
      <c r="U65" s="122"/>
    </row>
    <row r="66" spans="1:21" ht="20.25" customHeight="1">
      <c r="A66" s="103"/>
      <c r="B66" s="100"/>
      <c r="C66" s="90"/>
      <c r="D66" s="15" t="s">
        <v>2</v>
      </c>
      <c r="E66" s="16">
        <f>SUM(F66:L66)</f>
        <v>1567850.05</v>
      </c>
      <c r="F66" s="16">
        <v>762775.81</v>
      </c>
      <c r="G66" s="16">
        <v>405074.24</v>
      </c>
      <c r="H66" s="16">
        <v>400000</v>
      </c>
      <c r="I66" s="16">
        <v>0</v>
      </c>
      <c r="J66" s="16">
        <v>0</v>
      </c>
      <c r="K66" s="16">
        <v>0</v>
      </c>
      <c r="L66" s="16">
        <v>0</v>
      </c>
      <c r="M66" s="149"/>
      <c r="N66" s="84"/>
      <c r="O66" s="84"/>
      <c r="P66" s="84"/>
      <c r="Q66" s="84"/>
      <c r="R66" s="84"/>
      <c r="S66" s="84"/>
      <c r="T66" s="84"/>
      <c r="U66" s="122"/>
    </row>
    <row r="67" spans="1:21" ht="12.75" customHeight="1">
      <c r="A67" s="103"/>
      <c r="B67" s="100"/>
      <c r="C67" s="90"/>
      <c r="D67" s="15" t="s">
        <v>0</v>
      </c>
      <c r="E67" s="16">
        <f>SUM(F67:L67)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96" t="s">
        <v>65</v>
      </c>
      <c r="N67" s="83">
        <v>0</v>
      </c>
      <c r="O67" s="83">
        <v>0</v>
      </c>
      <c r="P67" s="83">
        <v>0</v>
      </c>
      <c r="Q67" s="83">
        <v>932</v>
      </c>
      <c r="R67" s="83">
        <v>932</v>
      </c>
      <c r="S67" s="83">
        <v>954</v>
      </c>
      <c r="T67" s="83">
        <v>954</v>
      </c>
      <c r="U67" s="122"/>
    </row>
    <row r="68" spans="1:21" ht="12.75" customHeight="1">
      <c r="A68" s="103"/>
      <c r="B68" s="100"/>
      <c r="C68" s="90"/>
      <c r="D68" s="15" t="s">
        <v>1</v>
      </c>
      <c r="E68" s="16">
        <f>SUM(F68:L68)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97"/>
      <c r="N68" s="84"/>
      <c r="O68" s="84"/>
      <c r="P68" s="84"/>
      <c r="Q68" s="84"/>
      <c r="R68" s="84"/>
      <c r="S68" s="84"/>
      <c r="T68" s="84"/>
      <c r="U68" s="122"/>
    </row>
    <row r="69" spans="1:21" ht="12.75" customHeight="1">
      <c r="A69" s="104"/>
      <c r="B69" s="101"/>
      <c r="C69" s="91"/>
      <c r="D69" s="15" t="s">
        <v>3</v>
      </c>
      <c r="E69" s="16">
        <f>SUM(F69:L69)</f>
        <v>17548874.7</v>
      </c>
      <c r="F69" s="16">
        <v>1185098.32</v>
      </c>
      <c r="G69" s="16">
        <f>645790+670595+149000</f>
        <v>1465385</v>
      </c>
      <c r="H69" s="16">
        <f>4282952+251111.26</f>
        <v>4534063.26</v>
      </c>
      <c r="I69" s="16">
        <f>1780000+809830.42+880215+186000+623143.7+72446+672693</f>
        <v>5024328.12</v>
      </c>
      <c r="J69" s="16">
        <v>1780000</v>
      </c>
      <c r="K69" s="16">
        <v>1780000</v>
      </c>
      <c r="L69" s="16">
        <v>1780000</v>
      </c>
      <c r="M69" s="97"/>
      <c r="N69" s="84"/>
      <c r="O69" s="84"/>
      <c r="P69" s="84"/>
      <c r="Q69" s="84"/>
      <c r="R69" s="84"/>
      <c r="S69" s="84"/>
      <c r="T69" s="84"/>
      <c r="U69" s="123"/>
    </row>
    <row r="70" spans="1:21" ht="12.75" customHeight="1">
      <c r="A70" s="102" t="s">
        <v>72</v>
      </c>
      <c r="B70" s="99" t="s">
        <v>68</v>
      </c>
      <c r="C70" s="89" t="s">
        <v>63</v>
      </c>
      <c r="D70" s="13" t="s">
        <v>4</v>
      </c>
      <c r="E70" s="14">
        <f>E72+E73+E74+E75</f>
        <v>7112816.319999999</v>
      </c>
      <c r="F70" s="14">
        <f aca="true" t="shared" si="16" ref="F70:L70">F72+F73+F74+F75</f>
        <v>0</v>
      </c>
      <c r="G70" s="14">
        <f t="shared" si="16"/>
        <v>0</v>
      </c>
      <c r="H70" s="14">
        <f t="shared" si="16"/>
        <v>0</v>
      </c>
      <c r="I70" s="14">
        <f t="shared" si="16"/>
        <v>1872214.32</v>
      </c>
      <c r="J70" s="14">
        <f t="shared" si="16"/>
        <v>1800738</v>
      </c>
      <c r="K70" s="14">
        <f t="shared" si="16"/>
        <v>1719932</v>
      </c>
      <c r="L70" s="14">
        <f t="shared" si="16"/>
        <v>1719932</v>
      </c>
      <c r="M70" s="96" t="s">
        <v>73</v>
      </c>
      <c r="N70" s="83">
        <v>0</v>
      </c>
      <c r="O70" s="83">
        <v>0</v>
      </c>
      <c r="P70" s="83">
        <v>0</v>
      </c>
      <c r="Q70" s="83">
        <v>85</v>
      </c>
      <c r="R70" s="83">
        <v>90</v>
      </c>
      <c r="S70" s="83">
        <v>85</v>
      </c>
      <c r="T70" s="83">
        <v>85</v>
      </c>
      <c r="U70" s="92" t="s">
        <v>50</v>
      </c>
    </row>
    <row r="71" spans="1:21" ht="12.75" customHeight="1">
      <c r="A71" s="103"/>
      <c r="B71" s="100"/>
      <c r="C71" s="90"/>
      <c r="D71" s="86" t="s">
        <v>29</v>
      </c>
      <c r="E71" s="87"/>
      <c r="F71" s="87"/>
      <c r="G71" s="87"/>
      <c r="H71" s="87"/>
      <c r="I71" s="87"/>
      <c r="J71" s="87"/>
      <c r="K71" s="87"/>
      <c r="L71" s="88"/>
      <c r="M71" s="136"/>
      <c r="N71" s="110"/>
      <c r="O71" s="110"/>
      <c r="P71" s="110"/>
      <c r="Q71" s="110"/>
      <c r="R71" s="110"/>
      <c r="S71" s="110"/>
      <c r="T71" s="110"/>
      <c r="U71" s="122"/>
    </row>
    <row r="72" spans="1:21" ht="12.75" customHeight="1">
      <c r="A72" s="103"/>
      <c r="B72" s="100"/>
      <c r="C72" s="90"/>
      <c r="D72" s="15" t="s">
        <v>2</v>
      </c>
      <c r="E72" s="16">
        <f>SUM(F72:L72)</f>
        <v>5335921.27</v>
      </c>
      <c r="F72" s="16">
        <v>0</v>
      </c>
      <c r="G72" s="16">
        <v>0</v>
      </c>
      <c r="H72" s="16">
        <v>0</v>
      </c>
      <c r="I72" s="16">
        <f>1251082+133729.27</f>
        <v>1384811.27</v>
      </c>
      <c r="J72" s="16">
        <v>1385730</v>
      </c>
      <c r="K72" s="16">
        <v>1282690</v>
      </c>
      <c r="L72" s="16">
        <v>1282690</v>
      </c>
      <c r="M72" s="136"/>
      <c r="N72" s="110"/>
      <c r="O72" s="110"/>
      <c r="P72" s="110"/>
      <c r="Q72" s="110"/>
      <c r="R72" s="110"/>
      <c r="S72" s="110"/>
      <c r="T72" s="110"/>
      <c r="U72" s="122"/>
    </row>
    <row r="73" spans="1:21" ht="12.75" customHeight="1">
      <c r="A73" s="103"/>
      <c r="B73" s="100"/>
      <c r="C73" s="90"/>
      <c r="D73" s="15" t="s">
        <v>0</v>
      </c>
      <c r="E73" s="16">
        <f>SUM(F73:L73)</f>
        <v>1776895.05</v>
      </c>
      <c r="F73" s="16">
        <v>0</v>
      </c>
      <c r="G73" s="16">
        <v>0</v>
      </c>
      <c r="H73" s="16">
        <v>0</v>
      </c>
      <c r="I73" s="16">
        <f>493936-6532.95</f>
        <v>487403.05</v>
      </c>
      <c r="J73" s="16">
        <v>415008</v>
      </c>
      <c r="K73" s="16">
        <v>437242</v>
      </c>
      <c r="L73" s="16">
        <v>437242</v>
      </c>
      <c r="M73" s="136"/>
      <c r="N73" s="110"/>
      <c r="O73" s="110"/>
      <c r="P73" s="110"/>
      <c r="Q73" s="110"/>
      <c r="R73" s="110"/>
      <c r="S73" s="110"/>
      <c r="T73" s="110"/>
      <c r="U73" s="122"/>
    </row>
    <row r="74" spans="1:21" ht="12.75" customHeight="1">
      <c r="A74" s="103"/>
      <c r="B74" s="100"/>
      <c r="C74" s="90"/>
      <c r="D74" s="15" t="s">
        <v>1</v>
      </c>
      <c r="E74" s="16">
        <f>SUM(F74:L74)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36"/>
      <c r="N74" s="110"/>
      <c r="O74" s="110"/>
      <c r="P74" s="110"/>
      <c r="Q74" s="110"/>
      <c r="R74" s="110"/>
      <c r="S74" s="110"/>
      <c r="T74" s="110"/>
      <c r="U74" s="122"/>
    </row>
    <row r="75" spans="1:21" ht="12.75" customHeight="1">
      <c r="A75" s="104"/>
      <c r="B75" s="101"/>
      <c r="C75" s="91"/>
      <c r="D75" s="15" t="s">
        <v>3</v>
      </c>
      <c r="E75" s="16">
        <f>SUM(F75:L75)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37"/>
      <c r="N75" s="114"/>
      <c r="O75" s="114"/>
      <c r="P75" s="114"/>
      <c r="Q75" s="114"/>
      <c r="R75" s="114"/>
      <c r="S75" s="114"/>
      <c r="T75" s="114"/>
      <c r="U75" s="123"/>
    </row>
    <row r="76" spans="1:21" ht="12.75">
      <c r="A76" s="124"/>
      <c r="B76" s="129" t="s">
        <v>44</v>
      </c>
      <c r="C76" s="89"/>
      <c r="D76" s="13" t="s">
        <v>4</v>
      </c>
      <c r="E76" s="14">
        <f>E78+E79+E80+E81</f>
        <v>765740287.31</v>
      </c>
      <c r="F76" s="14">
        <f aca="true" t="shared" si="17" ref="F76:L76">F78+F79+F80+F81</f>
        <v>101215781.29</v>
      </c>
      <c r="G76" s="14">
        <f t="shared" si="17"/>
        <v>103395387.94</v>
      </c>
      <c r="H76" s="14">
        <f t="shared" si="17"/>
        <v>112977536.50999999</v>
      </c>
      <c r="I76" s="14">
        <f t="shared" si="17"/>
        <v>125297602.15</v>
      </c>
      <c r="J76" s="14">
        <f t="shared" si="17"/>
        <v>113357556.06</v>
      </c>
      <c r="K76" s="14">
        <f t="shared" si="17"/>
        <v>104748211.67999999</v>
      </c>
      <c r="L76" s="14">
        <f t="shared" si="17"/>
        <v>104748211.67999999</v>
      </c>
      <c r="M76" s="96"/>
      <c r="N76" s="83"/>
      <c r="O76" s="83"/>
      <c r="P76" s="83"/>
      <c r="Q76" s="83"/>
      <c r="R76" s="83"/>
      <c r="S76" s="83"/>
      <c r="T76" s="83"/>
      <c r="U76" s="96"/>
    </row>
    <row r="77" spans="1:21" ht="12.75">
      <c r="A77" s="124"/>
      <c r="B77" s="130"/>
      <c r="C77" s="90"/>
      <c r="D77" s="86" t="s">
        <v>29</v>
      </c>
      <c r="E77" s="87"/>
      <c r="F77" s="87"/>
      <c r="G77" s="87"/>
      <c r="H77" s="87"/>
      <c r="I77" s="87"/>
      <c r="J77" s="87"/>
      <c r="K77" s="87"/>
      <c r="L77" s="88"/>
      <c r="M77" s="136"/>
      <c r="N77" s="110"/>
      <c r="O77" s="110"/>
      <c r="P77" s="110"/>
      <c r="Q77" s="110"/>
      <c r="R77" s="110"/>
      <c r="S77" s="110"/>
      <c r="T77" s="110"/>
      <c r="U77" s="136"/>
    </row>
    <row r="78" spans="1:21" ht="12.75">
      <c r="A78" s="124"/>
      <c r="B78" s="130"/>
      <c r="C78" s="90"/>
      <c r="D78" s="15" t="s">
        <v>2</v>
      </c>
      <c r="E78" s="16">
        <f>SUM(F78:L78)</f>
        <v>696756174.47</v>
      </c>
      <c r="F78" s="16">
        <f>F60+F66+F72</f>
        <v>94401487.9</v>
      </c>
      <c r="G78" s="16">
        <f aca="true" t="shared" si="18" ref="G78:L78">G60+G66+G72</f>
        <v>94575465.03</v>
      </c>
      <c r="H78" s="16">
        <f t="shared" si="18"/>
        <v>101680380.05999999</v>
      </c>
      <c r="I78" s="16">
        <f t="shared" si="18"/>
        <v>106475470.46000001</v>
      </c>
      <c r="J78" s="16">
        <f t="shared" si="18"/>
        <v>99493502.7</v>
      </c>
      <c r="K78" s="16">
        <f t="shared" si="18"/>
        <v>100064934.16</v>
      </c>
      <c r="L78" s="16">
        <f t="shared" si="18"/>
        <v>100064934.16</v>
      </c>
      <c r="M78" s="136"/>
      <c r="N78" s="110"/>
      <c r="O78" s="110"/>
      <c r="P78" s="110"/>
      <c r="Q78" s="110"/>
      <c r="R78" s="110"/>
      <c r="S78" s="110"/>
      <c r="T78" s="110"/>
      <c r="U78" s="136"/>
    </row>
    <row r="79" spans="1:21" ht="12.75">
      <c r="A79" s="124"/>
      <c r="B79" s="130"/>
      <c r="C79" s="90"/>
      <c r="D79" s="15" t="s">
        <v>0</v>
      </c>
      <c r="E79" s="16">
        <f>SUM(F79:L79)</f>
        <v>41984137.41000001</v>
      </c>
      <c r="F79" s="16">
        <f aca="true" t="shared" si="19" ref="F79:L79">F61+F67+F73</f>
        <v>4122074.31</v>
      </c>
      <c r="G79" s="16">
        <f t="shared" si="19"/>
        <v>5384345</v>
      </c>
      <c r="H79" s="16">
        <f t="shared" si="19"/>
        <v>6219306.13</v>
      </c>
      <c r="I79" s="16">
        <f t="shared" si="19"/>
        <v>12027803.57</v>
      </c>
      <c r="J79" s="16">
        <f t="shared" si="19"/>
        <v>10864053.36</v>
      </c>
      <c r="K79" s="16">
        <f t="shared" si="19"/>
        <v>1683277.52</v>
      </c>
      <c r="L79" s="16">
        <f t="shared" si="19"/>
        <v>1683277.52</v>
      </c>
      <c r="M79" s="136"/>
      <c r="N79" s="110"/>
      <c r="O79" s="110"/>
      <c r="P79" s="110"/>
      <c r="Q79" s="110"/>
      <c r="R79" s="110"/>
      <c r="S79" s="110"/>
      <c r="T79" s="110"/>
      <c r="U79" s="136"/>
    </row>
    <row r="80" spans="1:21" ht="12.75">
      <c r="A80" s="124"/>
      <c r="B80" s="130"/>
      <c r="C80" s="90"/>
      <c r="D80" s="15" t="s">
        <v>1</v>
      </c>
      <c r="E80" s="16">
        <f>SUM(F80:L80)</f>
        <v>50000</v>
      </c>
      <c r="F80" s="16">
        <f aca="true" t="shared" si="20" ref="F80:L80">F62+F68+F74</f>
        <v>0</v>
      </c>
      <c r="G80" s="16">
        <f t="shared" si="20"/>
        <v>0</v>
      </c>
      <c r="H80" s="16">
        <f t="shared" si="20"/>
        <v>0</v>
      </c>
      <c r="I80" s="16">
        <f t="shared" si="20"/>
        <v>50000</v>
      </c>
      <c r="J80" s="16">
        <f t="shared" si="20"/>
        <v>0</v>
      </c>
      <c r="K80" s="16">
        <f t="shared" si="20"/>
        <v>0</v>
      </c>
      <c r="L80" s="16">
        <f t="shared" si="20"/>
        <v>0</v>
      </c>
      <c r="M80" s="136"/>
      <c r="N80" s="110"/>
      <c r="O80" s="110"/>
      <c r="P80" s="110"/>
      <c r="Q80" s="110"/>
      <c r="R80" s="110"/>
      <c r="S80" s="110"/>
      <c r="T80" s="110"/>
      <c r="U80" s="136"/>
    </row>
    <row r="81" spans="1:21" ht="12.75">
      <c r="A81" s="124"/>
      <c r="B81" s="131"/>
      <c r="C81" s="91"/>
      <c r="D81" s="15" t="s">
        <v>3</v>
      </c>
      <c r="E81" s="16">
        <f>SUM(F81:L81)</f>
        <v>26949975.43</v>
      </c>
      <c r="F81" s="16">
        <f aca="true" t="shared" si="21" ref="F81:L81">F63+F69+F75</f>
        <v>2692219.08</v>
      </c>
      <c r="G81" s="16">
        <f t="shared" si="21"/>
        <v>3435577.91</v>
      </c>
      <c r="H81" s="16">
        <f t="shared" si="21"/>
        <v>5077850.32</v>
      </c>
      <c r="I81" s="16">
        <f t="shared" si="21"/>
        <v>6744328.12</v>
      </c>
      <c r="J81" s="16">
        <f t="shared" si="21"/>
        <v>3000000</v>
      </c>
      <c r="K81" s="16">
        <f t="shared" si="21"/>
        <v>3000000</v>
      </c>
      <c r="L81" s="16">
        <f t="shared" si="21"/>
        <v>3000000</v>
      </c>
      <c r="M81" s="137"/>
      <c r="N81" s="114"/>
      <c r="O81" s="114"/>
      <c r="P81" s="114"/>
      <c r="Q81" s="114"/>
      <c r="R81" s="114"/>
      <c r="S81" s="114"/>
      <c r="T81" s="114"/>
      <c r="U81" s="137"/>
    </row>
    <row r="82" spans="1:21" s="19" customFormat="1" ht="13.5">
      <c r="A82" s="6"/>
      <c r="B82" s="7" t="s">
        <v>45</v>
      </c>
      <c r="C82" s="138"/>
      <c r="D82" s="17" t="s">
        <v>4</v>
      </c>
      <c r="E82" s="18">
        <f aca="true" t="shared" si="22" ref="E82:L82">E84+E85+E86+E87</f>
        <v>1242948527.2600002</v>
      </c>
      <c r="F82" s="18">
        <f t="shared" si="22"/>
        <v>169671123.63000003</v>
      </c>
      <c r="G82" s="18">
        <f t="shared" si="22"/>
        <v>166832058.4</v>
      </c>
      <c r="H82" s="18">
        <f t="shared" si="22"/>
        <v>178151552.88</v>
      </c>
      <c r="I82" s="18">
        <f t="shared" si="22"/>
        <v>198175051.31</v>
      </c>
      <c r="J82" s="18">
        <f t="shared" si="22"/>
        <v>182765558.54000002</v>
      </c>
      <c r="K82" s="18">
        <f t="shared" si="22"/>
        <v>173705091.25</v>
      </c>
      <c r="L82" s="18">
        <f t="shared" si="22"/>
        <v>173648091.25</v>
      </c>
      <c r="M82" s="139"/>
      <c r="N82" s="132"/>
      <c r="O82" s="132"/>
      <c r="P82" s="132"/>
      <c r="Q82" s="132"/>
      <c r="R82" s="132"/>
      <c r="S82" s="132"/>
      <c r="T82" s="132"/>
      <c r="U82" s="145"/>
    </row>
    <row r="83" spans="1:21" s="19" customFormat="1" ht="13.5">
      <c r="A83" s="6"/>
      <c r="B83" s="7"/>
      <c r="C83" s="138"/>
      <c r="D83" s="142" t="s">
        <v>29</v>
      </c>
      <c r="E83" s="143"/>
      <c r="F83" s="143"/>
      <c r="G83" s="143"/>
      <c r="H83" s="143"/>
      <c r="I83" s="143"/>
      <c r="J83" s="143"/>
      <c r="K83" s="143"/>
      <c r="L83" s="144"/>
      <c r="M83" s="140"/>
      <c r="N83" s="133"/>
      <c r="O83" s="133"/>
      <c r="P83" s="133"/>
      <c r="Q83" s="133"/>
      <c r="R83" s="133"/>
      <c r="S83" s="133"/>
      <c r="T83" s="133"/>
      <c r="U83" s="146"/>
    </row>
    <row r="84" spans="1:21" s="19" customFormat="1" ht="13.5">
      <c r="A84" s="6"/>
      <c r="B84" s="7"/>
      <c r="C84" s="138"/>
      <c r="D84" s="20" t="s">
        <v>2</v>
      </c>
      <c r="E84" s="68">
        <f>SUM(F84:L84)</f>
        <v>1149406499.65</v>
      </c>
      <c r="F84" s="69">
        <f>F78+F53+F16</f>
        <v>160117960.24</v>
      </c>
      <c r="G84" s="69">
        <f aca="true" t="shared" si="23" ref="G84:L84">G78+G53+G16</f>
        <v>154661265.49</v>
      </c>
      <c r="H84" s="69">
        <f t="shared" si="23"/>
        <v>163350077.13</v>
      </c>
      <c r="I84" s="69">
        <f t="shared" si="23"/>
        <v>174996715.06</v>
      </c>
      <c r="J84" s="69">
        <f t="shared" si="23"/>
        <v>164905074.27</v>
      </c>
      <c r="K84" s="69">
        <f t="shared" si="23"/>
        <v>165716203.73</v>
      </c>
      <c r="L84" s="69">
        <f t="shared" si="23"/>
        <v>165659203.73</v>
      </c>
      <c r="M84" s="140"/>
      <c r="N84" s="133"/>
      <c r="O84" s="133"/>
      <c r="P84" s="133"/>
      <c r="Q84" s="133"/>
      <c r="R84" s="133"/>
      <c r="S84" s="133"/>
      <c r="T84" s="133"/>
      <c r="U84" s="146"/>
    </row>
    <row r="85" spans="1:21" s="19" customFormat="1" ht="13.5">
      <c r="A85" s="6"/>
      <c r="B85" s="7"/>
      <c r="C85" s="138"/>
      <c r="D85" s="20" t="s">
        <v>0</v>
      </c>
      <c r="E85" s="68">
        <f>SUM(F85:L85)</f>
        <v>44184516.88000001</v>
      </c>
      <c r="F85" s="69">
        <f aca="true" t="shared" si="24" ref="F85:L87">F79+F54+F17</f>
        <v>4344894.3100000005</v>
      </c>
      <c r="G85" s="69">
        <f t="shared" si="24"/>
        <v>5597215</v>
      </c>
      <c r="H85" s="69">
        <f t="shared" si="24"/>
        <v>6483560.13</v>
      </c>
      <c r="I85" s="69">
        <f t="shared" si="24"/>
        <v>12817408.13</v>
      </c>
      <c r="J85" s="69">
        <f t="shared" si="24"/>
        <v>11574884.27</v>
      </c>
      <c r="K85" s="69">
        <f t="shared" si="24"/>
        <v>1683277.52</v>
      </c>
      <c r="L85" s="69">
        <f t="shared" si="24"/>
        <v>1683277.52</v>
      </c>
      <c r="M85" s="140"/>
      <c r="N85" s="133"/>
      <c r="O85" s="133"/>
      <c r="P85" s="133"/>
      <c r="Q85" s="133"/>
      <c r="R85" s="133"/>
      <c r="S85" s="133"/>
      <c r="T85" s="133"/>
      <c r="U85" s="146"/>
    </row>
    <row r="86" spans="1:21" s="19" customFormat="1" ht="13.5">
      <c r="A86" s="6"/>
      <c r="B86" s="7"/>
      <c r="C86" s="138"/>
      <c r="D86" s="20" t="s">
        <v>1</v>
      </c>
      <c r="E86" s="68">
        <f>SUM(F86:L86)</f>
        <v>50000</v>
      </c>
      <c r="F86" s="69">
        <f t="shared" si="24"/>
        <v>0</v>
      </c>
      <c r="G86" s="69">
        <f t="shared" si="24"/>
        <v>0</v>
      </c>
      <c r="H86" s="69">
        <f t="shared" si="24"/>
        <v>0</v>
      </c>
      <c r="I86" s="69">
        <f t="shared" si="24"/>
        <v>50000</v>
      </c>
      <c r="J86" s="69">
        <f t="shared" si="24"/>
        <v>0</v>
      </c>
      <c r="K86" s="69">
        <f t="shared" si="24"/>
        <v>0</v>
      </c>
      <c r="L86" s="69">
        <f t="shared" si="24"/>
        <v>0</v>
      </c>
      <c r="M86" s="140"/>
      <c r="N86" s="133"/>
      <c r="O86" s="133"/>
      <c r="P86" s="133"/>
      <c r="Q86" s="133"/>
      <c r="R86" s="133"/>
      <c r="S86" s="133"/>
      <c r="T86" s="133"/>
      <c r="U86" s="146"/>
    </row>
    <row r="87" spans="1:21" s="19" customFormat="1" ht="13.5">
      <c r="A87" s="6"/>
      <c r="B87" s="7"/>
      <c r="C87" s="138"/>
      <c r="D87" s="20" t="s">
        <v>3</v>
      </c>
      <c r="E87" s="68">
        <f>SUM(F87:L87)</f>
        <v>49307510.730000004</v>
      </c>
      <c r="F87" s="69">
        <f t="shared" si="24"/>
        <v>5208269.08</v>
      </c>
      <c r="G87" s="69">
        <f t="shared" si="24"/>
        <v>6573577.91</v>
      </c>
      <c r="H87" s="69">
        <f t="shared" si="24"/>
        <v>8317915.62</v>
      </c>
      <c r="I87" s="69">
        <f t="shared" si="24"/>
        <v>10310928.120000001</v>
      </c>
      <c r="J87" s="69">
        <f t="shared" si="24"/>
        <v>6285600</v>
      </c>
      <c r="K87" s="69">
        <f t="shared" si="24"/>
        <v>6305610</v>
      </c>
      <c r="L87" s="69">
        <f t="shared" si="24"/>
        <v>6305610</v>
      </c>
      <c r="M87" s="141"/>
      <c r="N87" s="134"/>
      <c r="O87" s="134"/>
      <c r="P87" s="134"/>
      <c r="Q87" s="134"/>
      <c r="R87" s="134"/>
      <c r="S87" s="134"/>
      <c r="T87" s="134"/>
      <c r="U87" s="147"/>
    </row>
    <row r="88" spans="14:20" ht="12.75">
      <c r="N88" s="21"/>
      <c r="O88" s="21"/>
      <c r="P88" s="21"/>
      <c r="Q88" s="21"/>
      <c r="R88" s="21"/>
      <c r="S88" s="21"/>
      <c r="T88" s="21"/>
    </row>
    <row r="89" ht="12.75">
      <c r="B89" s="4"/>
    </row>
    <row r="90" ht="12.75">
      <c r="B90" s="4"/>
    </row>
    <row r="98" ht="12.75">
      <c r="H98" s="22"/>
    </row>
    <row r="99" ht="12.75">
      <c r="H99" s="22"/>
    </row>
  </sheetData>
  <sheetProtection/>
  <mergeCells count="195">
    <mergeCell ref="T64:T66"/>
    <mergeCell ref="P67:P69"/>
    <mergeCell ref="Q67:Q69"/>
    <mergeCell ref="R67:R69"/>
    <mergeCell ref="S67:S69"/>
    <mergeCell ref="T67:T69"/>
    <mergeCell ref="O64:O66"/>
    <mergeCell ref="P64:P66"/>
    <mergeCell ref="Q64:Q66"/>
    <mergeCell ref="R64:R66"/>
    <mergeCell ref="S64:S66"/>
    <mergeCell ref="Q30:Q32"/>
    <mergeCell ref="R30:R32"/>
    <mergeCell ref="S30:S32"/>
    <mergeCell ref="P45:P50"/>
    <mergeCell ref="Q45:Q50"/>
    <mergeCell ref="T30:T32"/>
    <mergeCell ref="O27:O29"/>
    <mergeCell ref="P27:P29"/>
    <mergeCell ref="Q27:Q29"/>
    <mergeCell ref="R27:R29"/>
    <mergeCell ref="S27:S29"/>
    <mergeCell ref="T27:T29"/>
    <mergeCell ref="M27:M29"/>
    <mergeCell ref="M30:M32"/>
    <mergeCell ref="N27:N29"/>
    <mergeCell ref="N30:N32"/>
    <mergeCell ref="O30:O32"/>
    <mergeCell ref="P30:P32"/>
    <mergeCell ref="U70:U75"/>
    <mergeCell ref="O70:O75"/>
    <mergeCell ref="P70:P75"/>
    <mergeCell ref="Q70:Q75"/>
    <mergeCell ref="R70:R75"/>
    <mergeCell ref="S70:S75"/>
    <mergeCell ref="T70:T75"/>
    <mergeCell ref="A70:A75"/>
    <mergeCell ref="B70:B75"/>
    <mergeCell ref="C70:C75"/>
    <mergeCell ref="D71:L71"/>
    <mergeCell ref="M70:M75"/>
    <mergeCell ref="N70:N75"/>
    <mergeCell ref="A45:A50"/>
    <mergeCell ref="B45:B50"/>
    <mergeCell ref="C45:C50"/>
    <mergeCell ref="D46:L46"/>
    <mergeCell ref="M45:M50"/>
    <mergeCell ref="N45:N50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Q76:Q81"/>
    <mergeCell ref="R51:R56"/>
    <mergeCell ref="S51:S56"/>
    <mergeCell ref="D52:L52"/>
    <mergeCell ref="M51:M56"/>
    <mergeCell ref="N51:N56"/>
    <mergeCell ref="O45:O50"/>
    <mergeCell ref="R45:R50"/>
    <mergeCell ref="S45:S50"/>
    <mergeCell ref="S76:S81"/>
    <mergeCell ref="Q51:Q56"/>
    <mergeCell ref="D28:L28"/>
    <mergeCell ref="P51:P56"/>
    <mergeCell ref="M33:M38"/>
    <mergeCell ref="N33:N38"/>
    <mergeCell ref="O33:O38"/>
    <mergeCell ref="P33:P38"/>
    <mergeCell ref="M64:M66"/>
    <mergeCell ref="N64:N66"/>
    <mergeCell ref="R76:R81"/>
    <mergeCell ref="B51:B56"/>
    <mergeCell ref="C51:C56"/>
    <mergeCell ref="U27:U32"/>
    <mergeCell ref="T51:T56"/>
    <mergeCell ref="U51:U56"/>
    <mergeCell ref="O51:O56"/>
    <mergeCell ref="M67:M69"/>
    <mergeCell ref="N67:N69"/>
    <mergeCell ref="O67:O69"/>
    <mergeCell ref="P76:P81"/>
    <mergeCell ref="U82:U87"/>
    <mergeCell ref="R82:R87"/>
    <mergeCell ref="O58:O63"/>
    <mergeCell ref="U64:U69"/>
    <mergeCell ref="Q82:Q87"/>
    <mergeCell ref="P58:P63"/>
    <mergeCell ref="Q58:Q63"/>
    <mergeCell ref="R58:R63"/>
    <mergeCell ref="S58:S63"/>
    <mergeCell ref="A27:A32"/>
    <mergeCell ref="C82:C87"/>
    <mergeCell ref="M82:M87"/>
    <mergeCell ref="D83:L83"/>
    <mergeCell ref="S82:S87"/>
    <mergeCell ref="N82:N87"/>
    <mergeCell ref="O82:O87"/>
    <mergeCell ref="P82:P87"/>
    <mergeCell ref="Q39:Q44"/>
    <mergeCell ref="A33:A38"/>
    <mergeCell ref="T82:T87"/>
    <mergeCell ref="A51:A56"/>
    <mergeCell ref="A2:U2"/>
    <mergeCell ref="D3:D4"/>
    <mergeCell ref="E3:L3"/>
    <mergeCell ref="A58:A63"/>
    <mergeCell ref="B58:B63"/>
    <mergeCell ref="M58:M63"/>
    <mergeCell ref="M8:M13"/>
    <mergeCell ref="A14:A19"/>
    <mergeCell ref="B14:B19"/>
    <mergeCell ref="M21:M26"/>
    <mergeCell ref="N8:N13"/>
    <mergeCell ref="D59:L59"/>
    <mergeCell ref="C58:C63"/>
    <mergeCell ref="N58:N63"/>
    <mergeCell ref="B21:B26"/>
    <mergeCell ref="C21:C26"/>
    <mergeCell ref="D15:L15"/>
    <mergeCell ref="B33:B38"/>
    <mergeCell ref="A8:A13"/>
    <mergeCell ref="A21:A26"/>
    <mergeCell ref="N21:N26"/>
    <mergeCell ref="B27:B32"/>
    <mergeCell ref="C27:C32"/>
    <mergeCell ref="C14:C19"/>
    <mergeCell ref="B20:L20"/>
    <mergeCell ref="D22:L22"/>
    <mergeCell ref="C8:C13"/>
    <mergeCell ref="B8:B13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T58:T63"/>
    <mergeCell ref="U58:U63"/>
    <mergeCell ref="U3:U4"/>
    <mergeCell ref="S21:S26"/>
    <mergeCell ref="T21:T26"/>
    <mergeCell ref="U33:U38"/>
    <mergeCell ref="S33:S38"/>
    <mergeCell ref="T33:T38"/>
    <mergeCell ref="T45:T50"/>
    <mergeCell ref="U45:U50"/>
    <mergeCell ref="O21:O26"/>
    <mergeCell ref="P21:P26"/>
    <mergeCell ref="B7:U7"/>
    <mergeCell ref="D9:L9"/>
    <mergeCell ref="Q21:Q26"/>
    <mergeCell ref="R21:R26"/>
    <mergeCell ref="U21:U26"/>
    <mergeCell ref="O8:O13"/>
    <mergeCell ref="R14:R20"/>
    <mergeCell ref="P8:P13"/>
    <mergeCell ref="P39:P44"/>
    <mergeCell ref="C33:C38"/>
    <mergeCell ref="A39:A44"/>
    <mergeCell ref="B39:B44"/>
    <mergeCell ref="C39:C44"/>
    <mergeCell ref="R39:R44"/>
    <mergeCell ref="Q33:Q38"/>
    <mergeCell ref="R33:R38"/>
    <mergeCell ref="D34:L34"/>
    <mergeCell ref="P14:P20"/>
    <mergeCell ref="B64:B69"/>
    <mergeCell ref="A64:A69"/>
    <mergeCell ref="S39:S44"/>
    <mergeCell ref="T39:T44"/>
    <mergeCell ref="U39:U44"/>
    <mergeCell ref="D40:L40"/>
    <mergeCell ref="M39:M44"/>
    <mergeCell ref="N39:N44"/>
    <mergeCell ref="O39:O44"/>
    <mergeCell ref="Q14:Q20"/>
    <mergeCell ref="D65:L65"/>
    <mergeCell ref="C64:C69"/>
    <mergeCell ref="S14:S20"/>
    <mergeCell ref="T14:T20"/>
    <mergeCell ref="U14:U20"/>
    <mergeCell ref="B57:U57"/>
    <mergeCell ref="M14:M20"/>
    <mergeCell ref="N14:N20"/>
    <mergeCell ref="O14:O2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8.75" customHeight="1"/>
  <cols>
    <col min="1" max="1" width="35.421875" style="38" customWidth="1"/>
    <col min="2" max="2" width="18.421875" style="38" customWidth="1"/>
    <col min="3" max="3" width="13.8515625" style="38" customWidth="1"/>
    <col min="4" max="6" width="13.421875" style="38" bestFit="1" customWidth="1"/>
    <col min="7" max="7" width="13.57421875" style="38" customWidth="1"/>
    <col min="8" max="8" width="14.57421875" style="38" customWidth="1"/>
    <col min="9" max="9" width="14.140625" style="38" customWidth="1"/>
    <col min="10" max="16384" width="9.140625" style="38" customWidth="1"/>
  </cols>
  <sheetData>
    <row r="1" spans="5:10" ht="18.75" customHeight="1">
      <c r="E1" s="39"/>
      <c r="G1" s="162" t="s">
        <v>110</v>
      </c>
      <c r="H1" s="162"/>
      <c r="I1" s="162"/>
      <c r="J1" s="40"/>
    </row>
    <row r="2" spans="1:9" ht="18.75" customHeight="1">
      <c r="A2" s="135" t="s">
        <v>84</v>
      </c>
      <c r="B2" s="135"/>
      <c r="C2" s="135"/>
      <c r="D2" s="135"/>
      <c r="E2" s="135"/>
      <c r="F2" s="135"/>
      <c r="G2" s="135"/>
      <c r="H2" s="135"/>
      <c r="I2" s="135"/>
    </row>
    <row r="4" spans="1:9" ht="18.75" customHeight="1">
      <c r="A4" s="163" t="s">
        <v>10</v>
      </c>
      <c r="B4" s="165" t="s">
        <v>11</v>
      </c>
      <c r="C4" s="118" t="s">
        <v>12</v>
      </c>
      <c r="D4" s="118"/>
      <c r="E4" s="118"/>
      <c r="F4" s="118"/>
      <c r="G4" s="118"/>
      <c r="H4" s="118"/>
      <c r="I4" s="118"/>
    </row>
    <row r="5" spans="1:9" ht="18.75" customHeight="1">
      <c r="A5" s="164"/>
      <c r="B5" s="166"/>
      <c r="C5" s="42">
        <v>2014</v>
      </c>
      <c r="D5" s="42">
        <v>2015</v>
      </c>
      <c r="E5" s="42">
        <v>2016</v>
      </c>
      <c r="F5" s="42">
        <v>2017</v>
      </c>
      <c r="G5" s="42">
        <v>2018</v>
      </c>
      <c r="H5" s="42">
        <v>2019</v>
      </c>
      <c r="I5" s="2">
        <v>2020</v>
      </c>
    </row>
    <row r="6" spans="1:9" ht="18.75" customHeight="1">
      <c r="A6" s="1">
        <v>1</v>
      </c>
      <c r="B6" s="41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2">
        <v>9</v>
      </c>
    </row>
    <row r="7" spans="1:9" ht="18.75" customHeight="1">
      <c r="A7" s="43" t="s">
        <v>85</v>
      </c>
      <c r="B7" s="44">
        <f>B9+B10+B11+B12</f>
        <v>364201896.34</v>
      </c>
      <c r="C7" s="44">
        <f aca="true" t="shared" si="0" ref="C7:I7">C9+C10+C11+C12</f>
        <v>53514815.69</v>
      </c>
      <c r="D7" s="44">
        <f t="shared" si="0"/>
        <v>50638382.82000001</v>
      </c>
      <c r="E7" s="44">
        <f t="shared" si="0"/>
        <v>51060525.199999996</v>
      </c>
      <c r="F7" s="44">
        <f t="shared" si="0"/>
        <v>54961839.37</v>
      </c>
      <c r="G7" s="44">
        <f t="shared" si="0"/>
        <v>54202759.8</v>
      </c>
      <c r="H7" s="44">
        <f t="shared" si="0"/>
        <v>49911786.73</v>
      </c>
      <c r="I7" s="44">
        <f t="shared" si="0"/>
        <v>49911786.73</v>
      </c>
    </row>
    <row r="8" spans="1:9" ht="18.75" customHeight="1">
      <c r="A8" s="159" t="s">
        <v>13</v>
      </c>
      <c r="B8" s="160"/>
      <c r="C8" s="160"/>
      <c r="D8" s="160"/>
      <c r="E8" s="160"/>
      <c r="F8" s="160"/>
      <c r="G8" s="160"/>
      <c r="H8" s="160"/>
      <c r="I8" s="161"/>
    </row>
    <row r="9" spans="1:9" ht="18.75" customHeight="1">
      <c r="A9" s="45" t="s">
        <v>14</v>
      </c>
      <c r="B9" s="44">
        <f>C9+D9+E9+F9+G9+H9+I9</f>
        <v>344804212.49</v>
      </c>
      <c r="C9" s="46">
        <f>'[1]табл.3'!F72</f>
        <v>50166870</v>
      </c>
      <c r="D9" s="46">
        <f>'[1]табл.3'!G72</f>
        <v>48176381.82000001</v>
      </c>
      <c r="E9" s="46">
        <f>'[1]табл.3'!H72</f>
        <v>48469840.33</v>
      </c>
      <c r="F9" s="46">
        <f>'[1]табл.3'!I72</f>
        <v>49656295.13</v>
      </c>
      <c r="G9" s="46">
        <f>'[1]табл.3'!J72</f>
        <v>49394476.71</v>
      </c>
      <c r="H9" s="46">
        <f>'[1]табл.3'!K72</f>
        <v>49470174.25</v>
      </c>
      <c r="I9" s="46">
        <f>'[1]табл.3'!L72</f>
        <v>49470174.25</v>
      </c>
    </row>
    <row r="10" spans="1:9" ht="18.75" customHeight="1">
      <c r="A10" s="45" t="s">
        <v>15</v>
      </c>
      <c r="B10" s="44">
        <f>C10+D10+E10+F10+G10+H10+I10</f>
        <v>19190240.34</v>
      </c>
      <c r="C10" s="46">
        <f aca="true" t="shared" si="1" ref="C10:I12">C17</f>
        <v>3342945.69</v>
      </c>
      <c r="D10" s="46">
        <f t="shared" si="1"/>
        <v>2448681</v>
      </c>
      <c r="E10" s="46">
        <f t="shared" si="1"/>
        <v>2442571.87</v>
      </c>
      <c r="F10" s="46">
        <f t="shared" si="1"/>
        <v>5264533.7299999995</v>
      </c>
      <c r="G10" s="46">
        <f t="shared" si="1"/>
        <v>4808283.09</v>
      </c>
      <c r="H10" s="46">
        <f t="shared" si="1"/>
        <v>441612.48</v>
      </c>
      <c r="I10" s="46">
        <f t="shared" si="1"/>
        <v>441612.48</v>
      </c>
    </row>
    <row r="11" spans="1:9" ht="18.75" customHeight="1">
      <c r="A11" s="45" t="s">
        <v>16</v>
      </c>
      <c r="B11" s="44">
        <f>C11+D11+E11+F11+G11+H11+I11</f>
        <v>110443.51000000001</v>
      </c>
      <c r="C11" s="46">
        <f t="shared" si="1"/>
        <v>0</v>
      </c>
      <c r="D11" s="46">
        <f t="shared" si="1"/>
        <v>13320</v>
      </c>
      <c r="E11" s="46">
        <f t="shared" si="1"/>
        <v>63113</v>
      </c>
      <c r="F11" s="46">
        <f t="shared" si="1"/>
        <v>34010.51</v>
      </c>
      <c r="G11" s="46">
        <f t="shared" si="1"/>
        <v>0</v>
      </c>
      <c r="H11" s="46">
        <f t="shared" si="1"/>
        <v>0</v>
      </c>
      <c r="I11" s="46">
        <f t="shared" si="1"/>
        <v>0</v>
      </c>
    </row>
    <row r="12" spans="1:9" ht="18.75" customHeight="1">
      <c r="A12" s="45" t="s">
        <v>17</v>
      </c>
      <c r="B12" s="44">
        <f>C12+D12+E12+F12+G12+H12+I12</f>
        <v>97000</v>
      </c>
      <c r="C12" s="46">
        <f t="shared" si="1"/>
        <v>5000</v>
      </c>
      <c r="D12" s="46">
        <f t="shared" si="1"/>
        <v>0</v>
      </c>
      <c r="E12" s="46">
        <f t="shared" si="1"/>
        <v>85000</v>
      </c>
      <c r="F12" s="46">
        <f t="shared" si="1"/>
        <v>7000</v>
      </c>
      <c r="G12" s="46">
        <f t="shared" si="1"/>
        <v>0</v>
      </c>
      <c r="H12" s="46">
        <f t="shared" si="1"/>
        <v>0</v>
      </c>
      <c r="I12" s="46">
        <f t="shared" si="1"/>
        <v>0</v>
      </c>
    </row>
    <row r="13" spans="1:9" ht="18.75" customHeight="1">
      <c r="A13" s="156" t="s">
        <v>18</v>
      </c>
      <c r="B13" s="157"/>
      <c r="C13" s="157"/>
      <c r="D13" s="157"/>
      <c r="E13" s="157"/>
      <c r="F13" s="157"/>
      <c r="G13" s="157"/>
      <c r="H13" s="157"/>
      <c r="I13" s="158"/>
    </row>
    <row r="14" spans="1:9" ht="42.75" customHeight="1">
      <c r="A14" s="47" t="s">
        <v>30</v>
      </c>
      <c r="B14" s="44">
        <f>B16+B17+B18+B19</f>
        <v>364201896.34</v>
      </c>
      <c r="C14" s="44">
        <f aca="true" t="shared" si="2" ref="C14:I14">C16+C17+C18+C19</f>
        <v>53514815.69</v>
      </c>
      <c r="D14" s="44">
        <f t="shared" si="2"/>
        <v>50638382.82000001</v>
      </c>
      <c r="E14" s="44">
        <f t="shared" si="2"/>
        <v>51060525.199999996</v>
      </c>
      <c r="F14" s="44">
        <f t="shared" si="2"/>
        <v>54961839.37</v>
      </c>
      <c r="G14" s="44">
        <f t="shared" si="2"/>
        <v>54202759.8</v>
      </c>
      <c r="H14" s="44">
        <f t="shared" si="2"/>
        <v>49911786.73</v>
      </c>
      <c r="I14" s="44">
        <f t="shared" si="2"/>
        <v>49911786.73</v>
      </c>
    </row>
    <row r="15" spans="1:9" ht="18.75" customHeight="1">
      <c r="A15" s="159" t="s">
        <v>13</v>
      </c>
      <c r="B15" s="160"/>
      <c r="C15" s="160"/>
      <c r="D15" s="160"/>
      <c r="E15" s="160"/>
      <c r="F15" s="160"/>
      <c r="G15" s="160"/>
      <c r="H15" s="160"/>
      <c r="I15" s="161"/>
    </row>
    <row r="16" spans="1:9" ht="18.75" customHeight="1">
      <c r="A16" s="45" t="s">
        <v>14</v>
      </c>
      <c r="B16" s="44">
        <f>C16+D16+E16+F16+G16+H16+I16</f>
        <v>344804212.49</v>
      </c>
      <c r="C16" s="46">
        <f>'[1]табл.3'!F72</f>
        <v>50166870</v>
      </c>
      <c r="D16" s="46">
        <f>'[1]табл.3'!G72</f>
        <v>48176381.82000001</v>
      </c>
      <c r="E16" s="46">
        <f>'[1]табл.3'!H72</f>
        <v>48469840.33</v>
      </c>
      <c r="F16" s="46">
        <f>'[1]табл.3'!I72</f>
        <v>49656295.13</v>
      </c>
      <c r="G16" s="46">
        <f>'[1]табл.3'!J72</f>
        <v>49394476.71</v>
      </c>
      <c r="H16" s="46">
        <f>'[1]табл.3'!K72</f>
        <v>49470174.25</v>
      </c>
      <c r="I16" s="46">
        <f>'[1]табл.3'!L72</f>
        <v>49470174.25</v>
      </c>
    </row>
    <row r="17" spans="1:9" ht="18.75" customHeight="1">
      <c r="A17" s="45" t="s">
        <v>15</v>
      </c>
      <c r="B17" s="44">
        <f>C17+D17+E17+F17+G17+H17+I17</f>
        <v>19190240.34</v>
      </c>
      <c r="C17" s="46">
        <f>'[1]табл.3'!F73</f>
        <v>3342945.69</v>
      </c>
      <c r="D17" s="46">
        <f>'[1]табл.3'!G73</f>
        <v>2448681</v>
      </c>
      <c r="E17" s="46">
        <f>'[1]табл.3'!H73</f>
        <v>2442571.87</v>
      </c>
      <c r="F17" s="46">
        <f>'[1]табл.3'!I73</f>
        <v>5264533.7299999995</v>
      </c>
      <c r="G17" s="46">
        <f>'[1]табл.3'!J73</f>
        <v>4808283.09</v>
      </c>
      <c r="H17" s="46">
        <f>'[1]табл.3'!K73</f>
        <v>441612.48</v>
      </c>
      <c r="I17" s="46">
        <f>'[1]табл.3'!L73</f>
        <v>441612.48</v>
      </c>
    </row>
    <row r="18" spans="1:9" ht="18.75" customHeight="1">
      <c r="A18" s="45" t="s">
        <v>16</v>
      </c>
      <c r="B18" s="44">
        <f>C18+D18+E18+F18+G18+H18+I18</f>
        <v>110443.51000000001</v>
      </c>
      <c r="C18" s="46">
        <v>0</v>
      </c>
      <c r="D18" s="46">
        <f>'[1]табл.3'!G74</f>
        <v>13320</v>
      </c>
      <c r="E18" s="46">
        <f>'[1]табл.3'!H74</f>
        <v>63113</v>
      </c>
      <c r="F18" s="46">
        <f>'[1]табл.3'!I74</f>
        <v>34010.51</v>
      </c>
      <c r="G18" s="46">
        <f>'[1]табл.3'!J74</f>
        <v>0</v>
      </c>
      <c r="H18" s="46">
        <f>'[1]табл.3'!K74</f>
        <v>0</v>
      </c>
      <c r="I18" s="46">
        <f>'[1]табл.3'!L74</f>
        <v>0</v>
      </c>
    </row>
    <row r="19" spans="1:9" ht="18.75" customHeight="1">
      <c r="A19" s="45" t="s">
        <v>17</v>
      </c>
      <c r="B19" s="44">
        <f>C19+D19+E19+F19+G19+H19+I19</f>
        <v>97000</v>
      </c>
      <c r="C19" s="46">
        <v>5000</v>
      </c>
      <c r="D19" s="46">
        <v>0</v>
      </c>
      <c r="E19" s="46">
        <f>'[1]табл.3'!H75</f>
        <v>85000</v>
      </c>
      <c r="F19" s="46">
        <f>'[1]табл.3'!I75</f>
        <v>7000</v>
      </c>
      <c r="G19" s="46">
        <v>0</v>
      </c>
      <c r="H19" s="46">
        <v>0</v>
      </c>
      <c r="I19" s="46">
        <v>0</v>
      </c>
    </row>
    <row r="21" ht="18.75" customHeight="1">
      <c r="A21" s="4"/>
    </row>
    <row r="22" ht="18.75" customHeight="1">
      <c r="A22" s="4"/>
    </row>
  </sheetData>
  <sheetProtection/>
  <mergeCells count="8">
    <mergeCell ref="A13:I13"/>
    <mergeCell ref="A15:I15"/>
    <mergeCell ref="G1:I1"/>
    <mergeCell ref="A2:I2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SheetLayoutView="115" zoomScalePageLayoutView="0" workbookViewId="0" topLeftCell="C1">
      <selection activeCell="A2" sqref="A2:U2"/>
    </sheetView>
  </sheetViews>
  <sheetFormatPr defaultColWidth="9.140625" defaultRowHeight="15"/>
  <cols>
    <col min="1" max="1" width="9.140625" style="10" customWidth="1"/>
    <col min="2" max="2" width="36.57421875" style="10" customWidth="1"/>
    <col min="3" max="3" width="10.421875" style="10" customWidth="1"/>
    <col min="4" max="4" width="10.00390625" style="10" customWidth="1"/>
    <col min="5" max="5" width="18.421875" style="10" customWidth="1"/>
    <col min="6" max="12" width="15.140625" style="10" bestFit="1" customWidth="1"/>
    <col min="13" max="13" width="18.00390625" style="10" customWidth="1"/>
    <col min="14" max="14" width="7.8515625" style="10" customWidth="1"/>
    <col min="15" max="20" width="7.421875" style="10" bestFit="1" customWidth="1"/>
    <col min="21" max="21" width="23.421875" style="10" customWidth="1"/>
    <col min="22" max="16384" width="9.140625" style="10" customWidth="1"/>
  </cols>
  <sheetData>
    <row r="1" s="8" customFormat="1" ht="17.25" customHeight="1">
      <c r="U1" s="9" t="s">
        <v>111</v>
      </c>
    </row>
    <row r="2" spans="1:21" s="8" customFormat="1" ht="26.25" customHeight="1">
      <c r="A2" s="135" t="s">
        <v>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1.5" customHeight="1">
      <c r="A3" s="117" t="s">
        <v>7</v>
      </c>
      <c r="B3" s="118" t="s">
        <v>19</v>
      </c>
      <c r="C3" s="118" t="s">
        <v>20</v>
      </c>
      <c r="D3" s="118" t="s">
        <v>10</v>
      </c>
      <c r="E3" s="118" t="s">
        <v>27</v>
      </c>
      <c r="F3" s="118"/>
      <c r="G3" s="118"/>
      <c r="H3" s="118"/>
      <c r="I3" s="118"/>
      <c r="J3" s="118"/>
      <c r="K3" s="118"/>
      <c r="L3" s="118"/>
      <c r="M3" s="117" t="s">
        <v>56</v>
      </c>
      <c r="N3" s="117"/>
      <c r="O3" s="117"/>
      <c r="P3" s="117"/>
      <c r="Q3" s="117"/>
      <c r="R3" s="117"/>
      <c r="S3" s="117"/>
      <c r="T3" s="117"/>
      <c r="U3" s="163" t="s">
        <v>28</v>
      </c>
    </row>
    <row r="4" spans="1:21" ht="27.75" customHeight="1">
      <c r="A4" s="117"/>
      <c r="B4" s="118"/>
      <c r="C4" s="118"/>
      <c r="D4" s="118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93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119" t="s">
        <v>87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1:21" ht="12.75">
      <c r="A7" s="12">
        <v>1</v>
      </c>
      <c r="B7" s="119" t="s">
        <v>88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1:21" ht="12.75" customHeight="1">
      <c r="A8" s="124" t="s">
        <v>5</v>
      </c>
      <c r="B8" s="128" t="s">
        <v>89</v>
      </c>
      <c r="C8" s="89" t="s">
        <v>63</v>
      </c>
      <c r="D8" s="13" t="s">
        <v>4</v>
      </c>
      <c r="E8" s="14">
        <f>E10+E11+E12+E13</f>
        <v>287153807.91</v>
      </c>
      <c r="F8" s="14">
        <f aca="true" t="shared" si="0" ref="F8:L8">F10+F11+F12+F13</f>
        <v>37935433.69</v>
      </c>
      <c r="G8" s="14">
        <f t="shared" si="0"/>
        <v>40162203.56</v>
      </c>
      <c r="H8" s="14">
        <f t="shared" si="0"/>
        <v>42279510.65</v>
      </c>
      <c r="I8" s="14">
        <f t="shared" si="0"/>
        <v>44569339.870000005</v>
      </c>
      <c r="J8" s="14">
        <f t="shared" si="0"/>
        <v>43537698.760000005</v>
      </c>
      <c r="K8" s="14">
        <f t="shared" si="0"/>
        <v>39334810.69</v>
      </c>
      <c r="L8" s="14">
        <f t="shared" si="0"/>
        <v>39334810.69</v>
      </c>
      <c r="M8" s="102" t="s">
        <v>90</v>
      </c>
      <c r="N8" s="188">
        <v>691039</v>
      </c>
      <c r="O8" s="188">
        <v>605385</v>
      </c>
      <c r="P8" s="188">
        <v>605389</v>
      </c>
      <c r="Q8" s="188">
        <v>0</v>
      </c>
      <c r="R8" s="188">
        <v>0</v>
      </c>
      <c r="S8" s="188">
        <v>0</v>
      </c>
      <c r="T8" s="188">
        <v>0</v>
      </c>
      <c r="U8" s="92" t="s">
        <v>91</v>
      </c>
    </row>
    <row r="9" spans="1:21" ht="12.75" customHeight="1">
      <c r="A9" s="124"/>
      <c r="B9" s="128"/>
      <c r="C9" s="90"/>
      <c r="D9" s="86" t="s">
        <v>29</v>
      </c>
      <c r="E9" s="87"/>
      <c r="F9" s="87"/>
      <c r="G9" s="87"/>
      <c r="H9" s="87"/>
      <c r="I9" s="87"/>
      <c r="J9" s="87"/>
      <c r="K9" s="87"/>
      <c r="L9" s="88"/>
      <c r="M9" s="84"/>
      <c r="N9" s="191"/>
      <c r="O9" s="191"/>
      <c r="P9" s="191"/>
      <c r="Q9" s="191"/>
      <c r="R9" s="191"/>
      <c r="S9" s="191"/>
      <c r="T9" s="191"/>
      <c r="U9" s="122"/>
    </row>
    <row r="10" spans="1:21" ht="42" customHeight="1">
      <c r="A10" s="124"/>
      <c r="B10" s="128"/>
      <c r="C10" s="90"/>
      <c r="D10" s="15" t="s">
        <v>2</v>
      </c>
      <c r="E10" s="16">
        <f>F10+G10+H10+I10+J10+K10+L10</f>
        <v>268447012.52000004</v>
      </c>
      <c r="F10" s="16">
        <v>34587488</v>
      </c>
      <c r="G10" s="16">
        <f>37511094.2+202428.36</f>
        <v>37713522.56</v>
      </c>
      <c r="H10" s="16">
        <f>39883914.63-46975.85</f>
        <v>39836938.78</v>
      </c>
      <c r="I10" s="16">
        <f>37937563.69+1157858.63+331144.77</f>
        <v>39426567.09</v>
      </c>
      <c r="J10" s="16">
        <f>38839688.14+11955.53</f>
        <v>38851643.67</v>
      </c>
      <c r="K10" s="16">
        <f>38999476.99+15949.22</f>
        <v>39015426.21</v>
      </c>
      <c r="L10" s="16">
        <v>39015426.21</v>
      </c>
      <c r="M10" s="84"/>
      <c r="N10" s="191"/>
      <c r="O10" s="191"/>
      <c r="P10" s="191"/>
      <c r="Q10" s="191"/>
      <c r="R10" s="191"/>
      <c r="S10" s="191"/>
      <c r="T10" s="191"/>
      <c r="U10" s="122"/>
    </row>
    <row r="11" spans="1:21" ht="12.75" customHeight="1">
      <c r="A11" s="124"/>
      <c r="B11" s="128"/>
      <c r="C11" s="90"/>
      <c r="D11" s="15" t="s">
        <v>0</v>
      </c>
      <c r="E11" s="16">
        <f>F11+G11+H11+I11+J11+K11+L11</f>
        <v>18694795.39</v>
      </c>
      <c r="F11" s="16">
        <v>3342945.69</v>
      </c>
      <c r="G11" s="16">
        <v>2448681</v>
      </c>
      <c r="H11" s="16">
        <v>2442571.87</v>
      </c>
      <c r="I11" s="16">
        <f>4454020.26+681752.52</f>
        <v>5135772.779999999</v>
      </c>
      <c r="J11" s="16">
        <f>4066763.43+619291.66</f>
        <v>4686055.09</v>
      </c>
      <c r="K11" s="16">
        <v>319384.48</v>
      </c>
      <c r="L11" s="16">
        <v>319384.48</v>
      </c>
      <c r="M11" s="102" t="s">
        <v>92</v>
      </c>
      <c r="N11" s="188">
        <v>0</v>
      </c>
      <c r="O11" s="188">
        <v>0</v>
      </c>
      <c r="P11" s="188">
        <v>0</v>
      </c>
      <c r="Q11" s="188">
        <v>302368</v>
      </c>
      <c r="R11" s="188">
        <v>314558</v>
      </c>
      <c r="S11" s="188">
        <v>314561</v>
      </c>
      <c r="T11" s="188">
        <v>314561</v>
      </c>
      <c r="U11" s="122"/>
    </row>
    <row r="12" spans="1:21" ht="12.75" customHeight="1">
      <c r="A12" s="124"/>
      <c r="B12" s="128"/>
      <c r="C12" s="90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84"/>
      <c r="N12" s="191"/>
      <c r="O12" s="191"/>
      <c r="P12" s="191"/>
      <c r="Q12" s="191"/>
      <c r="R12" s="191"/>
      <c r="S12" s="191"/>
      <c r="T12" s="191"/>
      <c r="U12" s="122"/>
    </row>
    <row r="13" spans="1:21" ht="12.75" customHeight="1">
      <c r="A13" s="124"/>
      <c r="B13" s="128"/>
      <c r="C13" s="91"/>
      <c r="D13" s="15" t="s">
        <v>3</v>
      </c>
      <c r="E13" s="16">
        <f>F13+G13+H13+I13+J13+K13+L13</f>
        <v>12000</v>
      </c>
      <c r="F13" s="16">
        <v>5000</v>
      </c>
      <c r="G13" s="16">
        <v>0</v>
      </c>
      <c r="H13" s="16">
        <v>0</v>
      </c>
      <c r="I13" s="16">
        <f>521+3479+3000</f>
        <v>7000</v>
      </c>
      <c r="J13" s="16">
        <v>0</v>
      </c>
      <c r="K13" s="16">
        <v>0</v>
      </c>
      <c r="L13" s="16">
        <v>0</v>
      </c>
      <c r="M13" s="84"/>
      <c r="N13" s="191"/>
      <c r="O13" s="191"/>
      <c r="P13" s="191"/>
      <c r="Q13" s="191"/>
      <c r="R13" s="191"/>
      <c r="S13" s="191"/>
      <c r="T13" s="191"/>
      <c r="U13" s="123"/>
    </row>
    <row r="14" spans="1:21" ht="12.75">
      <c r="A14" s="124" t="s">
        <v>93</v>
      </c>
      <c r="B14" s="128" t="s">
        <v>68</v>
      </c>
      <c r="C14" s="89" t="s">
        <v>63</v>
      </c>
      <c r="D14" s="13" t="s">
        <v>4</v>
      </c>
      <c r="E14" s="14">
        <f>E16+E17+E18+E19</f>
        <v>4476911.43</v>
      </c>
      <c r="F14" s="14">
        <f aca="true" t="shared" si="1" ref="F14:L14">F16+F17+F18+F19</f>
        <v>0</v>
      </c>
      <c r="G14" s="14">
        <f t="shared" si="1"/>
        <v>0</v>
      </c>
      <c r="H14" s="14">
        <f t="shared" si="1"/>
        <v>0</v>
      </c>
      <c r="I14" s="14">
        <f t="shared" si="1"/>
        <v>858470.4299999999</v>
      </c>
      <c r="J14" s="14">
        <f t="shared" si="1"/>
        <v>1264737</v>
      </c>
      <c r="K14" s="14">
        <f t="shared" si="1"/>
        <v>1176852</v>
      </c>
      <c r="L14" s="14">
        <f t="shared" si="1"/>
        <v>1176852</v>
      </c>
      <c r="M14" s="102" t="s">
        <v>94</v>
      </c>
      <c r="N14" s="188">
        <v>0</v>
      </c>
      <c r="O14" s="188">
        <v>0</v>
      </c>
      <c r="P14" s="188">
        <v>0</v>
      </c>
      <c r="Q14" s="188">
        <v>54</v>
      </c>
      <c r="R14" s="188">
        <v>65</v>
      </c>
      <c r="S14" s="188">
        <v>60</v>
      </c>
      <c r="T14" s="188">
        <v>60</v>
      </c>
      <c r="U14" s="92" t="s">
        <v>91</v>
      </c>
    </row>
    <row r="15" spans="1:21" ht="12.75">
      <c r="A15" s="124"/>
      <c r="B15" s="128"/>
      <c r="C15" s="90"/>
      <c r="D15" s="86" t="s">
        <v>29</v>
      </c>
      <c r="E15" s="87"/>
      <c r="F15" s="87"/>
      <c r="G15" s="87"/>
      <c r="H15" s="87"/>
      <c r="I15" s="87"/>
      <c r="J15" s="87"/>
      <c r="K15" s="87"/>
      <c r="L15" s="88"/>
      <c r="M15" s="84"/>
      <c r="N15" s="191"/>
      <c r="O15" s="191"/>
      <c r="P15" s="191"/>
      <c r="Q15" s="191"/>
      <c r="R15" s="191"/>
      <c r="S15" s="191"/>
      <c r="T15" s="191"/>
      <c r="U15" s="122"/>
    </row>
    <row r="16" spans="1:21" ht="12.75">
      <c r="A16" s="124"/>
      <c r="B16" s="128"/>
      <c r="C16" s="90"/>
      <c r="D16" s="15" t="s">
        <v>2</v>
      </c>
      <c r="E16" s="16">
        <f>F16+G16+H16+I16+J16+K16+L16</f>
        <v>3981466.48</v>
      </c>
      <c r="F16" s="16">
        <v>0</v>
      </c>
      <c r="G16" s="16">
        <v>0</v>
      </c>
      <c r="H16" s="16">
        <v>0</v>
      </c>
      <c r="I16" s="16">
        <f>949162-219452.52</f>
        <v>729709.48</v>
      </c>
      <c r="J16" s="16">
        <v>1142509</v>
      </c>
      <c r="K16" s="16">
        <v>1054624</v>
      </c>
      <c r="L16" s="16">
        <v>1054624</v>
      </c>
      <c r="M16" s="84"/>
      <c r="N16" s="191"/>
      <c r="O16" s="191"/>
      <c r="P16" s="191"/>
      <c r="Q16" s="191"/>
      <c r="R16" s="191"/>
      <c r="S16" s="191"/>
      <c r="T16" s="191"/>
      <c r="U16" s="122"/>
    </row>
    <row r="17" spans="1:21" ht="12.75">
      <c r="A17" s="124"/>
      <c r="B17" s="128"/>
      <c r="C17" s="90"/>
      <c r="D17" s="15" t="s">
        <v>0</v>
      </c>
      <c r="E17" s="16">
        <f>F17+G17+H17+I17+J17+K17+L17</f>
        <v>495444.95</v>
      </c>
      <c r="F17" s="16">
        <v>0</v>
      </c>
      <c r="G17" s="16">
        <v>0</v>
      </c>
      <c r="H17" s="16">
        <v>0</v>
      </c>
      <c r="I17" s="16">
        <f>122228+6532.95</f>
        <v>128760.95</v>
      </c>
      <c r="J17" s="16">
        <v>122228</v>
      </c>
      <c r="K17" s="16">
        <v>122228</v>
      </c>
      <c r="L17" s="16">
        <v>122228</v>
      </c>
      <c r="M17" s="84"/>
      <c r="N17" s="191"/>
      <c r="O17" s="191"/>
      <c r="P17" s="191"/>
      <c r="Q17" s="191"/>
      <c r="R17" s="191"/>
      <c r="S17" s="191"/>
      <c r="T17" s="191"/>
      <c r="U17" s="122"/>
    </row>
    <row r="18" spans="1:21" ht="12.75">
      <c r="A18" s="124"/>
      <c r="B18" s="128"/>
      <c r="C18" s="90"/>
      <c r="D18" s="15" t="s">
        <v>1</v>
      </c>
      <c r="E18" s="16">
        <f>F18+G18+H18+I18+J18+K18+L18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84"/>
      <c r="N18" s="191"/>
      <c r="O18" s="191"/>
      <c r="P18" s="191"/>
      <c r="Q18" s="191"/>
      <c r="R18" s="191"/>
      <c r="S18" s="191"/>
      <c r="T18" s="191"/>
      <c r="U18" s="122"/>
    </row>
    <row r="19" spans="1:21" ht="12.75">
      <c r="A19" s="124"/>
      <c r="B19" s="128"/>
      <c r="C19" s="91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85"/>
      <c r="N19" s="192"/>
      <c r="O19" s="192"/>
      <c r="P19" s="192"/>
      <c r="Q19" s="192"/>
      <c r="R19" s="192"/>
      <c r="S19" s="192"/>
      <c r="T19" s="192"/>
      <c r="U19" s="123"/>
    </row>
    <row r="20" spans="1:21" ht="12.75">
      <c r="A20" s="102"/>
      <c r="B20" s="99" t="s">
        <v>95</v>
      </c>
      <c r="C20" s="89"/>
      <c r="D20" s="13" t="s">
        <v>4</v>
      </c>
      <c r="E20" s="14">
        <f>E22+E23+E24+E25</f>
        <v>291630719.34</v>
      </c>
      <c r="F20" s="14">
        <f aca="true" t="shared" si="2" ref="F20:L20">F22+F23+F24+F25</f>
        <v>37935433.69</v>
      </c>
      <c r="G20" s="14">
        <f t="shared" si="2"/>
        <v>40162203.56</v>
      </c>
      <c r="H20" s="14">
        <f t="shared" si="2"/>
        <v>42279510.65</v>
      </c>
      <c r="I20" s="14">
        <f t="shared" si="2"/>
        <v>45427810.3</v>
      </c>
      <c r="J20" s="14">
        <f t="shared" si="2"/>
        <v>44802435.760000005</v>
      </c>
      <c r="K20" s="14">
        <f t="shared" si="2"/>
        <v>40511662.69</v>
      </c>
      <c r="L20" s="14">
        <f t="shared" si="2"/>
        <v>40511662.69</v>
      </c>
      <c r="M20" s="102"/>
      <c r="N20" s="188"/>
      <c r="O20" s="188"/>
      <c r="P20" s="188"/>
      <c r="Q20" s="188"/>
      <c r="R20" s="188"/>
      <c r="S20" s="188"/>
      <c r="T20" s="188"/>
      <c r="U20" s="92"/>
    </row>
    <row r="21" spans="1:21" ht="12.75">
      <c r="A21" s="84"/>
      <c r="B21" s="97"/>
      <c r="C21" s="84"/>
      <c r="D21" s="86" t="s">
        <v>29</v>
      </c>
      <c r="E21" s="87"/>
      <c r="F21" s="87"/>
      <c r="G21" s="87"/>
      <c r="H21" s="87"/>
      <c r="I21" s="87"/>
      <c r="J21" s="87"/>
      <c r="K21" s="87"/>
      <c r="L21" s="88"/>
      <c r="M21" s="103"/>
      <c r="N21" s="189"/>
      <c r="O21" s="189"/>
      <c r="P21" s="189"/>
      <c r="Q21" s="189"/>
      <c r="R21" s="189"/>
      <c r="S21" s="189"/>
      <c r="T21" s="189"/>
      <c r="U21" s="122"/>
    </row>
    <row r="22" spans="1:21" ht="12.75">
      <c r="A22" s="84"/>
      <c r="B22" s="97"/>
      <c r="C22" s="84"/>
      <c r="D22" s="15" t="s">
        <v>2</v>
      </c>
      <c r="E22" s="16">
        <f>F22+G22+H22+I22+J22+K22+L22</f>
        <v>272428479</v>
      </c>
      <c r="F22" s="16">
        <f aca="true" t="shared" si="3" ref="F22:H25">F10</f>
        <v>34587488</v>
      </c>
      <c r="G22" s="16">
        <f t="shared" si="3"/>
        <v>37713522.56</v>
      </c>
      <c r="H22" s="16">
        <f t="shared" si="3"/>
        <v>39836938.78</v>
      </c>
      <c r="I22" s="16">
        <f aca="true" t="shared" si="4" ref="I22:L23">I10+I16</f>
        <v>40156276.57</v>
      </c>
      <c r="J22" s="16">
        <f t="shared" si="4"/>
        <v>39994152.67</v>
      </c>
      <c r="K22" s="16">
        <f t="shared" si="4"/>
        <v>40070050.21</v>
      </c>
      <c r="L22" s="16">
        <f t="shared" si="4"/>
        <v>40070050.21</v>
      </c>
      <c r="M22" s="103"/>
      <c r="N22" s="189"/>
      <c r="O22" s="189"/>
      <c r="P22" s="189"/>
      <c r="Q22" s="189"/>
      <c r="R22" s="189"/>
      <c r="S22" s="189"/>
      <c r="T22" s="189"/>
      <c r="U22" s="122"/>
    </row>
    <row r="23" spans="1:21" ht="12.75">
      <c r="A23" s="84"/>
      <c r="B23" s="97"/>
      <c r="C23" s="84"/>
      <c r="D23" s="15" t="s">
        <v>0</v>
      </c>
      <c r="E23" s="16">
        <f>F23+G23+H23+I23+J23+K23+L23</f>
        <v>19190240.34</v>
      </c>
      <c r="F23" s="16">
        <f t="shared" si="3"/>
        <v>3342945.69</v>
      </c>
      <c r="G23" s="16">
        <f t="shared" si="3"/>
        <v>2448681</v>
      </c>
      <c r="H23" s="16">
        <f t="shared" si="3"/>
        <v>2442571.87</v>
      </c>
      <c r="I23" s="16">
        <f t="shared" si="4"/>
        <v>5264533.7299999995</v>
      </c>
      <c r="J23" s="16">
        <f t="shared" si="4"/>
        <v>4808283.09</v>
      </c>
      <c r="K23" s="16">
        <f t="shared" si="4"/>
        <v>441612.48</v>
      </c>
      <c r="L23" s="16">
        <f t="shared" si="4"/>
        <v>441612.48</v>
      </c>
      <c r="M23" s="103"/>
      <c r="N23" s="189"/>
      <c r="O23" s="189"/>
      <c r="P23" s="189"/>
      <c r="Q23" s="189"/>
      <c r="R23" s="189"/>
      <c r="S23" s="189"/>
      <c r="T23" s="189"/>
      <c r="U23" s="122"/>
    </row>
    <row r="24" spans="1:21" ht="12.75">
      <c r="A24" s="84"/>
      <c r="B24" s="97"/>
      <c r="C24" s="84"/>
      <c r="D24" s="15" t="s">
        <v>1</v>
      </c>
      <c r="E24" s="16">
        <f>F24+G24+H24+I24+J24+K24+L24</f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v>0</v>
      </c>
      <c r="J24" s="16">
        <f aca="true" t="shared" si="5" ref="J24:L25">J12</f>
        <v>0</v>
      </c>
      <c r="K24" s="16">
        <f t="shared" si="5"/>
        <v>0</v>
      </c>
      <c r="L24" s="16">
        <f t="shared" si="5"/>
        <v>0</v>
      </c>
      <c r="M24" s="103"/>
      <c r="N24" s="189"/>
      <c r="O24" s="189"/>
      <c r="P24" s="189"/>
      <c r="Q24" s="189"/>
      <c r="R24" s="189"/>
      <c r="S24" s="189"/>
      <c r="T24" s="189"/>
      <c r="U24" s="122"/>
    </row>
    <row r="25" spans="1:21" ht="12.75">
      <c r="A25" s="85"/>
      <c r="B25" s="98"/>
      <c r="C25" s="85"/>
      <c r="D25" s="15" t="s">
        <v>3</v>
      </c>
      <c r="E25" s="16">
        <f>F25+G25+H25+I25+J25+K25+L25</f>
        <v>12000</v>
      </c>
      <c r="F25" s="16">
        <f t="shared" si="3"/>
        <v>5000</v>
      </c>
      <c r="G25" s="16">
        <f t="shared" si="3"/>
        <v>0</v>
      </c>
      <c r="H25" s="16">
        <f t="shared" si="3"/>
        <v>0</v>
      </c>
      <c r="I25" s="16">
        <f>I13+I19</f>
        <v>7000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04"/>
      <c r="N25" s="190"/>
      <c r="O25" s="190"/>
      <c r="P25" s="190"/>
      <c r="Q25" s="190"/>
      <c r="R25" s="190"/>
      <c r="S25" s="190"/>
      <c r="T25" s="190"/>
      <c r="U25" s="123"/>
    </row>
    <row r="26" spans="1:21" ht="12.75">
      <c r="A26" s="37">
        <v>2</v>
      </c>
      <c r="B26" s="119" t="s">
        <v>96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1"/>
    </row>
    <row r="27" spans="1:21" ht="12.75">
      <c r="A27" s="102" t="s">
        <v>6</v>
      </c>
      <c r="B27" s="128" t="s">
        <v>97</v>
      </c>
      <c r="C27" s="89" t="s">
        <v>98</v>
      </c>
      <c r="D27" s="13" t="s">
        <v>4</v>
      </c>
      <c r="E27" s="14">
        <f>E29+E30+E31+E32</f>
        <v>19008448.9</v>
      </c>
      <c r="F27" s="14">
        <f aca="true" t="shared" si="6" ref="F27:L27">F29+F30+F31+F32</f>
        <v>10178283.18</v>
      </c>
      <c r="G27" s="14">
        <f t="shared" si="6"/>
        <v>4727094.72</v>
      </c>
      <c r="H27" s="14">
        <f t="shared" si="6"/>
        <v>4103071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92" t="s">
        <v>99</v>
      </c>
      <c r="N27" s="188">
        <v>357066</v>
      </c>
      <c r="O27" s="188">
        <v>344445</v>
      </c>
      <c r="P27" s="188">
        <v>337716</v>
      </c>
      <c r="Q27" s="188">
        <v>0</v>
      </c>
      <c r="R27" s="188">
        <v>0</v>
      </c>
      <c r="S27" s="188">
        <v>0</v>
      </c>
      <c r="T27" s="188">
        <v>0</v>
      </c>
      <c r="U27" s="92" t="s">
        <v>91</v>
      </c>
    </row>
    <row r="28" spans="1:21" ht="12.75" customHeight="1">
      <c r="A28" s="84"/>
      <c r="B28" s="128"/>
      <c r="C28" s="90"/>
      <c r="D28" s="86" t="s">
        <v>29</v>
      </c>
      <c r="E28" s="87"/>
      <c r="F28" s="87"/>
      <c r="G28" s="87"/>
      <c r="H28" s="87"/>
      <c r="I28" s="87"/>
      <c r="J28" s="87"/>
      <c r="K28" s="87"/>
      <c r="L28" s="88"/>
      <c r="M28" s="122"/>
      <c r="N28" s="189"/>
      <c r="O28" s="189"/>
      <c r="P28" s="189"/>
      <c r="Q28" s="189"/>
      <c r="R28" s="189"/>
      <c r="S28" s="189"/>
      <c r="T28" s="189"/>
      <c r="U28" s="122"/>
    </row>
    <row r="29" spans="1:21" ht="12.75" customHeight="1">
      <c r="A29" s="84"/>
      <c r="B29" s="128"/>
      <c r="C29" s="90"/>
      <c r="D29" s="15" t="s">
        <v>2</v>
      </c>
      <c r="E29" s="16">
        <f>F29+G29+H29+I29+J29+K29+L29</f>
        <v>18982015.9</v>
      </c>
      <c r="F29" s="16">
        <v>10178283.18</v>
      </c>
      <c r="G29" s="16">
        <v>4713774.72</v>
      </c>
      <c r="H29" s="16">
        <v>4089958</v>
      </c>
      <c r="I29" s="16">
        <v>0</v>
      </c>
      <c r="J29" s="16">
        <v>0</v>
      </c>
      <c r="K29" s="16">
        <v>0</v>
      </c>
      <c r="L29" s="16">
        <v>0</v>
      </c>
      <c r="M29" s="122"/>
      <c r="N29" s="189"/>
      <c r="O29" s="189"/>
      <c r="P29" s="189"/>
      <c r="Q29" s="189"/>
      <c r="R29" s="189"/>
      <c r="S29" s="189"/>
      <c r="T29" s="189"/>
      <c r="U29" s="122"/>
    </row>
    <row r="30" spans="1:21" ht="12.75" customHeight="1">
      <c r="A30" s="84"/>
      <c r="B30" s="128"/>
      <c r="C30" s="90"/>
      <c r="D30" s="15" t="s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22"/>
      <c r="N30" s="189"/>
      <c r="O30" s="189"/>
      <c r="P30" s="189"/>
      <c r="Q30" s="189"/>
      <c r="R30" s="189"/>
      <c r="S30" s="189"/>
      <c r="T30" s="189"/>
      <c r="U30" s="122"/>
    </row>
    <row r="31" spans="1:21" ht="12.75" customHeight="1">
      <c r="A31" s="84"/>
      <c r="B31" s="128"/>
      <c r="C31" s="90"/>
      <c r="D31" s="15" t="s">
        <v>1</v>
      </c>
      <c r="E31" s="16">
        <f>F31+G31+H31+I31+J31+K31+L31</f>
        <v>26433</v>
      </c>
      <c r="F31" s="16">
        <v>0</v>
      </c>
      <c r="G31" s="16">
        <v>13320</v>
      </c>
      <c r="H31" s="16">
        <v>13113</v>
      </c>
      <c r="I31" s="16">
        <v>0</v>
      </c>
      <c r="J31" s="16">
        <v>0</v>
      </c>
      <c r="K31" s="16">
        <v>0</v>
      </c>
      <c r="L31" s="16">
        <v>0</v>
      </c>
      <c r="M31" s="122"/>
      <c r="N31" s="189"/>
      <c r="O31" s="189"/>
      <c r="P31" s="189"/>
      <c r="Q31" s="189"/>
      <c r="R31" s="189"/>
      <c r="S31" s="189"/>
      <c r="T31" s="189"/>
      <c r="U31" s="122"/>
    </row>
    <row r="32" spans="1:21" ht="12.75" customHeight="1">
      <c r="A32" s="85"/>
      <c r="B32" s="128"/>
      <c r="C32" s="91"/>
      <c r="D32" s="15" t="s">
        <v>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23"/>
      <c r="N32" s="190"/>
      <c r="O32" s="190"/>
      <c r="P32" s="190"/>
      <c r="Q32" s="190"/>
      <c r="R32" s="190"/>
      <c r="S32" s="190"/>
      <c r="T32" s="190"/>
      <c r="U32" s="123"/>
    </row>
    <row r="33" spans="1:21" ht="12.75">
      <c r="A33" s="102" t="s">
        <v>41</v>
      </c>
      <c r="B33" s="99" t="s">
        <v>100</v>
      </c>
      <c r="C33" s="89" t="s">
        <v>98</v>
      </c>
      <c r="D33" s="13" t="s">
        <v>4</v>
      </c>
      <c r="E33" s="14">
        <f>E35+E36+E37+E38</f>
        <v>12919489.16</v>
      </c>
      <c r="F33" s="14">
        <f aca="true" t="shared" si="7" ref="F33:L33">F35+F36+F37+F38</f>
        <v>5237060.52</v>
      </c>
      <c r="G33" s="14">
        <f t="shared" si="7"/>
        <v>3247992.09</v>
      </c>
      <c r="H33" s="14">
        <f t="shared" si="7"/>
        <v>4434436.55</v>
      </c>
      <c r="I33" s="14">
        <f t="shared" si="7"/>
        <v>0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92" t="s">
        <v>101</v>
      </c>
      <c r="N33" s="188">
        <v>2688</v>
      </c>
      <c r="O33" s="188">
        <v>3920</v>
      </c>
      <c r="P33" s="188">
        <v>3921</v>
      </c>
      <c r="Q33" s="188">
        <v>0</v>
      </c>
      <c r="R33" s="188">
        <v>0</v>
      </c>
      <c r="S33" s="188">
        <v>0</v>
      </c>
      <c r="T33" s="188">
        <v>0</v>
      </c>
      <c r="U33" s="92" t="s">
        <v>91</v>
      </c>
    </row>
    <row r="34" spans="1:21" ht="12.75" customHeight="1">
      <c r="A34" s="84"/>
      <c r="B34" s="97"/>
      <c r="C34" s="90"/>
      <c r="D34" s="86" t="s">
        <v>29</v>
      </c>
      <c r="E34" s="87"/>
      <c r="F34" s="87"/>
      <c r="G34" s="87"/>
      <c r="H34" s="87"/>
      <c r="I34" s="87"/>
      <c r="J34" s="87"/>
      <c r="K34" s="87"/>
      <c r="L34" s="88"/>
      <c r="M34" s="122"/>
      <c r="N34" s="189"/>
      <c r="O34" s="189"/>
      <c r="P34" s="189"/>
      <c r="Q34" s="189"/>
      <c r="R34" s="189"/>
      <c r="S34" s="189"/>
      <c r="T34" s="189"/>
      <c r="U34" s="122"/>
    </row>
    <row r="35" spans="1:21" ht="12.75" customHeight="1">
      <c r="A35" s="84"/>
      <c r="B35" s="97"/>
      <c r="C35" s="90"/>
      <c r="D35" s="15" t="s">
        <v>2</v>
      </c>
      <c r="E35" s="16">
        <f>F35+G35+H35+I35+J35+K35+L35</f>
        <v>12919489.16</v>
      </c>
      <c r="F35" s="16">
        <v>5237060.52</v>
      </c>
      <c r="G35" s="16">
        <v>3247992.09</v>
      </c>
      <c r="H35" s="16">
        <v>4434436.55</v>
      </c>
      <c r="I35" s="16">
        <v>0</v>
      </c>
      <c r="J35" s="16">
        <v>0</v>
      </c>
      <c r="K35" s="16">
        <v>0</v>
      </c>
      <c r="L35" s="16">
        <v>0</v>
      </c>
      <c r="M35" s="122"/>
      <c r="N35" s="189"/>
      <c r="O35" s="189"/>
      <c r="P35" s="189"/>
      <c r="Q35" s="189"/>
      <c r="R35" s="189"/>
      <c r="S35" s="189"/>
      <c r="T35" s="189"/>
      <c r="U35" s="122"/>
    </row>
    <row r="36" spans="1:21" ht="12.75" customHeight="1">
      <c r="A36" s="84"/>
      <c r="B36" s="97"/>
      <c r="C36" s="90"/>
      <c r="D36" s="15" t="s">
        <v>0</v>
      </c>
      <c r="E36" s="16">
        <f>F36+G36+H36+I36+J36+K36+L36</f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22"/>
      <c r="N36" s="189"/>
      <c r="O36" s="189"/>
      <c r="P36" s="189"/>
      <c r="Q36" s="189"/>
      <c r="R36" s="189"/>
      <c r="S36" s="189"/>
      <c r="T36" s="189"/>
      <c r="U36" s="122"/>
    </row>
    <row r="37" spans="1:21" ht="12.75" customHeight="1">
      <c r="A37" s="84"/>
      <c r="B37" s="97"/>
      <c r="C37" s="90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22"/>
      <c r="N37" s="189"/>
      <c r="O37" s="189"/>
      <c r="P37" s="189"/>
      <c r="Q37" s="189"/>
      <c r="R37" s="189"/>
      <c r="S37" s="189"/>
      <c r="T37" s="189"/>
      <c r="U37" s="122"/>
    </row>
    <row r="38" spans="1:21" ht="12.75" customHeight="1">
      <c r="A38" s="85"/>
      <c r="B38" s="98"/>
      <c r="C38" s="91"/>
      <c r="D38" s="15" t="s">
        <v>3</v>
      </c>
      <c r="E38" s="16">
        <f>F38+G38+H38+I38+J38+K38+L38</f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23"/>
      <c r="N38" s="190"/>
      <c r="O38" s="190"/>
      <c r="P38" s="190"/>
      <c r="Q38" s="190"/>
      <c r="R38" s="190"/>
      <c r="S38" s="190"/>
      <c r="T38" s="190"/>
      <c r="U38" s="123"/>
    </row>
    <row r="39" spans="1:21" ht="12.75" customHeight="1">
      <c r="A39" s="102" t="s">
        <v>57</v>
      </c>
      <c r="B39" s="128" t="s">
        <v>102</v>
      </c>
      <c r="C39" s="89" t="s">
        <v>63</v>
      </c>
      <c r="D39" s="13" t="s">
        <v>4</v>
      </c>
      <c r="E39" s="14">
        <f>E41+E42+E43+E44</f>
        <v>20876529.07</v>
      </c>
      <c r="F39" s="14">
        <f aca="true" t="shared" si="8" ref="F39:L39">F41+F42+F43+F44</f>
        <v>0</v>
      </c>
      <c r="G39" s="14">
        <f t="shared" si="8"/>
        <v>0</v>
      </c>
      <c r="H39" s="14">
        <f t="shared" si="8"/>
        <v>0</v>
      </c>
      <c r="I39" s="14">
        <f t="shared" si="8"/>
        <v>5282577.76</v>
      </c>
      <c r="J39" s="14">
        <f t="shared" si="8"/>
        <v>5197983.77</v>
      </c>
      <c r="K39" s="14">
        <f t="shared" si="8"/>
        <v>5197983.77</v>
      </c>
      <c r="L39" s="14">
        <f t="shared" si="8"/>
        <v>5197983.77</v>
      </c>
      <c r="M39" s="92" t="s">
        <v>103</v>
      </c>
      <c r="N39" s="188">
        <v>0</v>
      </c>
      <c r="O39" s="188">
        <v>0</v>
      </c>
      <c r="P39" s="188">
        <v>0</v>
      </c>
      <c r="Q39" s="188">
        <v>337717</v>
      </c>
      <c r="R39" s="188">
        <v>337718</v>
      </c>
      <c r="S39" s="188">
        <v>337719</v>
      </c>
      <c r="T39" s="188">
        <v>337719</v>
      </c>
      <c r="U39" s="92" t="s">
        <v>91</v>
      </c>
    </row>
    <row r="40" spans="1:21" ht="12.75" customHeight="1">
      <c r="A40" s="84"/>
      <c r="B40" s="128"/>
      <c r="C40" s="90"/>
      <c r="D40" s="86" t="s">
        <v>29</v>
      </c>
      <c r="E40" s="87"/>
      <c r="F40" s="87"/>
      <c r="G40" s="87"/>
      <c r="H40" s="87"/>
      <c r="I40" s="87"/>
      <c r="J40" s="87"/>
      <c r="K40" s="87"/>
      <c r="L40" s="88"/>
      <c r="M40" s="122"/>
      <c r="N40" s="189"/>
      <c r="O40" s="189"/>
      <c r="P40" s="189"/>
      <c r="Q40" s="189"/>
      <c r="R40" s="189"/>
      <c r="S40" s="189"/>
      <c r="T40" s="189"/>
      <c r="U40" s="122"/>
    </row>
    <row r="41" spans="1:21" ht="12.75" customHeight="1">
      <c r="A41" s="84"/>
      <c r="B41" s="128"/>
      <c r="C41" s="90"/>
      <c r="D41" s="15" t="s">
        <v>2</v>
      </c>
      <c r="E41" s="16">
        <f>F41+G41+H41+I41+J41+K41+L41</f>
        <v>20842518.56</v>
      </c>
      <c r="F41" s="16">
        <v>0</v>
      </c>
      <c r="G41" s="16">
        <v>0</v>
      </c>
      <c r="H41" s="16">
        <v>0</v>
      </c>
      <c r="I41" s="16">
        <v>5248567.25</v>
      </c>
      <c r="J41" s="16">
        <v>5197983.77</v>
      </c>
      <c r="K41" s="16">
        <v>5197983.77</v>
      </c>
      <c r="L41" s="16">
        <v>5197983.77</v>
      </c>
      <c r="M41" s="122"/>
      <c r="N41" s="189"/>
      <c r="O41" s="189"/>
      <c r="P41" s="189"/>
      <c r="Q41" s="189"/>
      <c r="R41" s="189"/>
      <c r="S41" s="189"/>
      <c r="T41" s="189"/>
      <c r="U41" s="122"/>
    </row>
    <row r="42" spans="1:21" ht="12.75" customHeight="1">
      <c r="A42" s="84"/>
      <c r="B42" s="128"/>
      <c r="C42" s="90"/>
      <c r="D42" s="15" t="s">
        <v>0</v>
      </c>
      <c r="E42" s="16">
        <f>F42+G42+H42+I42+J42+K42+L42</f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22"/>
      <c r="N42" s="189"/>
      <c r="O42" s="189"/>
      <c r="P42" s="189"/>
      <c r="Q42" s="189"/>
      <c r="R42" s="189"/>
      <c r="S42" s="189"/>
      <c r="T42" s="189"/>
      <c r="U42" s="122"/>
    </row>
    <row r="43" spans="1:21" ht="12.75" customHeight="1">
      <c r="A43" s="84"/>
      <c r="B43" s="128"/>
      <c r="C43" s="90"/>
      <c r="D43" s="15" t="s">
        <v>1</v>
      </c>
      <c r="E43" s="16">
        <f>F43+G43+H43+I43+J43+K43+L43</f>
        <v>34010.51</v>
      </c>
      <c r="F43" s="16">
        <v>0</v>
      </c>
      <c r="G43" s="16">
        <v>0</v>
      </c>
      <c r="H43" s="16">
        <v>0</v>
      </c>
      <c r="I43" s="16">
        <f>18025.34+15985.17</f>
        <v>34010.51</v>
      </c>
      <c r="J43" s="16">
        <v>0</v>
      </c>
      <c r="K43" s="16">
        <v>0</v>
      </c>
      <c r="L43" s="16">
        <v>0</v>
      </c>
      <c r="M43" s="122"/>
      <c r="N43" s="189"/>
      <c r="O43" s="189"/>
      <c r="P43" s="189"/>
      <c r="Q43" s="189"/>
      <c r="R43" s="189"/>
      <c r="S43" s="189"/>
      <c r="T43" s="189"/>
      <c r="U43" s="122"/>
    </row>
    <row r="44" spans="1:21" ht="12.75" customHeight="1">
      <c r="A44" s="85"/>
      <c r="B44" s="128"/>
      <c r="C44" s="91"/>
      <c r="D44" s="15" t="s">
        <v>3</v>
      </c>
      <c r="E44" s="16">
        <f>F44+G44+H44+I44+J44+K44+L44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23"/>
      <c r="N44" s="190"/>
      <c r="O44" s="190"/>
      <c r="P44" s="190"/>
      <c r="Q44" s="190"/>
      <c r="R44" s="190"/>
      <c r="S44" s="190"/>
      <c r="T44" s="190"/>
      <c r="U44" s="123"/>
    </row>
    <row r="45" spans="1:21" ht="12.75" customHeight="1">
      <c r="A45" s="102" t="s">
        <v>58</v>
      </c>
      <c r="B45" s="99" t="s">
        <v>104</v>
      </c>
      <c r="C45" s="89" t="s">
        <v>63</v>
      </c>
      <c r="D45" s="13" t="s">
        <v>4</v>
      </c>
      <c r="E45" s="14">
        <f>E47+E48+E49+E50</f>
        <v>16424044.12</v>
      </c>
      <c r="F45" s="14">
        <f aca="true" t="shared" si="9" ref="F45:L45">F47+F48+F49+F50</f>
        <v>0</v>
      </c>
      <c r="G45" s="14">
        <f t="shared" si="9"/>
        <v>0</v>
      </c>
      <c r="H45" s="14">
        <f t="shared" si="9"/>
        <v>0</v>
      </c>
      <c r="I45" s="14">
        <f t="shared" si="9"/>
        <v>4142944.31</v>
      </c>
      <c r="J45" s="14">
        <f t="shared" si="9"/>
        <v>4093833.27</v>
      </c>
      <c r="K45" s="14">
        <f t="shared" si="9"/>
        <v>4093633.27</v>
      </c>
      <c r="L45" s="14">
        <f t="shared" si="9"/>
        <v>4093633.27</v>
      </c>
      <c r="M45" s="92" t="s">
        <v>103</v>
      </c>
      <c r="N45" s="188">
        <v>0</v>
      </c>
      <c r="O45" s="188">
        <v>0</v>
      </c>
      <c r="P45" s="188">
        <v>0</v>
      </c>
      <c r="Q45" s="188">
        <v>3921</v>
      </c>
      <c r="R45" s="188">
        <v>3921</v>
      </c>
      <c r="S45" s="188">
        <v>3921</v>
      </c>
      <c r="T45" s="188">
        <v>3921</v>
      </c>
      <c r="U45" s="92" t="s">
        <v>91</v>
      </c>
    </row>
    <row r="46" spans="1:21" ht="12.75" customHeight="1">
      <c r="A46" s="84"/>
      <c r="B46" s="97"/>
      <c r="C46" s="90"/>
      <c r="D46" s="86" t="s">
        <v>29</v>
      </c>
      <c r="E46" s="87"/>
      <c r="F46" s="87"/>
      <c r="G46" s="87"/>
      <c r="H46" s="87"/>
      <c r="I46" s="87"/>
      <c r="J46" s="87"/>
      <c r="K46" s="87"/>
      <c r="L46" s="88"/>
      <c r="M46" s="122"/>
      <c r="N46" s="189"/>
      <c r="O46" s="189"/>
      <c r="P46" s="189"/>
      <c r="Q46" s="189"/>
      <c r="R46" s="189"/>
      <c r="S46" s="189"/>
      <c r="T46" s="189"/>
      <c r="U46" s="122"/>
    </row>
    <row r="47" spans="1:21" ht="12.75" customHeight="1">
      <c r="A47" s="84"/>
      <c r="B47" s="97"/>
      <c r="C47" s="90"/>
      <c r="D47" s="15" t="s">
        <v>2</v>
      </c>
      <c r="E47" s="16">
        <f>F47+G47+H47+I47+J47+K47+L47</f>
        <v>16424044.12</v>
      </c>
      <c r="F47" s="16">
        <v>0</v>
      </c>
      <c r="G47" s="16">
        <v>0</v>
      </c>
      <c r="H47" s="16">
        <v>0</v>
      </c>
      <c r="I47" s="16">
        <v>4142944.31</v>
      </c>
      <c r="J47" s="16">
        <v>4093833.27</v>
      </c>
      <c r="K47" s="16">
        <v>4093633.27</v>
      </c>
      <c r="L47" s="16">
        <v>4093633.27</v>
      </c>
      <c r="M47" s="122"/>
      <c r="N47" s="189"/>
      <c r="O47" s="189"/>
      <c r="P47" s="189"/>
      <c r="Q47" s="189"/>
      <c r="R47" s="189"/>
      <c r="S47" s="189"/>
      <c r="T47" s="189"/>
      <c r="U47" s="122"/>
    </row>
    <row r="48" spans="1:21" ht="12.75" customHeight="1">
      <c r="A48" s="84"/>
      <c r="B48" s="97"/>
      <c r="C48" s="90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22"/>
      <c r="N48" s="189"/>
      <c r="O48" s="189"/>
      <c r="P48" s="189"/>
      <c r="Q48" s="189"/>
      <c r="R48" s="189"/>
      <c r="S48" s="189"/>
      <c r="T48" s="189"/>
      <c r="U48" s="122"/>
    </row>
    <row r="49" spans="1:21" ht="12.75" customHeight="1">
      <c r="A49" s="84"/>
      <c r="B49" s="97"/>
      <c r="C49" s="90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22"/>
      <c r="N49" s="189"/>
      <c r="O49" s="189"/>
      <c r="P49" s="189"/>
      <c r="Q49" s="189"/>
      <c r="R49" s="189"/>
      <c r="S49" s="189"/>
      <c r="T49" s="189"/>
      <c r="U49" s="122"/>
    </row>
    <row r="50" spans="1:21" ht="12.75" customHeight="1">
      <c r="A50" s="85"/>
      <c r="B50" s="98"/>
      <c r="C50" s="91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23"/>
      <c r="N50" s="190"/>
      <c r="O50" s="190"/>
      <c r="P50" s="190"/>
      <c r="Q50" s="190"/>
      <c r="R50" s="190"/>
      <c r="S50" s="190"/>
      <c r="T50" s="190"/>
      <c r="U50" s="123"/>
    </row>
    <row r="51" spans="1:21" ht="12.75">
      <c r="A51" s="102"/>
      <c r="B51" s="99" t="s">
        <v>105</v>
      </c>
      <c r="C51" s="89"/>
      <c r="D51" s="13" t="s">
        <v>4</v>
      </c>
      <c r="E51" s="14">
        <f>E53+E54+E55+E56</f>
        <v>69228511.25</v>
      </c>
      <c r="F51" s="14">
        <f aca="true" t="shared" si="10" ref="F51:L51">F53+F54+F55+F56</f>
        <v>15415343.7</v>
      </c>
      <c r="G51" s="14">
        <f t="shared" si="10"/>
        <v>7975086.81</v>
      </c>
      <c r="H51" s="14">
        <f t="shared" si="10"/>
        <v>8537507.55</v>
      </c>
      <c r="I51" s="14">
        <f t="shared" si="10"/>
        <v>9425522.07</v>
      </c>
      <c r="J51" s="14">
        <f t="shared" si="10"/>
        <v>9291817.04</v>
      </c>
      <c r="K51" s="14">
        <f t="shared" si="10"/>
        <v>9291617.04</v>
      </c>
      <c r="L51" s="14">
        <f t="shared" si="10"/>
        <v>9291617.04</v>
      </c>
      <c r="M51" s="96"/>
      <c r="N51" s="185"/>
      <c r="O51" s="185"/>
      <c r="P51" s="185"/>
      <c r="Q51" s="185"/>
      <c r="R51" s="185"/>
      <c r="S51" s="185"/>
      <c r="T51" s="185"/>
      <c r="U51" s="96"/>
    </row>
    <row r="52" spans="1:21" ht="12.75">
      <c r="A52" s="84"/>
      <c r="B52" s="97"/>
      <c r="C52" s="84"/>
      <c r="D52" s="86" t="s">
        <v>29</v>
      </c>
      <c r="E52" s="87"/>
      <c r="F52" s="87"/>
      <c r="G52" s="87"/>
      <c r="H52" s="87"/>
      <c r="I52" s="87"/>
      <c r="J52" s="87"/>
      <c r="K52" s="87"/>
      <c r="L52" s="88"/>
      <c r="M52" s="136"/>
      <c r="N52" s="186"/>
      <c r="O52" s="186"/>
      <c r="P52" s="186"/>
      <c r="Q52" s="186"/>
      <c r="R52" s="186"/>
      <c r="S52" s="186"/>
      <c r="T52" s="186"/>
      <c r="U52" s="136"/>
    </row>
    <row r="53" spans="1:21" ht="12.75">
      <c r="A53" s="84"/>
      <c r="B53" s="97"/>
      <c r="C53" s="84"/>
      <c r="D53" s="15" t="s">
        <v>2</v>
      </c>
      <c r="E53" s="16">
        <f>F53+G53+H53+I53+J53+K53+L53</f>
        <v>69168067.74</v>
      </c>
      <c r="F53" s="16">
        <f>F29+F35</f>
        <v>15415343.7</v>
      </c>
      <c r="G53" s="16">
        <f>G29+G35</f>
        <v>7961766.81</v>
      </c>
      <c r="H53" s="16">
        <f>H29+H35</f>
        <v>8524394.55</v>
      </c>
      <c r="I53" s="16">
        <f>I41+I47</f>
        <v>9391511.56</v>
      </c>
      <c r="J53" s="16">
        <f>J41+J47</f>
        <v>9291817.04</v>
      </c>
      <c r="K53" s="16">
        <f>K41+K47</f>
        <v>9291617.04</v>
      </c>
      <c r="L53" s="16">
        <f>L41+L47</f>
        <v>9291617.04</v>
      </c>
      <c r="M53" s="136"/>
      <c r="N53" s="186"/>
      <c r="O53" s="186"/>
      <c r="P53" s="186"/>
      <c r="Q53" s="186"/>
      <c r="R53" s="186"/>
      <c r="S53" s="186"/>
      <c r="T53" s="186"/>
      <c r="U53" s="136"/>
    </row>
    <row r="54" spans="1:21" ht="12.75">
      <c r="A54" s="84"/>
      <c r="B54" s="97"/>
      <c r="C54" s="84"/>
      <c r="D54" s="15" t="s">
        <v>0</v>
      </c>
      <c r="E54" s="16">
        <f>F54+G54+H54+I54+J54+K54+L54</f>
        <v>0</v>
      </c>
      <c r="F54" s="16">
        <v>0</v>
      </c>
      <c r="G54" s="16"/>
      <c r="H54" s="16"/>
      <c r="I54" s="16">
        <f aca="true" t="shared" si="11" ref="I54:L55">I42</f>
        <v>0</v>
      </c>
      <c r="J54" s="16">
        <f t="shared" si="11"/>
        <v>0</v>
      </c>
      <c r="K54" s="16">
        <f t="shared" si="11"/>
        <v>0</v>
      </c>
      <c r="L54" s="16">
        <f t="shared" si="11"/>
        <v>0</v>
      </c>
      <c r="M54" s="136"/>
      <c r="N54" s="186"/>
      <c r="O54" s="186"/>
      <c r="P54" s="186"/>
      <c r="Q54" s="186"/>
      <c r="R54" s="186"/>
      <c r="S54" s="186"/>
      <c r="T54" s="186"/>
      <c r="U54" s="136"/>
    </row>
    <row r="55" spans="1:21" ht="12.75">
      <c r="A55" s="84"/>
      <c r="B55" s="97"/>
      <c r="C55" s="84"/>
      <c r="D55" s="15" t="s">
        <v>1</v>
      </c>
      <c r="E55" s="16">
        <f>F55+G55+H55+I55+J55+K55+L55</f>
        <v>60443.51</v>
      </c>
      <c r="F55" s="16">
        <v>0</v>
      </c>
      <c r="G55" s="16">
        <f>G31</f>
        <v>13320</v>
      </c>
      <c r="H55" s="16">
        <f>H31</f>
        <v>13113</v>
      </c>
      <c r="I55" s="16">
        <f t="shared" si="11"/>
        <v>34010.51</v>
      </c>
      <c r="J55" s="16">
        <f t="shared" si="11"/>
        <v>0</v>
      </c>
      <c r="K55" s="16">
        <f t="shared" si="11"/>
        <v>0</v>
      </c>
      <c r="L55" s="16">
        <f t="shared" si="11"/>
        <v>0</v>
      </c>
      <c r="M55" s="136"/>
      <c r="N55" s="186"/>
      <c r="O55" s="186"/>
      <c r="P55" s="186"/>
      <c r="Q55" s="186"/>
      <c r="R55" s="186"/>
      <c r="S55" s="186"/>
      <c r="T55" s="186"/>
      <c r="U55" s="136"/>
    </row>
    <row r="56" spans="1:21" ht="12.75">
      <c r="A56" s="85"/>
      <c r="B56" s="98"/>
      <c r="C56" s="85"/>
      <c r="D56" s="15" t="s">
        <v>3</v>
      </c>
      <c r="E56" s="16">
        <f>F56+G56+H56+I56+J56+K56+L56</f>
        <v>0</v>
      </c>
      <c r="F56" s="16">
        <f>F32+F38</f>
        <v>0</v>
      </c>
      <c r="G56" s="16">
        <f aca="true" t="shared" si="12" ref="G56:L56">G32+G38</f>
        <v>0</v>
      </c>
      <c r="H56" s="16">
        <f t="shared" si="12"/>
        <v>0</v>
      </c>
      <c r="I56" s="16">
        <f t="shared" si="12"/>
        <v>0</v>
      </c>
      <c r="J56" s="16">
        <f t="shared" si="12"/>
        <v>0</v>
      </c>
      <c r="K56" s="16">
        <f t="shared" si="12"/>
        <v>0</v>
      </c>
      <c r="L56" s="16">
        <f t="shared" si="12"/>
        <v>0</v>
      </c>
      <c r="M56" s="137"/>
      <c r="N56" s="187"/>
      <c r="O56" s="187"/>
      <c r="P56" s="187"/>
      <c r="Q56" s="187"/>
      <c r="R56" s="187"/>
      <c r="S56" s="187"/>
      <c r="T56" s="187"/>
      <c r="U56" s="137"/>
    </row>
    <row r="57" spans="1:21" ht="12.75">
      <c r="A57" s="37">
        <v>3</v>
      </c>
      <c r="B57" s="119" t="s">
        <v>106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</row>
    <row r="58" spans="1:21" ht="12.75" customHeight="1">
      <c r="A58" s="102" t="s">
        <v>32</v>
      </c>
      <c r="B58" s="128" t="s">
        <v>107</v>
      </c>
      <c r="C58" s="89" t="s">
        <v>63</v>
      </c>
      <c r="D58" s="13" t="s">
        <v>4</v>
      </c>
      <c r="E58" s="14">
        <f>E60+E61+E62+E63</f>
        <v>3342665.75</v>
      </c>
      <c r="F58" s="14">
        <f aca="true" t="shared" si="13" ref="F58:L58">F60+F61+F62+F63</f>
        <v>164038.3</v>
      </c>
      <c r="G58" s="14">
        <f t="shared" si="13"/>
        <v>2501092.45</v>
      </c>
      <c r="H58" s="14">
        <f t="shared" si="13"/>
        <v>243507</v>
      </c>
      <c r="I58" s="14">
        <f t="shared" si="13"/>
        <v>108507</v>
      </c>
      <c r="J58" s="14">
        <f t="shared" si="13"/>
        <v>108507</v>
      </c>
      <c r="K58" s="14">
        <f t="shared" si="13"/>
        <v>108507</v>
      </c>
      <c r="L58" s="14">
        <f t="shared" si="13"/>
        <v>108507</v>
      </c>
      <c r="M58" s="92" t="s">
        <v>65</v>
      </c>
      <c r="N58" s="188">
        <v>1290</v>
      </c>
      <c r="O58" s="188">
        <v>1342</v>
      </c>
      <c r="P58" s="188">
        <v>1343</v>
      </c>
      <c r="Q58" s="188">
        <v>1300</v>
      </c>
      <c r="R58" s="188">
        <v>1301</v>
      </c>
      <c r="S58" s="188">
        <v>1302</v>
      </c>
      <c r="T58" s="188">
        <v>1302</v>
      </c>
      <c r="U58" s="92" t="s">
        <v>91</v>
      </c>
    </row>
    <row r="59" spans="1:21" ht="12.75" customHeight="1">
      <c r="A59" s="84"/>
      <c r="B59" s="128"/>
      <c r="C59" s="90"/>
      <c r="D59" s="86" t="s">
        <v>29</v>
      </c>
      <c r="E59" s="87"/>
      <c r="F59" s="87"/>
      <c r="G59" s="87"/>
      <c r="H59" s="87"/>
      <c r="I59" s="87"/>
      <c r="J59" s="87"/>
      <c r="K59" s="87"/>
      <c r="L59" s="88"/>
      <c r="M59" s="122"/>
      <c r="N59" s="189"/>
      <c r="O59" s="189"/>
      <c r="P59" s="189"/>
      <c r="Q59" s="189"/>
      <c r="R59" s="189"/>
      <c r="S59" s="189"/>
      <c r="T59" s="189"/>
      <c r="U59" s="122"/>
    </row>
    <row r="60" spans="1:21" ht="12.75" customHeight="1">
      <c r="A60" s="84"/>
      <c r="B60" s="128"/>
      <c r="C60" s="90"/>
      <c r="D60" s="15" t="s">
        <v>2</v>
      </c>
      <c r="E60" s="16">
        <f>F60+G60+H60+I60+J60+K60+L60</f>
        <v>3207665.75</v>
      </c>
      <c r="F60" s="16">
        <v>164038.3</v>
      </c>
      <c r="G60" s="16">
        <v>2501092.45</v>
      </c>
      <c r="H60" s="16">
        <v>108507</v>
      </c>
      <c r="I60" s="16">
        <v>108507</v>
      </c>
      <c r="J60" s="16">
        <v>108507</v>
      </c>
      <c r="K60" s="16">
        <v>108507</v>
      </c>
      <c r="L60" s="16">
        <v>108507</v>
      </c>
      <c r="M60" s="122"/>
      <c r="N60" s="189"/>
      <c r="O60" s="189"/>
      <c r="P60" s="189"/>
      <c r="Q60" s="189"/>
      <c r="R60" s="189"/>
      <c r="S60" s="189"/>
      <c r="T60" s="189"/>
      <c r="U60" s="122"/>
    </row>
    <row r="61" spans="1:21" ht="12.75" customHeight="1">
      <c r="A61" s="84"/>
      <c r="B61" s="128"/>
      <c r="C61" s="90"/>
      <c r="D61" s="15" t="s">
        <v>0</v>
      </c>
      <c r="E61" s="16">
        <f>F61+G61+H61+I61+J61+K61+L61</f>
        <v>0</v>
      </c>
      <c r="F61" s="16"/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22"/>
      <c r="N61" s="189"/>
      <c r="O61" s="189"/>
      <c r="P61" s="189"/>
      <c r="Q61" s="189"/>
      <c r="R61" s="189"/>
      <c r="S61" s="189"/>
      <c r="T61" s="189"/>
      <c r="U61" s="122"/>
    </row>
    <row r="62" spans="1:21" ht="12.75" customHeight="1">
      <c r="A62" s="84"/>
      <c r="B62" s="128"/>
      <c r="C62" s="90"/>
      <c r="D62" s="15" t="s">
        <v>1</v>
      </c>
      <c r="E62" s="16">
        <f>F62+G62+H62+I62+J62+K62+L62</f>
        <v>50000</v>
      </c>
      <c r="F62" s="16">
        <v>0</v>
      </c>
      <c r="G62" s="16">
        <v>0</v>
      </c>
      <c r="H62" s="16">
        <v>50000</v>
      </c>
      <c r="I62" s="16">
        <v>0</v>
      </c>
      <c r="J62" s="16">
        <v>0</v>
      </c>
      <c r="K62" s="16">
        <v>0</v>
      </c>
      <c r="L62" s="16">
        <v>0</v>
      </c>
      <c r="M62" s="122"/>
      <c r="N62" s="189"/>
      <c r="O62" s="189"/>
      <c r="P62" s="189"/>
      <c r="Q62" s="189"/>
      <c r="R62" s="189"/>
      <c r="S62" s="189"/>
      <c r="T62" s="189"/>
      <c r="U62" s="122"/>
    </row>
    <row r="63" spans="1:21" ht="12.75" customHeight="1">
      <c r="A63" s="85"/>
      <c r="B63" s="128"/>
      <c r="C63" s="91"/>
      <c r="D63" s="15" t="s">
        <v>3</v>
      </c>
      <c r="E63" s="16">
        <f>H63</f>
        <v>85000</v>
      </c>
      <c r="F63" s="16">
        <v>0</v>
      </c>
      <c r="G63" s="16">
        <v>0</v>
      </c>
      <c r="H63" s="16">
        <v>85000</v>
      </c>
      <c r="I63" s="16">
        <v>0</v>
      </c>
      <c r="J63" s="16">
        <v>0</v>
      </c>
      <c r="K63" s="16">
        <v>0</v>
      </c>
      <c r="L63" s="16">
        <v>0</v>
      </c>
      <c r="M63" s="123"/>
      <c r="N63" s="190"/>
      <c r="O63" s="190"/>
      <c r="P63" s="190"/>
      <c r="Q63" s="190"/>
      <c r="R63" s="190"/>
      <c r="S63" s="190"/>
      <c r="T63" s="190"/>
      <c r="U63" s="123"/>
    </row>
    <row r="64" spans="1:21" ht="12.75" customHeight="1">
      <c r="A64" s="102"/>
      <c r="B64" s="99" t="s">
        <v>108</v>
      </c>
      <c r="C64" s="89"/>
      <c r="D64" s="13" t="s">
        <v>4</v>
      </c>
      <c r="E64" s="14">
        <f>E66+E67+E68+E69</f>
        <v>3342665.75</v>
      </c>
      <c r="F64" s="14">
        <f aca="true" t="shared" si="14" ref="F64:L64">F66+F67+F68+F69</f>
        <v>164038.3</v>
      </c>
      <c r="G64" s="14">
        <f t="shared" si="14"/>
        <v>2501092.45</v>
      </c>
      <c r="H64" s="14">
        <f t="shared" si="14"/>
        <v>243507</v>
      </c>
      <c r="I64" s="14">
        <f t="shared" si="14"/>
        <v>108507</v>
      </c>
      <c r="J64" s="14">
        <f t="shared" si="14"/>
        <v>108507</v>
      </c>
      <c r="K64" s="14">
        <f t="shared" si="14"/>
        <v>108507</v>
      </c>
      <c r="L64" s="14">
        <f t="shared" si="14"/>
        <v>108507</v>
      </c>
      <c r="M64" s="96"/>
      <c r="N64" s="185"/>
      <c r="O64" s="185"/>
      <c r="P64" s="185"/>
      <c r="Q64" s="185"/>
      <c r="R64" s="185"/>
      <c r="S64" s="185"/>
      <c r="T64" s="185"/>
      <c r="U64" s="96"/>
    </row>
    <row r="65" spans="1:21" ht="12.75" customHeight="1">
      <c r="A65" s="84"/>
      <c r="B65" s="97"/>
      <c r="C65" s="84"/>
      <c r="D65" s="86" t="s">
        <v>29</v>
      </c>
      <c r="E65" s="87"/>
      <c r="F65" s="87"/>
      <c r="G65" s="87"/>
      <c r="H65" s="87"/>
      <c r="I65" s="87"/>
      <c r="J65" s="87"/>
      <c r="K65" s="87"/>
      <c r="L65" s="88"/>
      <c r="M65" s="136"/>
      <c r="N65" s="186"/>
      <c r="O65" s="186"/>
      <c r="P65" s="186"/>
      <c r="Q65" s="186"/>
      <c r="R65" s="186"/>
      <c r="S65" s="186"/>
      <c r="T65" s="186"/>
      <c r="U65" s="136"/>
    </row>
    <row r="66" spans="1:21" ht="12.75" customHeight="1">
      <c r="A66" s="84"/>
      <c r="B66" s="97"/>
      <c r="C66" s="84"/>
      <c r="D66" s="15" t="s">
        <v>2</v>
      </c>
      <c r="E66" s="16">
        <f>F66+G66+H66+I66+J66+K66+L66</f>
        <v>3207665.75</v>
      </c>
      <c r="F66" s="16">
        <f aca="true" t="shared" si="15" ref="F66:L66">F60</f>
        <v>164038.3</v>
      </c>
      <c r="G66" s="16">
        <f t="shared" si="15"/>
        <v>2501092.45</v>
      </c>
      <c r="H66" s="16">
        <f t="shared" si="15"/>
        <v>108507</v>
      </c>
      <c r="I66" s="16">
        <f t="shared" si="15"/>
        <v>108507</v>
      </c>
      <c r="J66" s="16">
        <f t="shared" si="15"/>
        <v>108507</v>
      </c>
      <c r="K66" s="16">
        <f t="shared" si="15"/>
        <v>108507</v>
      </c>
      <c r="L66" s="16">
        <f t="shared" si="15"/>
        <v>108507</v>
      </c>
      <c r="M66" s="136"/>
      <c r="N66" s="186"/>
      <c r="O66" s="186"/>
      <c r="P66" s="186"/>
      <c r="Q66" s="186"/>
      <c r="R66" s="186"/>
      <c r="S66" s="186"/>
      <c r="T66" s="186"/>
      <c r="U66" s="136"/>
    </row>
    <row r="67" spans="1:21" ht="12.75" customHeight="1">
      <c r="A67" s="84"/>
      <c r="B67" s="97"/>
      <c r="C67" s="84"/>
      <c r="D67" s="15" t="s">
        <v>0</v>
      </c>
      <c r="E67" s="16">
        <f>F67+G67+H67+I67+J67+K67+L67</f>
        <v>0</v>
      </c>
      <c r="F67" s="16">
        <v>0</v>
      </c>
      <c r="G67" s="16">
        <f>G50</f>
        <v>0</v>
      </c>
      <c r="H67" s="16">
        <f>H61</f>
        <v>0</v>
      </c>
      <c r="I67" s="16">
        <f>I50</f>
        <v>0</v>
      </c>
      <c r="J67" s="16">
        <f>J50</f>
        <v>0</v>
      </c>
      <c r="K67" s="16">
        <f>K50</f>
        <v>0</v>
      </c>
      <c r="L67" s="16">
        <f>L50</f>
        <v>0</v>
      </c>
      <c r="M67" s="136"/>
      <c r="N67" s="186"/>
      <c r="O67" s="186"/>
      <c r="P67" s="186"/>
      <c r="Q67" s="186"/>
      <c r="R67" s="186"/>
      <c r="S67" s="186"/>
      <c r="T67" s="186"/>
      <c r="U67" s="136"/>
    </row>
    <row r="68" spans="1:21" ht="12.75" customHeight="1">
      <c r="A68" s="84"/>
      <c r="B68" s="97"/>
      <c r="C68" s="84"/>
      <c r="D68" s="15" t="s">
        <v>1</v>
      </c>
      <c r="E68" s="16">
        <f>F68+G68+H68+I68+J68+K68+L68</f>
        <v>50000</v>
      </c>
      <c r="F68" s="16">
        <v>0</v>
      </c>
      <c r="G68" s="16">
        <v>0</v>
      </c>
      <c r="H68" s="16">
        <f>H62</f>
        <v>50000</v>
      </c>
      <c r="I68" s="16">
        <v>0</v>
      </c>
      <c r="J68" s="16">
        <v>0</v>
      </c>
      <c r="K68" s="16">
        <v>0</v>
      </c>
      <c r="L68" s="16">
        <v>0</v>
      </c>
      <c r="M68" s="136"/>
      <c r="N68" s="186"/>
      <c r="O68" s="186"/>
      <c r="P68" s="186"/>
      <c r="Q68" s="186"/>
      <c r="R68" s="186"/>
      <c r="S68" s="186"/>
      <c r="T68" s="186"/>
      <c r="U68" s="136"/>
    </row>
    <row r="69" spans="1:21" ht="12.75" customHeight="1" thickBot="1">
      <c r="A69" s="85"/>
      <c r="B69" s="98"/>
      <c r="C69" s="85"/>
      <c r="D69" s="15" t="s">
        <v>3</v>
      </c>
      <c r="E69" s="16">
        <f>F69+G69+H69+I69+J69+K69+L69</f>
        <v>85000</v>
      </c>
      <c r="F69" s="16">
        <v>0</v>
      </c>
      <c r="G69" s="16">
        <v>0</v>
      </c>
      <c r="H69" s="16">
        <f>H63</f>
        <v>85000</v>
      </c>
      <c r="I69" s="16">
        <v>0</v>
      </c>
      <c r="J69" s="16">
        <v>0</v>
      </c>
      <c r="K69" s="16">
        <v>0</v>
      </c>
      <c r="L69" s="16">
        <v>0</v>
      </c>
      <c r="M69" s="137"/>
      <c r="N69" s="187"/>
      <c r="O69" s="187"/>
      <c r="P69" s="187"/>
      <c r="Q69" s="187"/>
      <c r="R69" s="187"/>
      <c r="S69" s="187"/>
      <c r="T69" s="187"/>
      <c r="U69" s="137"/>
    </row>
    <row r="70" spans="1:21" s="19" customFormat="1" ht="13.5" customHeight="1">
      <c r="A70" s="170"/>
      <c r="B70" s="173" t="s">
        <v>109</v>
      </c>
      <c r="C70" s="176"/>
      <c r="D70" s="48" t="s">
        <v>4</v>
      </c>
      <c r="E70" s="49">
        <f aca="true" t="shared" si="16" ref="E70:L70">E72+E73+E74+E75</f>
        <v>364201896.34</v>
      </c>
      <c r="F70" s="49">
        <f t="shared" si="16"/>
        <v>53514815.69</v>
      </c>
      <c r="G70" s="49">
        <f t="shared" si="16"/>
        <v>50638382.82000001</v>
      </c>
      <c r="H70" s="49">
        <f t="shared" si="16"/>
        <v>51060525.199999996</v>
      </c>
      <c r="I70" s="49">
        <f t="shared" si="16"/>
        <v>54961839.37</v>
      </c>
      <c r="J70" s="49">
        <f t="shared" si="16"/>
        <v>54202759.8</v>
      </c>
      <c r="K70" s="49">
        <f t="shared" si="16"/>
        <v>49911786.73</v>
      </c>
      <c r="L70" s="50">
        <f t="shared" si="16"/>
        <v>49911786.73</v>
      </c>
      <c r="M70" s="179"/>
      <c r="N70" s="167"/>
      <c r="O70" s="167"/>
      <c r="P70" s="167"/>
      <c r="Q70" s="167"/>
      <c r="R70" s="167"/>
      <c r="S70" s="167"/>
      <c r="T70" s="167"/>
      <c r="U70" s="145"/>
    </row>
    <row r="71" spans="1:21" s="19" customFormat="1" ht="15.75">
      <c r="A71" s="171"/>
      <c r="B71" s="174"/>
      <c r="C71" s="177"/>
      <c r="D71" s="182" t="s">
        <v>29</v>
      </c>
      <c r="E71" s="183"/>
      <c r="F71" s="183"/>
      <c r="G71" s="183"/>
      <c r="H71" s="183"/>
      <c r="I71" s="183"/>
      <c r="J71" s="183"/>
      <c r="K71" s="183"/>
      <c r="L71" s="184"/>
      <c r="M71" s="180"/>
      <c r="N71" s="168"/>
      <c r="O71" s="168"/>
      <c r="P71" s="168"/>
      <c r="Q71" s="168"/>
      <c r="R71" s="168"/>
      <c r="S71" s="168"/>
      <c r="T71" s="168"/>
      <c r="U71" s="146"/>
    </row>
    <row r="72" spans="1:21" s="19" customFormat="1" ht="15.75">
      <c r="A72" s="171"/>
      <c r="B72" s="174"/>
      <c r="C72" s="177"/>
      <c r="D72" s="51" t="s">
        <v>2</v>
      </c>
      <c r="E72" s="52">
        <f>F72+G72+H72+I72+J72+K72+L72</f>
        <v>344804212.49</v>
      </c>
      <c r="F72" s="53">
        <f aca="true" t="shared" si="17" ref="F72:L72">F53+F22+F66</f>
        <v>50166870</v>
      </c>
      <c r="G72" s="53">
        <f t="shared" si="17"/>
        <v>48176381.82000001</v>
      </c>
      <c r="H72" s="53">
        <f t="shared" si="17"/>
        <v>48469840.33</v>
      </c>
      <c r="I72" s="53">
        <f t="shared" si="17"/>
        <v>49656295.13</v>
      </c>
      <c r="J72" s="53">
        <f t="shared" si="17"/>
        <v>49394476.71</v>
      </c>
      <c r="K72" s="53">
        <f t="shared" si="17"/>
        <v>49470174.25</v>
      </c>
      <c r="L72" s="53">
        <f t="shared" si="17"/>
        <v>49470174.25</v>
      </c>
      <c r="M72" s="180"/>
      <c r="N72" s="168"/>
      <c r="O72" s="168"/>
      <c r="P72" s="168"/>
      <c r="Q72" s="168"/>
      <c r="R72" s="168"/>
      <c r="S72" s="168"/>
      <c r="T72" s="168"/>
      <c r="U72" s="146"/>
    </row>
    <row r="73" spans="1:21" s="19" customFormat="1" ht="15.75">
      <c r="A73" s="171"/>
      <c r="B73" s="174"/>
      <c r="C73" s="177"/>
      <c r="D73" s="51" t="s">
        <v>0</v>
      </c>
      <c r="E73" s="52">
        <f>F73+G73+H73+I73+J73+K73+L73</f>
        <v>19190240.34</v>
      </c>
      <c r="F73" s="53">
        <f>F23</f>
        <v>3342945.69</v>
      </c>
      <c r="G73" s="53">
        <f>G23</f>
        <v>2448681</v>
      </c>
      <c r="H73" s="53">
        <f>H23+H67</f>
        <v>2442571.87</v>
      </c>
      <c r="I73" s="53">
        <f>I23+I54</f>
        <v>5264533.7299999995</v>
      </c>
      <c r="J73" s="53">
        <f>J23+J54</f>
        <v>4808283.09</v>
      </c>
      <c r="K73" s="53">
        <f>K23+K54</f>
        <v>441612.48</v>
      </c>
      <c r="L73" s="53">
        <f>L23+L54</f>
        <v>441612.48</v>
      </c>
      <c r="M73" s="180"/>
      <c r="N73" s="168"/>
      <c r="O73" s="168"/>
      <c r="P73" s="168"/>
      <c r="Q73" s="168"/>
      <c r="R73" s="168"/>
      <c r="S73" s="168"/>
      <c r="T73" s="168"/>
      <c r="U73" s="146"/>
    </row>
    <row r="74" spans="1:21" s="19" customFormat="1" ht="15.75">
      <c r="A74" s="171"/>
      <c r="B74" s="174"/>
      <c r="C74" s="177"/>
      <c r="D74" s="51" t="s">
        <v>1</v>
      </c>
      <c r="E74" s="52">
        <f>F74+G74+H74+I74+J74+K74+L74</f>
        <v>110443.51000000001</v>
      </c>
      <c r="F74" s="53">
        <f>F24</f>
        <v>0</v>
      </c>
      <c r="G74" s="53">
        <f>G31</f>
        <v>13320</v>
      </c>
      <c r="H74" s="53">
        <f>H31+H68</f>
        <v>63113</v>
      </c>
      <c r="I74" s="53">
        <f>I55</f>
        <v>34010.51</v>
      </c>
      <c r="J74" s="53">
        <f>J55</f>
        <v>0</v>
      </c>
      <c r="K74" s="53">
        <f>K55</f>
        <v>0</v>
      </c>
      <c r="L74" s="53">
        <f>L55</f>
        <v>0</v>
      </c>
      <c r="M74" s="180"/>
      <c r="N74" s="168"/>
      <c r="O74" s="168"/>
      <c r="P74" s="168"/>
      <c r="Q74" s="168"/>
      <c r="R74" s="168"/>
      <c r="S74" s="168"/>
      <c r="T74" s="168"/>
      <c r="U74" s="146"/>
    </row>
    <row r="75" spans="1:21" s="19" customFormat="1" ht="16.5" thickBot="1">
      <c r="A75" s="172"/>
      <c r="B75" s="175"/>
      <c r="C75" s="178"/>
      <c r="D75" s="54" t="s">
        <v>3</v>
      </c>
      <c r="E75" s="55">
        <f>F75+G75+H75+I75+J75+K75+L75</f>
        <v>97000</v>
      </c>
      <c r="F75" s="56">
        <f>F25</f>
        <v>5000</v>
      </c>
      <c r="G75" s="56">
        <f aca="true" t="shared" si="18" ref="G75:L75">G25</f>
        <v>0</v>
      </c>
      <c r="H75" s="56">
        <f>H69</f>
        <v>85000</v>
      </c>
      <c r="I75" s="56">
        <f t="shared" si="18"/>
        <v>7000</v>
      </c>
      <c r="J75" s="56">
        <f t="shared" si="18"/>
        <v>0</v>
      </c>
      <c r="K75" s="56">
        <f t="shared" si="18"/>
        <v>0</v>
      </c>
      <c r="L75" s="57">
        <f t="shared" si="18"/>
        <v>0</v>
      </c>
      <c r="M75" s="181"/>
      <c r="N75" s="169"/>
      <c r="O75" s="169"/>
      <c r="P75" s="169"/>
      <c r="Q75" s="169"/>
      <c r="R75" s="169"/>
      <c r="S75" s="169"/>
      <c r="T75" s="169"/>
      <c r="U75" s="147"/>
    </row>
    <row r="77" ht="12.75">
      <c r="B77" s="4"/>
    </row>
    <row r="78" ht="12.75">
      <c r="B78" s="4"/>
    </row>
    <row r="86" ht="12.75">
      <c r="H86" s="22"/>
    </row>
    <row r="87" ht="12.75">
      <c r="H87" s="22"/>
    </row>
  </sheetData>
  <sheetProtection/>
  <mergeCells count="163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0"/>
    <mergeCell ref="N8:N10"/>
    <mergeCell ref="O8:O10"/>
    <mergeCell ref="P8:P10"/>
    <mergeCell ref="Q8:Q10"/>
    <mergeCell ref="R8:R10"/>
    <mergeCell ref="S8:S10"/>
    <mergeCell ref="T8:T10"/>
    <mergeCell ref="U8:U13"/>
    <mergeCell ref="D9:L9"/>
    <mergeCell ref="M11:M13"/>
    <mergeCell ref="N11:N13"/>
    <mergeCell ref="O11:O13"/>
    <mergeCell ref="P11:P13"/>
    <mergeCell ref="Q11:Q13"/>
    <mergeCell ref="R11:R13"/>
    <mergeCell ref="S11:S13"/>
    <mergeCell ref="T11:T13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D21:L21"/>
    <mergeCell ref="P20:P25"/>
    <mergeCell ref="Q20:Q25"/>
    <mergeCell ref="R20:R25"/>
    <mergeCell ref="S20:S25"/>
    <mergeCell ref="T20:T25"/>
    <mergeCell ref="U20:U25"/>
    <mergeCell ref="B26:U26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D52:L52"/>
    <mergeCell ref="B57:U57"/>
    <mergeCell ref="A58:A63"/>
    <mergeCell ref="B58:B63"/>
    <mergeCell ref="C58:C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D59:L59"/>
    <mergeCell ref="A64:A69"/>
    <mergeCell ref="B64:B69"/>
    <mergeCell ref="C64:C69"/>
    <mergeCell ref="M64:M69"/>
    <mergeCell ref="N64:N69"/>
    <mergeCell ref="O64:O69"/>
    <mergeCell ref="D65:L65"/>
    <mergeCell ref="P64:P69"/>
    <mergeCell ref="Q64:Q69"/>
    <mergeCell ref="R64:R69"/>
    <mergeCell ref="S64:S69"/>
    <mergeCell ref="T64:T69"/>
    <mergeCell ref="U64:U69"/>
    <mergeCell ref="A70:A75"/>
    <mergeCell ref="B70:B75"/>
    <mergeCell ref="C70:C75"/>
    <mergeCell ref="M70:M75"/>
    <mergeCell ref="N70:N75"/>
    <mergeCell ref="O70:O75"/>
    <mergeCell ref="D71:L71"/>
    <mergeCell ref="P70:P75"/>
    <mergeCell ref="Q70:Q75"/>
    <mergeCell ref="R70:R75"/>
    <mergeCell ref="S70:S75"/>
    <mergeCell ref="T70:T75"/>
    <mergeCell ref="U70:U7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SheetLayoutView="115" zoomScalePageLayoutView="0" workbookViewId="0" topLeftCell="A1">
      <selection activeCell="E24" sqref="E24"/>
    </sheetView>
  </sheetViews>
  <sheetFormatPr defaultColWidth="9.140625" defaultRowHeight="15"/>
  <cols>
    <col min="1" max="1" width="35.421875" style="38" customWidth="1"/>
    <col min="2" max="2" width="18.28125" style="38" customWidth="1"/>
    <col min="3" max="3" width="13.8515625" style="38" customWidth="1"/>
    <col min="4" max="6" width="13.421875" style="38" bestFit="1" customWidth="1"/>
    <col min="7" max="7" width="13.7109375" style="38" customWidth="1"/>
    <col min="8" max="8" width="14.7109375" style="38" customWidth="1"/>
    <col min="9" max="9" width="14.140625" style="38" customWidth="1"/>
    <col min="10" max="16384" width="9.140625" style="38" customWidth="1"/>
  </cols>
  <sheetData>
    <row r="1" spans="5:10" ht="25.5" customHeight="1">
      <c r="E1" s="39"/>
      <c r="G1" s="162" t="s">
        <v>142</v>
      </c>
      <c r="H1" s="162"/>
      <c r="I1" s="162"/>
      <c r="J1" s="40"/>
    </row>
    <row r="2" spans="1:9" ht="24" customHeight="1">
      <c r="A2" s="135" t="s">
        <v>114</v>
      </c>
      <c r="B2" s="135"/>
      <c r="C2" s="135"/>
      <c r="D2" s="135"/>
      <c r="E2" s="135"/>
      <c r="F2" s="135"/>
      <c r="G2" s="135"/>
      <c r="H2" s="135"/>
      <c r="I2" s="135"/>
    </row>
    <row r="4" spans="1:9" ht="30" customHeight="1">
      <c r="A4" s="163" t="s">
        <v>10</v>
      </c>
      <c r="B4" s="165" t="s">
        <v>11</v>
      </c>
      <c r="C4" s="118" t="s">
        <v>12</v>
      </c>
      <c r="D4" s="118"/>
      <c r="E4" s="118"/>
      <c r="F4" s="118"/>
      <c r="G4" s="118"/>
      <c r="H4" s="118"/>
      <c r="I4" s="118"/>
    </row>
    <row r="5" spans="1:9" ht="16.5" customHeight="1">
      <c r="A5" s="164"/>
      <c r="B5" s="166"/>
      <c r="C5" s="42">
        <v>2014</v>
      </c>
      <c r="D5" s="42">
        <v>2015</v>
      </c>
      <c r="E5" s="42">
        <v>2016</v>
      </c>
      <c r="F5" s="42">
        <v>2017</v>
      </c>
      <c r="G5" s="42">
        <v>2018</v>
      </c>
      <c r="H5" s="42">
        <v>2019</v>
      </c>
      <c r="I5" s="2">
        <v>2020</v>
      </c>
    </row>
    <row r="6" spans="1:9" ht="16.5" customHeight="1">
      <c r="A6" s="58">
        <v>1</v>
      </c>
      <c r="B6" s="59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1">
        <v>9</v>
      </c>
    </row>
    <row r="7" spans="1:9" ht="38.25" customHeight="1">
      <c r="A7" s="43" t="s">
        <v>115</v>
      </c>
      <c r="B7" s="44">
        <f>B9+B10+B11+B12</f>
        <v>100193393.20000002</v>
      </c>
      <c r="C7" s="44">
        <f aca="true" t="shared" si="0" ref="C7:I7">C9+C10+C11+C12</f>
        <v>12533697.440000001</v>
      </c>
      <c r="D7" s="44">
        <f t="shared" si="0"/>
        <v>13562396.45</v>
      </c>
      <c r="E7" s="44">
        <f t="shared" si="0"/>
        <v>13830755.939999998</v>
      </c>
      <c r="F7" s="44">
        <f t="shared" si="0"/>
        <v>15850376.51</v>
      </c>
      <c r="G7" s="44">
        <f t="shared" si="0"/>
        <v>15360873</v>
      </c>
      <c r="H7" s="44">
        <f t="shared" si="0"/>
        <v>14527646.93</v>
      </c>
      <c r="I7" s="44">
        <f t="shared" si="0"/>
        <v>14527646.93</v>
      </c>
    </row>
    <row r="8" spans="1:9" ht="15">
      <c r="A8" s="159" t="s">
        <v>13</v>
      </c>
      <c r="B8" s="160"/>
      <c r="C8" s="160"/>
      <c r="D8" s="160"/>
      <c r="E8" s="160"/>
      <c r="F8" s="160"/>
      <c r="G8" s="160"/>
      <c r="H8" s="160"/>
      <c r="I8" s="161"/>
    </row>
    <row r="9" spans="1:9" ht="15">
      <c r="A9" s="45" t="s">
        <v>14</v>
      </c>
      <c r="B9" s="44">
        <f>C9+D9+E9+F9+G9+H9+I9</f>
        <v>95798891.27000001</v>
      </c>
      <c r="C9" s="46">
        <f>C16</f>
        <v>12441660.3</v>
      </c>
      <c r="D9" s="46">
        <f aca="true" t="shared" si="1" ref="D9:I12">D16</f>
        <v>12978696.45</v>
      </c>
      <c r="E9" s="46">
        <f t="shared" si="1"/>
        <v>13119814.439999998</v>
      </c>
      <c r="F9" s="46">
        <f t="shared" si="1"/>
        <v>14316564.29</v>
      </c>
      <c r="G9" s="46">
        <f t="shared" si="1"/>
        <v>14098861.93</v>
      </c>
      <c r="H9" s="46">
        <f t="shared" si="1"/>
        <v>14421646.93</v>
      </c>
      <c r="I9" s="46">
        <f t="shared" si="1"/>
        <v>14421646.93</v>
      </c>
    </row>
    <row r="10" spans="1:9" ht="15">
      <c r="A10" s="45" t="s">
        <v>15</v>
      </c>
      <c r="B10" s="44">
        <f>C10+D10+E10+F10+G10+H10+I10</f>
        <v>3533169.2899999996</v>
      </c>
      <c r="C10" s="46">
        <f>C17</f>
        <v>0</v>
      </c>
      <c r="D10" s="46">
        <f t="shared" si="1"/>
        <v>477700</v>
      </c>
      <c r="E10" s="46">
        <f t="shared" si="1"/>
        <v>582512</v>
      </c>
      <c r="F10" s="46">
        <f t="shared" si="1"/>
        <v>1316946.22</v>
      </c>
      <c r="G10" s="46">
        <f t="shared" si="1"/>
        <v>1156011.0699999998</v>
      </c>
      <c r="H10" s="46">
        <f t="shared" si="1"/>
        <v>0</v>
      </c>
      <c r="I10" s="46">
        <f t="shared" si="1"/>
        <v>0</v>
      </c>
    </row>
    <row r="11" spans="1:9" ht="15">
      <c r="A11" s="45" t="s">
        <v>16</v>
      </c>
      <c r="B11" s="44">
        <f>C11+D11+E11+F11+G11+H11+I11</f>
        <v>0</v>
      </c>
      <c r="C11" s="46">
        <f>C18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</row>
    <row r="12" spans="1:9" ht="15">
      <c r="A12" s="45" t="s">
        <v>17</v>
      </c>
      <c r="B12" s="44">
        <f>C12+D12+E12+F12+G12+H12+I12</f>
        <v>861332.64</v>
      </c>
      <c r="C12" s="46">
        <f>+C19</f>
        <v>92037.14</v>
      </c>
      <c r="D12" s="46">
        <f>+D19</f>
        <v>106000</v>
      </c>
      <c r="E12" s="46">
        <f>+E19</f>
        <v>128429.5</v>
      </c>
      <c r="F12" s="46">
        <f>F19</f>
        <v>216866</v>
      </c>
      <c r="G12" s="46">
        <f t="shared" si="1"/>
        <v>106000</v>
      </c>
      <c r="H12" s="46">
        <f t="shared" si="1"/>
        <v>106000</v>
      </c>
      <c r="I12" s="46">
        <f t="shared" si="1"/>
        <v>106000</v>
      </c>
    </row>
    <row r="13" spans="1:9" ht="15">
      <c r="A13" s="156" t="s">
        <v>18</v>
      </c>
      <c r="B13" s="157"/>
      <c r="C13" s="157"/>
      <c r="D13" s="157"/>
      <c r="E13" s="157"/>
      <c r="F13" s="157"/>
      <c r="G13" s="157"/>
      <c r="H13" s="157"/>
      <c r="I13" s="158"/>
    </row>
    <row r="14" spans="1:9" ht="41.25" customHeight="1">
      <c r="A14" s="47" t="s">
        <v>30</v>
      </c>
      <c r="B14" s="44">
        <f>B16+B17+B18+B19</f>
        <v>100193393.20000002</v>
      </c>
      <c r="C14" s="44">
        <f aca="true" t="shared" si="2" ref="C14:I14">C16+C17+C18+C19</f>
        <v>12533697.440000001</v>
      </c>
      <c r="D14" s="44">
        <f t="shared" si="2"/>
        <v>13562396.45</v>
      </c>
      <c r="E14" s="44">
        <f t="shared" si="2"/>
        <v>13830755.939999998</v>
      </c>
      <c r="F14" s="44">
        <f t="shared" si="2"/>
        <v>15850376.51</v>
      </c>
      <c r="G14" s="44">
        <f t="shared" si="2"/>
        <v>15360873</v>
      </c>
      <c r="H14" s="44">
        <f t="shared" si="2"/>
        <v>14527646.93</v>
      </c>
      <c r="I14" s="44">
        <f t="shared" si="2"/>
        <v>14527646.93</v>
      </c>
    </row>
    <row r="15" spans="1:9" ht="19.5" customHeight="1">
      <c r="A15" s="159" t="s">
        <v>13</v>
      </c>
      <c r="B15" s="160"/>
      <c r="C15" s="160"/>
      <c r="D15" s="160"/>
      <c r="E15" s="160"/>
      <c r="F15" s="160"/>
      <c r="G15" s="160"/>
      <c r="H15" s="160"/>
      <c r="I15" s="161"/>
    </row>
    <row r="16" spans="1:9" ht="15">
      <c r="A16" s="45" t="s">
        <v>14</v>
      </c>
      <c r="B16" s="44">
        <f>C16+D16+E16+F16+G16+H16+I16</f>
        <v>95798891.27000001</v>
      </c>
      <c r="C16" s="46">
        <v>12441660.3</v>
      </c>
      <c r="D16" s="46">
        <f>'[2]табл.3'!G78</f>
        <v>12978696.45</v>
      </c>
      <c r="E16" s="46">
        <f>'[2]табл.3'!H78</f>
        <v>13119814.439999998</v>
      </c>
      <c r="F16" s="46">
        <f>'[2]табл.3'!I78</f>
        <v>14316564.29</v>
      </c>
      <c r="G16" s="46">
        <f>'[2]табл.3'!J78</f>
        <v>14098861.93</v>
      </c>
      <c r="H16" s="46">
        <f>'[2]табл.3'!K78</f>
        <v>14421646.93</v>
      </c>
      <c r="I16" s="46">
        <f>'[2]табл.3'!L78</f>
        <v>14421646.93</v>
      </c>
    </row>
    <row r="17" spans="1:9" ht="15">
      <c r="A17" s="45" t="s">
        <v>15</v>
      </c>
      <c r="B17" s="44">
        <f>C17+D17+E17+F17+G17+H17+I17</f>
        <v>3533169.2899999996</v>
      </c>
      <c r="C17" s="46">
        <v>0</v>
      </c>
      <c r="D17" s="46">
        <v>477700</v>
      </c>
      <c r="E17" s="46">
        <f>'[2]табл.3'!H79</f>
        <v>582512</v>
      </c>
      <c r="F17" s="46">
        <f>'[2]табл.3'!I79</f>
        <v>1316946.22</v>
      </c>
      <c r="G17" s="46">
        <f>'[2]табл.3'!J79</f>
        <v>1156011.0699999998</v>
      </c>
      <c r="H17" s="46">
        <v>0</v>
      </c>
      <c r="I17" s="46">
        <v>0</v>
      </c>
    </row>
    <row r="18" spans="1:9" ht="15">
      <c r="A18" s="45" t="s">
        <v>16</v>
      </c>
      <c r="B18" s="44">
        <f>C18+D18+E18+F18+G18+H18+I18</f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>
      <c r="A19" s="45" t="s">
        <v>17</v>
      </c>
      <c r="B19" s="44">
        <f>C19+D19+E19+F19+G19+H19+I19</f>
        <v>861332.64</v>
      </c>
      <c r="C19" s="46">
        <f>'[2]табл.3'!F81</f>
        <v>92037.14</v>
      </c>
      <c r="D19" s="46">
        <f>'[2]табл.3'!G81</f>
        <v>106000</v>
      </c>
      <c r="E19" s="46">
        <f>'[2]табл.3'!H81</f>
        <v>128429.5</v>
      </c>
      <c r="F19" s="46">
        <f>'[2]табл.3'!I81</f>
        <v>216866</v>
      </c>
      <c r="G19" s="46">
        <f>'[2]табл.3'!J81</f>
        <v>106000</v>
      </c>
      <c r="H19" s="46">
        <f>'[2]табл.3'!K81</f>
        <v>106000</v>
      </c>
      <c r="I19" s="46">
        <f>'[2]табл.3'!L81</f>
        <v>106000</v>
      </c>
    </row>
    <row r="20" spans="1:9" ht="25.5">
      <c r="A20" s="62" t="s">
        <v>116</v>
      </c>
      <c r="B20" s="44">
        <f>C20+D20+E20+F20+G20+H20+I20</f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2" ht="15">
      <c r="A22" s="4"/>
    </row>
    <row r="23" ht="15">
      <c r="A23" s="4"/>
    </row>
  </sheetData>
  <sheetProtection/>
  <mergeCells count="8">
    <mergeCell ref="A13:I13"/>
    <mergeCell ref="A15:I15"/>
    <mergeCell ref="G1:I1"/>
    <mergeCell ref="A2:I2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view="pageBreakPreview" zoomScaleSheetLayoutView="100" zoomScalePageLayoutView="0" workbookViewId="0" topLeftCell="A1">
      <pane xSplit="2" ySplit="4" topLeftCell="G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0" sqref="W20"/>
    </sheetView>
  </sheetViews>
  <sheetFormatPr defaultColWidth="9.140625" defaultRowHeight="15"/>
  <cols>
    <col min="1" max="1" width="9.140625" style="10" customWidth="1"/>
    <col min="2" max="2" width="34.00390625" style="10" customWidth="1"/>
    <col min="3" max="3" width="10.8515625" style="10" customWidth="1"/>
    <col min="4" max="4" width="10.00390625" style="10" customWidth="1"/>
    <col min="5" max="5" width="16.28125" style="10" bestFit="1" customWidth="1"/>
    <col min="6" max="12" width="15.140625" style="10" bestFit="1" customWidth="1"/>
    <col min="13" max="13" width="25.421875" style="10" customWidth="1"/>
    <col min="14" max="14" width="5.421875" style="10" bestFit="1" customWidth="1"/>
    <col min="15" max="20" width="7.421875" style="10" bestFit="1" customWidth="1"/>
    <col min="21" max="21" width="18.57421875" style="10" customWidth="1"/>
    <col min="22" max="16384" width="9.140625" style="10" customWidth="1"/>
  </cols>
  <sheetData>
    <row r="1" s="8" customFormat="1" ht="12.75">
      <c r="U1" s="9" t="s">
        <v>141</v>
      </c>
    </row>
    <row r="2" spans="1:21" s="8" customFormat="1" ht="20.25" customHeight="1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1.5" customHeight="1">
      <c r="A3" s="117" t="s">
        <v>7</v>
      </c>
      <c r="B3" s="118" t="s">
        <v>19</v>
      </c>
      <c r="C3" s="118" t="s">
        <v>20</v>
      </c>
      <c r="D3" s="118" t="s">
        <v>10</v>
      </c>
      <c r="E3" s="118" t="s">
        <v>27</v>
      </c>
      <c r="F3" s="118"/>
      <c r="G3" s="118"/>
      <c r="H3" s="118"/>
      <c r="I3" s="118"/>
      <c r="J3" s="118"/>
      <c r="K3" s="118"/>
      <c r="L3" s="118"/>
      <c r="M3" s="117" t="s">
        <v>56</v>
      </c>
      <c r="N3" s="117"/>
      <c r="O3" s="117"/>
      <c r="P3" s="117"/>
      <c r="Q3" s="117"/>
      <c r="R3" s="117"/>
      <c r="S3" s="117"/>
      <c r="T3" s="117"/>
      <c r="U3" s="232" t="s">
        <v>28</v>
      </c>
    </row>
    <row r="4" spans="1:21" ht="26.25" customHeight="1">
      <c r="A4" s="117"/>
      <c r="B4" s="118"/>
      <c r="C4" s="118"/>
      <c r="D4" s="118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233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119" t="s">
        <v>118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1:21" ht="12.75">
      <c r="A7" s="12">
        <v>1</v>
      </c>
      <c r="B7" s="119" t="s">
        <v>119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1:21" ht="16.5" customHeight="1">
      <c r="A8" s="124" t="s">
        <v>5</v>
      </c>
      <c r="B8" s="128" t="s">
        <v>120</v>
      </c>
      <c r="C8" s="89" t="s">
        <v>98</v>
      </c>
      <c r="D8" s="13" t="s">
        <v>4</v>
      </c>
      <c r="E8" s="14">
        <f>E10+E11+E12+E13</f>
        <v>148378.58000000002</v>
      </c>
      <c r="F8" s="14">
        <f aca="true" t="shared" si="0" ref="F8:L8">F10+F11+F12+F13</f>
        <v>52040</v>
      </c>
      <c r="G8" s="14">
        <f t="shared" si="0"/>
        <v>49358.58</v>
      </c>
      <c r="H8" s="14">
        <f t="shared" si="0"/>
        <v>46980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96" t="s">
        <v>121</v>
      </c>
      <c r="N8" s="188">
        <v>2.2</v>
      </c>
      <c r="O8" s="188">
        <v>2.4</v>
      </c>
      <c r="P8" s="188">
        <v>2.4</v>
      </c>
      <c r="Q8" s="188">
        <v>0</v>
      </c>
      <c r="R8" s="188">
        <v>0</v>
      </c>
      <c r="S8" s="188">
        <v>0</v>
      </c>
      <c r="T8" s="188">
        <v>0</v>
      </c>
      <c r="U8" s="188"/>
    </row>
    <row r="9" spans="1:21" ht="16.5" customHeight="1">
      <c r="A9" s="124"/>
      <c r="B9" s="128"/>
      <c r="C9" s="90"/>
      <c r="D9" s="86" t="s">
        <v>29</v>
      </c>
      <c r="E9" s="87"/>
      <c r="F9" s="87"/>
      <c r="G9" s="87"/>
      <c r="H9" s="87"/>
      <c r="I9" s="87"/>
      <c r="J9" s="87"/>
      <c r="K9" s="87"/>
      <c r="L9" s="88"/>
      <c r="M9" s="136"/>
      <c r="N9" s="189"/>
      <c r="O9" s="189"/>
      <c r="P9" s="189"/>
      <c r="Q9" s="189"/>
      <c r="R9" s="189"/>
      <c r="S9" s="189"/>
      <c r="T9" s="189"/>
      <c r="U9" s="189"/>
    </row>
    <row r="10" spans="1:21" ht="12.75">
      <c r="A10" s="124"/>
      <c r="B10" s="128"/>
      <c r="C10" s="90"/>
      <c r="D10" s="15" t="s">
        <v>2</v>
      </c>
      <c r="E10" s="16">
        <f>F10+G10+H10+I10+J10+K10+L10</f>
        <v>148378.58000000002</v>
      </c>
      <c r="F10" s="16">
        <v>52040</v>
      </c>
      <c r="G10" s="16">
        <v>49358.58</v>
      </c>
      <c r="H10" s="16">
        <v>46980</v>
      </c>
      <c r="I10" s="16">
        <v>0</v>
      </c>
      <c r="J10" s="16">
        <v>0</v>
      </c>
      <c r="K10" s="16">
        <v>0</v>
      </c>
      <c r="L10" s="16">
        <v>0</v>
      </c>
      <c r="M10" s="136"/>
      <c r="N10" s="189">
        <v>557</v>
      </c>
      <c r="O10" s="189">
        <v>605</v>
      </c>
      <c r="P10" s="189">
        <v>656</v>
      </c>
      <c r="Q10" s="189">
        <v>0</v>
      </c>
      <c r="R10" s="189">
        <v>0</v>
      </c>
      <c r="S10" s="189">
        <v>0</v>
      </c>
      <c r="T10" s="189">
        <v>0</v>
      </c>
      <c r="U10" s="189" t="s">
        <v>122</v>
      </c>
    </row>
    <row r="11" spans="1:21" ht="12.75">
      <c r="A11" s="124"/>
      <c r="B11" s="128"/>
      <c r="C11" s="90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36"/>
      <c r="N11" s="189"/>
      <c r="O11" s="189"/>
      <c r="P11" s="189"/>
      <c r="Q11" s="189"/>
      <c r="R11" s="189"/>
      <c r="S11" s="189"/>
      <c r="T11" s="189"/>
      <c r="U11" s="189"/>
    </row>
    <row r="12" spans="1:21" ht="12.75">
      <c r="A12" s="124"/>
      <c r="B12" s="128"/>
      <c r="C12" s="90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36"/>
      <c r="N12" s="189"/>
      <c r="O12" s="189"/>
      <c r="P12" s="189"/>
      <c r="Q12" s="189"/>
      <c r="R12" s="189"/>
      <c r="S12" s="189"/>
      <c r="T12" s="189"/>
      <c r="U12" s="189"/>
    </row>
    <row r="13" spans="1:21" ht="12.75" customHeight="1">
      <c r="A13" s="124"/>
      <c r="B13" s="128"/>
      <c r="C13" s="91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37"/>
      <c r="N13" s="63"/>
      <c r="O13" s="63"/>
      <c r="P13" s="63"/>
      <c r="Q13" s="63"/>
      <c r="R13" s="63"/>
      <c r="S13" s="63"/>
      <c r="T13" s="63"/>
      <c r="U13" s="64"/>
    </row>
    <row r="14" spans="1:21" ht="15" customHeight="1">
      <c r="A14" s="124" t="s">
        <v>93</v>
      </c>
      <c r="B14" s="128" t="s">
        <v>123</v>
      </c>
      <c r="C14" s="89" t="s">
        <v>98</v>
      </c>
      <c r="D14" s="13" t="s">
        <v>4</v>
      </c>
      <c r="E14" s="14">
        <f>E16+E17+E18+E19</f>
        <v>1193537.9</v>
      </c>
      <c r="F14" s="14">
        <f aca="true" t="shared" si="1" ref="F14:L14">F16+F17+F18+F19</f>
        <v>418460</v>
      </c>
      <c r="G14" s="14">
        <f t="shared" si="1"/>
        <v>397520.7</v>
      </c>
      <c r="H14" s="14">
        <f t="shared" si="1"/>
        <v>377557.2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96" t="s">
        <v>124</v>
      </c>
      <c r="N14" s="188">
        <v>212</v>
      </c>
      <c r="O14" s="188">
        <v>233</v>
      </c>
      <c r="P14" s="188">
        <v>254</v>
      </c>
      <c r="Q14" s="188">
        <v>0</v>
      </c>
      <c r="R14" s="188">
        <v>0</v>
      </c>
      <c r="S14" s="188">
        <v>0</v>
      </c>
      <c r="T14" s="188">
        <v>0</v>
      </c>
      <c r="U14" s="92" t="s">
        <v>122</v>
      </c>
    </row>
    <row r="15" spans="1:21" ht="15" customHeight="1">
      <c r="A15" s="124"/>
      <c r="B15" s="128"/>
      <c r="C15" s="90"/>
      <c r="D15" s="86" t="s">
        <v>29</v>
      </c>
      <c r="E15" s="87"/>
      <c r="F15" s="87"/>
      <c r="G15" s="87"/>
      <c r="H15" s="87"/>
      <c r="I15" s="87"/>
      <c r="J15" s="87"/>
      <c r="K15" s="87"/>
      <c r="L15" s="88"/>
      <c r="M15" s="136"/>
      <c r="N15" s="189"/>
      <c r="O15" s="189"/>
      <c r="P15" s="189"/>
      <c r="Q15" s="189"/>
      <c r="R15" s="189"/>
      <c r="S15" s="189"/>
      <c r="T15" s="189"/>
      <c r="U15" s="122"/>
    </row>
    <row r="16" spans="1:21" ht="15" customHeight="1">
      <c r="A16" s="124"/>
      <c r="B16" s="128"/>
      <c r="C16" s="90"/>
      <c r="D16" s="15" t="s">
        <v>2</v>
      </c>
      <c r="E16" s="16">
        <f>F16+G16+H16+I16+J16+K16+L16</f>
        <v>1193537.9</v>
      </c>
      <c r="F16" s="16">
        <v>418460</v>
      </c>
      <c r="G16" s="16">
        <v>397520.7</v>
      </c>
      <c r="H16" s="16">
        <v>377557.2</v>
      </c>
      <c r="I16" s="16">
        <v>0</v>
      </c>
      <c r="J16" s="16">
        <v>0</v>
      </c>
      <c r="K16" s="16">
        <v>0</v>
      </c>
      <c r="L16" s="16">
        <v>0</v>
      </c>
      <c r="M16" s="136"/>
      <c r="N16" s="189"/>
      <c r="O16" s="189"/>
      <c r="P16" s="189"/>
      <c r="Q16" s="189"/>
      <c r="R16" s="189"/>
      <c r="S16" s="189"/>
      <c r="T16" s="189"/>
      <c r="U16" s="122"/>
    </row>
    <row r="17" spans="1:21" ht="14.25" customHeight="1">
      <c r="A17" s="124"/>
      <c r="B17" s="128"/>
      <c r="C17" s="90"/>
      <c r="D17" s="15" t="s">
        <v>0</v>
      </c>
      <c r="E17" s="16">
        <f>F17+G17+H17+I17+J17+K17+L17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36"/>
      <c r="N17" s="189"/>
      <c r="O17" s="189"/>
      <c r="P17" s="189"/>
      <c r="Q17" s="189"/>
      <c r="R17" s="189"/>
      <c r="S17" s="189"/>
      <c r="T17" s="189"/>
      <c r="U17" s="122"/>
    </row>
    <row r="18" spans="1:21" ht="15" customHeight="1">
      <c r="A18" s="124"/>
      <c r="B18" s="128"/>
      <c r="C18" s="90"/>
      <c r="D18" s="15" t="s">
        <v>1</v>
      </c>
      <c r="E18" s="16">
        <f>F18+G18+H18+I18+J18+K18+L18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36"/>
      <c r="N18" s="189"/>
      <c r="O18" s="189"/>
      <c r="P18" s="189"/>
      <c r="Q18" s="189"/>
      <c r="R18" s="189"/>
      <c r="S18" s="189"/>
      <c r="T18" s="189"/>
      <c r="U18" s="122"/>
    </row>
    <row r="19" spans="1:21" ht="23.25" customHeight="1">
      <c r="A19" s="124"/>
      <c r="B19" s="128"/>
      <c r="C19" s="91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36"/>
      <c r="N19" s="189"/>
      <c r="O19" s="189"/>
      <c r="P19" s="189"/>
      <c r="Q19" s="189"/>
      <c r="R19" s="189"/>
      <c r="S19" s="189"/>
      <c r="T19" s="189"/>
      <c r="U19" s="122"/>
    </row>
    <row r="20" spans="1:21" ht="20.25" customHeight="1">
      <c r="A20" s="124" t="s">
        <v>125</v>
      </c>
      <c r="B20" s="128" t="s">
        <v>126</v>
      </c>
      <c r="C20" s="89" t="s">
        <v>63</v>
      </c>
      <c r="D20" s="13" t="s">
        <v>4</v>
      </c>
      <c r="E20" s="14">
        <f>E22+E23+E24+E25</f>
        <v>1613856</v>
      </c>
      <c r="F20" s="14">
        <f aca="true" t="shared" si="2" ref="F20:L20">F22+F23+F24+F25</f>
        <v>0</v>
      </c>
      <c r="G20" s="14">
        <f t="shared" si="2"/>
        <v>0</v>
      </c>
      <c r="H20" s="14">
        <f t="shared" si="2"/>
        <v>0</v>
      </c>
      <c r="I20" s="14">
        <f t="shared" si="2"/>
        <v>403464</v>
      </c>
      <c r="J20" s="14">
        <f t="shared" si="2"/>
        <v>403464</v>
      </c>
      <c r="K20" s="14">
        <f t="shared" si="2"/>
        <v>403464</v>
      </c>
      <c r="L20" s="14">
        <f t="shared" si="2"/>
        <v>403464</v>
      </c>
      <c r="M20" s="96" t="s">
        <v>127</v>
      </c>
      <c r="N20" s="188">
        <v>0</v>
      </c>
      <c r="O20" s="188">
        <v>0</v>
      </c>
      <c r="P20" s="188">
        <v>0</v>
      </c>
      <c r="Q20" s="188">
        <v>30669</v>
      </c>
      <c r="R20" s="188">
        <v>30931</v>
      </c>
      <c r="S20" s="188">
        <v>30931</v>
      </c>
      <c r="T20" s="188">
        <v>30931</v>
      </c>
      <c r="U20" s="92" t="s">
        <v>122</v>
      </c>
    </row>
    <row r="21" spans="1:21" ht="12" customHeight="1">
      <c r="A21" s="124"/>
      <c r="B21" s="128"/>
      <c r="C21" s="90"/>
      <c r="D21" s="86" t="s">
        <v>29</v>
      </c>
      <c r="E21" s="87"/>
      <c r="F21" s="87"/>
      <c r="G21" s="87"/>
      <c r="H21" s="87"/>
      <c r="I21" s="87"/>
      <c r="J21" s="87"/>
      <c r="K21" s="87"/>
      <c r="L21" s="88"/>
      <c r="M21" s="136"/>
      <c r="N21" s="189"/>
      <c r="O21" s="189"/>
      <c r="P21" s="189"/>
      <c r="Q21" s="189"/>
      <c r="R21" s="189"/>
      <c r="S21" s="189"/>
      <c r="T21" s="189"/>
      <c r="U21" s="122"/>
    </row>
    <row r="22" spans="1:21" ht="15" customHeight="1">
      <c r="A22" s="124"/>
      <c r="B22" s="128"/>
      <c r="C22" s="90"/>
      <c r="D22" s="15" t="s">
        <v>2</v>
      </c>
      <c r="E22" s="16">
        <f>F22+G22+H22+I22+J22+K22+L22</f>
        <v>1613856</v>
      </c>
      <c r="F22" s="16">
        <v>0</v>
      </c>
      <c r="G22" s="16">
        <v>0</v>
      </c>
      <c r="H22" s="16">
        <v>0</v>
      </c>
      <c r="I22" s="16">
        <v>403464</v>
      </c>
      <c r="J22" s="16">
        <v>403464</v>
      </c>
      <c r="K22" s="16">
        <v>403464</v>
      </c>
      <c r="L22" s="16">
        <v>403464</v>
      </c>
      <c r="M22" s="136"/>
      <c r="N22" s="189"/>
      <c r="O22" s="189"/>
      <c r="P22" s="189"/>
      <c r="Q22" s="189"/>
      <c r="R22" s="189"/>
      <c r="S22" s="189"/>
      <c r="T22" s="189"/>
      <c r="U22" s="122"/>
    </row>
    <row r="23" spans="1:21" ht="12.75">
      <c r="A23" s="124"/>
      <c r="B23" s="128"/>
      <c r="C23" s="90"/>
      <c r="D23" s="15" t="s">
        <v>0</v>
      </c>
      <c r="E23" s="16">
        <f>F23+G23+H23+I23+J23+K23+L23</f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36"/>
      <c r="N23" s="189"/>
      <c r="O23" s="189"/>
      <c r="P23" s="189"/>
      <c r="Q23" s="189"/>
      <c r="R23" s="189"/>
      <c r="S23" s="189"/>
      <c r="T23" s="189"/>
      <c r="U23" s="122"/>
    </row>
    <row r="24" spans="1:21" ht="15" customHeight="1">
      <c r="A24" s="124"/>
      <c r="B24" s="128"/>
      <c r="C24" s="90"/>
      <c r="D24" s="15" t="s">
        <v>1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36"/>
      <c r="N24" s="189"/>
      <c r="O24" s="189"/>
      <c r="P24" s="189"/>
      <c r="Q24" s="189"/>
      <c r="R24" s="189"/>
      <c r="S24" s="189"/>
      <c r="T24" s="189"/>
      <c r="U24" s="122"/>
    </row>
    <row r="25" spans="1:21" ht="18.75" customHeight="1">
      <c r="A25" s="124"/>
      <c r="B25" s="128"/>
      <c r="C25" s="91"/>
      <c r="D25" s="15" t="s">
        <v>3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36"/>
      <c r="N25" s="189"/>
      <c r="O25" s="189"/>
      <c r="P25" s="189"/>
      <c r="Q25" s="189"/>
      <c r="R25" s="189"/>
      <c r="S25" s="189"/>
      <c r="T25" s="189"/>
      <c r="U25" s="122"/>
    </row>
    <row r="26" spans="1:21" ht="12.75">
      <c r="A26" s="102"/>
      <c r="B26" s="99" t="s">
        <v>95</v>
      </c>
      <c r="C26" s="89"/>
      <c r="D26" s="13" t="s">
        <v>4</v>
      </c>
      <c r="E26" s="14">
        <f>E28+E29+E30+E31</f>
        <v>2955772.48</v>
      </c>
      <c r="F26" s="14">
        <f aca="true" t="shared" si="3" ref="F26:L26">F28+F29+F30+F31</f>
        <v>470500</v>
      </c>
      <c r="G26" s="14">
        <f t="shared" si="3"/>
        <v>446879.28</v>
      </c>
      <c r="H26" s="14">
        <f t="shared" si="3"/>
        <v>424537.2</v>
      </c>
      <c r="I26" s="14">
        <f t="shared" si="3"/>
        <v>403464</v>
      </c>
      <c r="J26" s="14">
        <f t="shared" si="3"/>
        <v>403464</v>
      </c>
      <c r="K26" s="14">
        <f t="shared" si="3"/>
        <v>403464</v>
      </c>
      <c r="L26" s="65">
        <f t="shared" si="3"/>
        <v>403464</v>
      </c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2.75">
      <c r="A27" s="84"/>
      <c r="B27" s="97"/>
      <c r="C27" s="84"/>
      <c r="D27" s="86" t="s">
        <v>29</v>
      </c>
      <c r="E27" s="87"/>
      <c r="F27" s="87"/>
      <c r="G27" s="87"/>
      <c r="H27" s="87"/>
      <c r="I27" s="87"/>
      <c r="J27" s="87"/>
      <c r="K27" s="87"/>
      <c r="L27" s="87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ht="12.75">
      <c r="A28" s="84"/>
      <c r="B28" s="97"/>
      <c r="C28" s="84"/>
      <c r="D28" s="15" t="s">
        <v>2</v>
      </c>
      <c r="E28" s="16">
        <f>F28+G28+H28+I28+J28+K28+L28</f>
        <v>2955772.48</v>
      </c>
      <c r="F28" s="16">
        <f>F10+F16</f>
        <v>470500</v>
      </c>
      <c r="G28" s="16">
        <f>G10+G16</f>
        <v>446879.28</v>
      </c>
      <c r="H28" s="16">
        <f>H10+H16</f>
        <v>424537.2</v>
      </c>
      <c r="I28" s="16">
        <f>I22</f>
        <v>403464</v>
      </c>
      <c r="J28" s="16">
        <f>J22</f>
        <v>403464</v>
      </c>
      <c r="K28" s="16">
        <f>K22</f>
        <v>403464</v>
      </c>
      <c r="L28" s="66">
        <f>L22</f>
        <v>403464</v>
      </c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ht="12.75">
      <c r="A29" s="84"/>
      <c r="B29" s="97"/>
      <c r="C29" s="84"/>
      <c r="D29" s="15" t="s">
        <v>0</v>
      </c>
      <c r="E29" s="16">
        <f>F29+G29+H29+I29+J29+K29+L29</f>
        <v>0</v>
      </c>
      <c r="F29" s="16">
        <f>F11</f>
        <v>0</v>
      </c>
      <c r="G29" s="16">
        <f aca="true" t="shared" si="4" ref="G29:L31">G11</f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66">
        <f t="shared" si="4"/>
        <v>0</v>
      </c>
      <c r="M29" s="109"/>
      <c r="N29" s="109"/>
      <c r="O29" s="109"/>
      <c r="P29" s="109"/>
      <c r="Q29" s="109"/>
      <c r="R29" s="109"/>
      <c r="S29" s="109"/>
      <c r="T29" s="109"/>
      <c r="U29" s="109"/>
    </row>
    <row r="30" spans="1:21" ht="12.75">
      <c r="A30" s="84"/>
      <c r="B30" s="97"/>
      <c r="C30" s="84"/>
      <c r="D30" s="15" t="s">
        <v>1</v>
      </c>
      <c r="E30" s="16">
        <f>F30+G30+H30+I30+J30+K30+L30</f>
        <v>0</v>
      </c>
      <c r="F30" s="16">
        <f>F12</f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66">
        <f t="shared" si="4"/>
        <v>0</v>
      </c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1" ht="12.75">
      <c r="A31" s="85"/>
      <c r="B31" s="98"/>
      <c r="C31" s="85"/>
      <c r="D31" s="15" t="s">
        <v>3</v>
      </c>
      <c r="E31" s="16">
        <f>F31+G31+H31+I31+J31+K31+L31</f>
        <v>0</v>
      </c>
      <c r="F31" s="16">
        <f>F13</f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66">
        <f t="shared" si="4"/>
        <v>0</v>
      </c>
      <c r="M31" s="150"/>
      <c r="N31" s="150"/>
      <c r="O31" s="150"/>
      <c r="P31" s="150"/>
      <c r="Q31" s="150"/>
      <c r="R31" s="150"/>
      <c r="S31" s="150"/>
      <c r="T31" s="150"/>
      <c r="U31" s="150"/>
    </row>
    <row r="32" spans="1:21" ht="18.75" customHeight="1">
      <c r="A32" s="37">
        <v>2</v>
      </c>
      <c r="B32" s="119" t="s">
        <v>128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223"/>
      <c r="N32" s="223"/>
      <c r="O32" s="223"/>
      <c r="P32" s="223"/>
      <c r="Q32" s="223"/>
      <c r="R32" s="223"/>
      <c r="S32" s="223"/>
      <c r="T32" s="223"/>
      <c r="U32" s="224"/>
    </row>
    <row r="33" spans="1:21" ht="20.25" customHeight="1">
      <c r="A33" s="102" t="s">
        <v>6</v>
      </c>
      <c r="B33" s="128" t="s">
        <v>129</v>
      </c>
      <c r="C33" s="89" t="s">
        <v>98</v>
      </c>
      <c r="D33" s="13" t="s">
        <v>4</v>
      </c>
      <c r="E33" s="14">
        <f>E35+E36+E37+E38</f>
        <v>38550913.349999994</v>
      </c>
      <c r="F33" s="14">
        <f aca="true" t="shared" si="5" ref="F33:L33">F35+F36+F37+F38</f>
        <v>12029177.440000001</v>
      </c>
      <c r="G33" s="14">
        <f t="shared" si="5"/>
        <v>13115517.17</v>
      </c>
      <c r="H33" s="14">
        <f t="shared" si="5"/>
        <v>13406218.739999998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08" t="s">
        <v>130</v>
      </c>
      <c r="N33" s="92">
        <v>13.65</v>
      </c>
      <c r="O33" s="89">
        <v>14.16</v>
      </c>
      <c r="P33" s="89">
        <v>14.59</v>
      </c>
      <c r="Q33" s="89">
        <v>0</v>
      </c>
      <c r="R33" s="89">
        <v>0</v>
      </c>
      <c r="S33" s="89">
        <v>0</v>
      </c>
      <c r="T33" s="89">
        <v>0</v>
      </c>
      <c r="U33" s="89" t="s">
        <v>122</v>
      </c>
    </row>
    <row r="34" spans="1:21" ht="34.5" customHeight="1">
      <c r="A34" s="84"/>
      <c r="B34" s="128"/>
      <c r="C34" s="90"/>
      <c r="D34" s="86" t="s">
        <v>29</v>
      </c>
      <c r="E34" s="87"/>
      <c r="F34" s="87"/>
      <c r="G34" s="87"/>
      <c r="H34" s="87"/>
      <c r="I34" s="87"/>
      <c r="J34" s="87"/>
      <c r="K34" s="87"/>
      <c r="L34" s="88"/>
      <c r="M34" s="150"/>
      <c r="N34" s="231"/>
      <c r="O34" s="85"/>
      <c r="P34" s="85"/>
      <c r="Q34" s="85"/>
      <c r="R34" s="85"/>
      <c r="S34" s="85"/>
      <c r="T34" s="85"/>
      <c r="U34" s="85"/>
    </row>
    <row r="35" spans="1:21" ht="18.75" customHeight="1">
      <c r="A35" s="84"/>
      <c r="B35" s="128"/>
      <c r="C35" s="90"/>
      <c r="D35" s="15" t="s">
        <v>2</v>
      </c>
      <c r="E35" s="16">
        <f>F35+G35+H35+I35+J35+K35+L35</f>
        <v>37164234.70999999</v>
      </c>
      <c r="F35" s="16">
        <v>11937140.3</v>
      </c>
      <c r="G35" s="16">
        <f>12326155.91+205661.26</f>
        <v>12531817.17</v>
      </c>
      <c r="H35" s="16">
        <f>12687854.62+7422.62</f>
        <v>12695277.239999998</v>
      </c>
      <c r="I35" s="16">
        <v>0</v>
      </c>
      <c r="J35" s="16">
        <v>0</v>
      </c>
      <c r="K35" s="16">
        <v>0</v>
      </c>
      <c r="L35" s="16">
        <v>0</v>
      </c>
      <c r="M35" s="228" t="s">
        <v>131</v>
      </c>
      <c r="N35" s="89">
        <v>37</v>
      </c>
      <c r="O35" s="89">
        <v>43</v>
      </c>
      <c r="P35" s="89">
        <v>50</v>
      </c>
      <c r="Q35" s="89">
        <v>0</v>
      </c>
      <c r="R35" s="89">
        <v>0</v>
      </c>
      <c r="S35" s="89">
        <v>0</v>
      </c>
      <c r="T35" s="89">
        <v>0</v>
      </c>
      <c r="U35" s="89" t="s">
        <v>122</v>
      </c>
    </row>
    <row r="36" spans="1:21" ht="15.75" customHeight="1">
      <c r="A36" s="84"/>
      <c r="B36" s="128"/>
      <c r="C36" s="90"/>
      <c r="D36" s="15" t="s">
        <v>0</v>
      </c>
      <c r="E36" s="16">
        <f>G36+H36</f>
        <v>1060212</v>
      </c>
      <c r="F36" s="16">
        <v>0</v>
      </c>
      <c r="G36" s="16">
        <v>477700</v>
      </c>
      <c r="H36" s="16">
        <v>582512</v>
      </c>
      <c r="I36" s="16">
        <v>0</v>
      </c>
      <c r="J36" s="16">
        <v>0</v>
      </c>
      <c r="K36" s="16">
        <v>0</v>
      </c>
      <c r="L36" s="16">
        <v>0</v>
      </c>
      <c r="M36" s="230"/>
      <c r="N36" s="91"/>
      <c r="O36" s="91"/>
      <c r="P36" s="91"/>
      <c r="Q36" s="91"/>
      <c r="R36" s="91"/>
      <c r="S36" s="91"/>
      <c r="T36" s="91"/>
      <c r="U36" s="91"/>
    </row>
    <row r="37" spans="1:21" ht="19.5" customHeight="1">
      <c r="A37" s="84"/>
      <c r="B37" s="128"/>
      <c r="C37" s="90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28" t="s">
        <v>132</v>
      </c>
      <c r="N37" s="89">
        <v>300</v>
      </c>
      <c r="O37" s="89">
        <v>305</v>
      </c>
      <c r="P37" s="89">
        <v>310</v>
      </c>
      <c r="Q37" s="89">
        <v>0</v>
      </c>
      <c r="R37" s="89">
        <v>0</v>
      </c>
      <c r="S37" s="89">
        <v>0</v>
      </c>
      <c r="T37" s="89">
        <v>0</v>
      </c>
      <c r="U37" s="89" t="s">
        <v>122</v>
      </c>
    </row>
    <row r="38" spans="1:21" ht="21.75" customHeight="1">
      <c r="A38" s="85"/>
      <c r="B38" s="128"/>
      <c r="C38" s="91"/>
      <c r="D38" s="15" t="s">
        <v>3</v>
      </c>
      <c r="E38" s="16">
        <f>F38+G38+H38+I38+J38+K38+L38</f>
        <v>326466.64</v>
      </c>
      <c r="F38" s="16">
        <v>92037.14</v>
      </c>
      <c r="G38" s="16">
        <f>92000+14000</f>
        <v>106000</v>
      </c>
      <c r="H38" s="16">
        <f>125000+3429+0.5</f>
        <v>128429.5</v>
      </c>
      <c r="I38" s="16">
        <v>0</v>
      </c>
      <c r="J38" s="16">
        <v>0</v>
      </c>
      <c r="K38" s="16">
        <v>0</v>
      </c>
      <c r="L38" s="16">
        <v>0</v>
      </c>
      <c r="M38" s="229"/>
      <c r="N38" s="90"/>
      <c r="O38" s="90"/>
      <c r="P38" s="90"/>
      <c r="Q38" s="90"/>
      <c r="R38" s="90"/>
      <c r="S38" s="90"/>
      <c r="T38" s="90"/>
      <c r="U38" s="90"/>
    </row>
    <row r="39" spans="1:21" ht="15" customHeight="1">
      <c r="A39" s="102" t="s">
        <v>41</v>
      </c>
      <c r="B39" s="128" t="s">
        <v>133</v>
      </c>
      <c r="C39" s="89" t="s">
        <v>63</v>
      </c>
      <c r="D39" s="13" t="s">
        <v>4</v>
      </c>
      <c r="E39" s="14">
        <f>E41+E42+E43+E44</f>
        <v>41058422.010000005</v>
      </c>
      <c r="F39" s="14">
        <f aca="true" t="shared" si="6" ref="F39:L39">F41+F42+F43+F44</f>
        <v>0</v>
      </c>
      <c r="G39" s="14">
        <f t="shared" si="6"/>
        <v>0</v>
      </c>
      <c r="H39" s="14">
        <f t="shared" si="6"/>
        <v>0</v>
      </c>
      <c r="I39" s="14">
        <f t="shared" si="6"/>
        <v>10869877.07</v>
      </c>
      <c r="J39" s="14">
        <f t="shared" si="6"/>
        <v>10589213.6</v>
      </c>
      <c r="K39" s="14">
        <f t="shared" si="6"/>
        <v>9799665.67</v>
      </c>
      <c r="L39" s="14">
        <f t="shared" si="6"/>
        <v>9799665.67</v>
      </c>
      <c r="M39" s="108" t="s">
        <v>134</v>
      </c>
      <c r="N39" s="92">
        <v>0</v>
      </c>
      <c r="O39" s="89">
        <v>0</v>
      </c>
      <c r="P39" s="89">
        <v>0</v>
      </c>
      <c r="Q39" s="89">
        <v>16455</v>
      </c>
      <c r="R39" s="89">
        <v>17364</v>
      </c>
      <c r="S39" s="89">
        <v>17556</v>
      </c>
      <c r="T39" s="89">
        <v>17556</v>
      </c>
      <c r="U39" s="89" t="s">
        <v>122</v>
      </c>
    </row>
    <row r="40" spans="1:21" ht="13.5" customHeight="1">
      <c r="A40" s="84"/>
      <c r="B40" s="128"/>
      <c r="C40" s="90"/>
      <c r="D40" s="86" t="s">
        <v>29</v>
      </c>
      <c r="E40" s="87"/>
      <c r="F40" s="87"/>
      <c r="G40" s="87"/>
      <c r="H40" s="87"/>
      <c r="I40" s="87"/>
      <c r="J40" s="87"/>
      <c r="K40" s="87"/>
      <c r="L40" s="88"/>
      <c r="M40" s="109"/>
      <c r="N40" s="227"/>
      <c r="O40" s="84"/>
      <c r="P40" s="84"/>
      <c r="Q40" s="84"/>
      <c r="R40" s="84"/>
      <c r="S40" s="84"/>
      <c r="T40" s="84"/>
      <c r="U40" s="84"/>
    </row>
    <row r="41" spans="1:21" ht="13.5" customHeight="1">
      <c r="A41" s="84"/>
      <c r="B41" s="128"/>
      <c r="C41" s="90"/>
      <c r="D41" s="15" t="s">
        <v>2</v>
      </c>
      <c r="E41" s="16">
        <f>F41+G41+H41+I41+J41+K41+L41</f>
        <v>38759738.480000004</v>
      </c>
      <c r="F41" s="16">
        <v>0</v>
      </c>
      <c r="G41" s="16">
        <v>0</v>
      </c>
      <c r="H41" s="16">
        <v>0</v>
      </c>
      <c r="I41" s="16">
        <f>9623952.76+88843.72</f>
        <v>9712796.48</v>
      </c>
      <c r="J41" s="16">
        <v>9659610.66</v>
      </c>
      <c r="K41" s="16">
        <v>9693665.67</v>
      </c>
      <c r="L41" s="16">
        <v>9693665.67</v>
      </c>
      <c r="M41" s="109"/>
      <c r="N41" s="84"/>
      <c r="O41" s="84"/>
      <c r="P41" s="84"/>
      <c r="Q41" s="84"/>
      <c r="R41" s="84"/>
      <c r="S41" s="84"/>
      <c r="T41" s="84"/>
      <c r="U41" s="84"/>
    </row>
    <row r="42" spans="1:21" ht="12.75" customHeight="1">
      <c r="A42" s="84"/>
      <c r="B42" s="128"/>
      <c r="C42" s="90"/>
      <c r="D42" s="15" t="s">
        <v>0</v>
      </c>
      <c r="E42" s="16">
        <f>I42+J42</f>
        <v>1763817.5299999998</v>
      </c>
      <c r="F42" s="16">
        <v>0</v>
      </c>
      <c r="G42" s="16">
        <v>0</v>
      </c>
      <c r="H42" s="16">
        <v>0</v>
      </c>
      <c r="I42" s="16">
        <f>757305.37+182909.22</f>
        <v>940214.59</v>
      </c>
      <c r="J42" s="16">
        <f>663045.84+160557.1</f>
        <v>823602.94</v>
      </c>
      <c r="K42" s="16">
        <v>0</v>
      </c>
      <c r="L42" s="16">
        <v>0</v>
      </c>
      <c r="M42" s="109"/>
      <c r="N42" s="84"/>
      <c r="O42" s="84"/>
      <c r="P42" s="84"/>
      <c r="Q42" s="84"/>
      <c r="R42" s="84"/>
      <c r="S42" s="84"/>
      <c r="T42" s="84"/>
      <c r="U42" s="84"/>
    </row>
    <row r="43" spans="1:21" ht="13.5" customHeight="1">
      <c r="A43" s="84"/>
      <c r="B43" s="128"/>
      <c r="C43" s="90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09"/>
      <c r="N43" s="84"/>
      <c r="O43" s="84"/>
      <c r="P43" s="84"/>
      <c r="Q43" s="84"/>
      <c r="R43" s="84"/>
      <c r="S43" s="84"/>
      <c r="T43" s="84"/>
      <c r="U43" s="84"/>
    </row>
    <row r="44" spans="1:21" ht="12" customHeight="1">
      <c r="A44" s="85"/>
      <c r="B44" s="128"/>
      <c r="C44" s="91"/>
      <c r="D44" s="15" t="s">
        <v>3</v>
      </c>
      <c r="E44" s="16">
        <f>F44+G44+H44+I44+J44+K44+L44</f>
        <v>534866</v>
      </c>
      <c r="F44" s="16">
        <v>0</v>
      </c>
      <c r="G44" s="16">
        <v>0</v>
      </c>
      <c r="H44" s="16">
        <v>0</v>
      </c>
      <c r="I44" s="16">
        <f>106000+94000+15000+1866</f>
        <v>216866</v>
      </c>
      <c r="J44" s="16">
        <v>106000</v>
      </c>
      <c r="K44" s="16">
        <v>106000</v>
      </c>
      <c r="L44" s="16">
        <v>106000</v>
      </c>
      <c r="M44" s="150"/>
      <c r="N44" s="85"/>
      <c r="O44" s="85"/>
      <c r="P44" s="85"/>
      <c r="Q44" s="85"/>
      <c r="R44" s="85"/>
      <c r="S44" s="85"/>
      <c r="T44" s="85"/>
      <c r="U44" s="85"/>
    </row>
    <row r="45" spans="1:21" ht="15" customHeight="1">
      <c r="A45" s="102" t="s">
        <v>57</v>
      </c>
      <c r="B45" s="128" t="s">
        <v>135</v>
      </c>
      <c r="C45" s="89" t="s">
        <v>63</v>
      </c>
      <c r="D45" s="13" t="s">
        <v>4</v>
      </c>
      <c r="E45" s="14">
        <f>E47+E48+E49+E50</f>
        <v>16177497.66</v>
      </c>
      <c r="F45" s="14">
        <f aca="true" t="shared" si="7" ref="F45:L45">F47+F48+F49+F50</f>
        <v>0</v>
      </c>
      <c r="G45" s="14">
        <f t="shared" si="7"/>
        <v>0</v>
      </c>
      <c r="H45" s="14">
        <f t="shared" si="7"/>
        <v>0</v>
      </c>
      <c r="I45" s="14">
        <f t="shared" si="7"/>
        <v>4226312.74</v>
      </c>
      <c r="J45" s="14">
        <f t="shared" si="7"/>
        <v>4196252.4</v>
      </c>
      <c r="K45" s="14">
        <f t="shared" si="7"/>
        <v>3877466.26</v>
      </c>
      <c r="L45" s="14">
        <f t="shared" si="7"/>
        <v>3877466.26</v>
      </c>
      <c r="M45" s="108" t="s">
        <v>136</v>
      </c>
      <c r="N45" s="92">
        <v>0</v>
      </c>
      <c r="O45" s="89">
        <v>0</v>
      </c>
      <c r="P45" s="89">
        <v>0</v>
      </c>
      <c r="Q45" s="89">
        <v>56</v>
      </c>
      <c r="R45" s="89">
        <v>64</v>
      </c>
      <c r="S45" s="89">
        <v>64</v>
      </c>
      <c r="T45" s="89">
        <v>64</v>
      </c>
      <c r="U45" s="89" t="s">
        <v>122</v>
      </c>
    </row>
    <row r="46" spans="1:21" ht="12" customHeight="1">
      <c r="A46" s="84"/>
      <c r="B46" s="128"/>
      <c r="C46" s="90"/>
      <c r="D46" s="86" t="s">
        <v>29</v>
      </c>
      <c r="E46" s="87"/>
      <c r="F46" s="87"/>
      <c r="G46" s="87"/>
      <c r="H46" s="87"/>
      <c r="I46" s="87"/>
      <c r="J46" s="87"/>
      <c r="K46" s="87"/>
      <c r="L46" s="88"/>
      <c r="M46" s="109"/>
      <c r="N46" s="227"/>
      <c r="O46" s="84"/>
      <c r="P46" s="84"/>
      <c r="Q46" s="84"/>
      <c r="R46" s="84"/>
      <c r="S46" s="84"/>
      <c r="T46" s="84"/>
      <c r="U46" s="84"/>
    </row>
    <row r="47" spans="1:21" ht="12.75" customHeight="1">
      <c r="A47" s="84"/>
      <c r="B47" s="128"/>
      <c r="C47" s="90"/>
      <c r="D47" s="15" t="s">
        <v>2</v>
      </c>
      <c r="E47" s="16">
        <f>F47+G47+H47+I47+J47+K47+L47</f>
        <v>15468357.9</v>
      </c>
      <c r="F47" s="16">
        <v>0</v>
      </c>
      <c r="G47" s="16">
        <v>0</v>
      </c>
      <c r="H47" s="16">
        <v>0</v>
      </c>
      <c r="I47" s="16">
        <v>3849581.11</v>
      </c>
      <c r="J47" s="16">
        <v>3863844.27</v>
      </c>
      <c r="K47" s="16">
        <v>3877466.26</v>
      </c>
      <c r="L47" s="16">
        <v>3877466.26</v>
      </c>
      <c r="M47" s="109"/>
      <c r="N47" s="84"/>
      <c r="O47" s="84"/>
      <c r="P47" s="84"/>
      <c r="Q47" s="84"/>
      <c r="R47" s="84"/>
      <c r="S47" s="84"/>
      <c r="T47" s="84"/>
      <c r="U47" s="84"/>
    </row>
    <row r="48" spans="1:21" ht="12.75" customHeight="1">
      <c r="A48" s="84"/>
      <c r="B48" s="128"/>
      <c r="C48" s="90"/>
      <c r="D48" s="15" t="s">
        <v>0</v>
      </c>
      <c r="E48" s="16">
        <f>I48+J48</f>
        <v>709139.76</v>
      </c>
      <c r="F48" s="16">
        <v>0</v>
      </c>
      <c r="G48" s="16">
        <v>0</v>
      </c>
      <c r="H48" s="16">
        <v>0</v>
      </c>
      <c r="I48" s="16">
        <v>376731.63</v>
      </c>
      <c r="J48" s="16">
        <v>332408.13</v>
      </c>
      <c r="K48" s="16">
        <v>0</v>
      </c>
      <c r="L48" s="16">
        <v>0</v>
      </c>
      <c r="M48" s="109"/>
      <c r="N48" s="84"/>
      <c r="O48" s="84"/>
      <c r="P48" s="84"/>
      <c r="Q48" s="84"/>
      <c r="R48" s="84"/>
      <c r="S48" s="84"/>
      <c r="T48" s="84"/>
      <c r="U48" s="84"/>
    </row>
    <row r="49" spans="1:21" ht="12" customHeight="1">
      <c r="A49" s="84"/>
      <c r="B49" s="128"/>
      <c r="C49" s="90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09"/>
      <c r="N49" s="84"/>
      <c r="O49" s="84"/>
      <c r="P49" s="84"/>
      <c r="Q49" s="84"/>
      <c r="R49" s="84"/>
      <c r="S49" s="84"/>
      <c r="T49" s="84"/>
      <c r="U49" s="84"/>
    </row>
    <row r="50" spans="1:21" ht="15" customHeight="1">
      <c r="A50" s="85"/>
      <c r="B50" s="128"/>
      <c r="C50" s="91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50"/>
      <c r="N50" s="85"/>
      <c r="O50" s="85"/>
      <c r="P50" s="85"/>
      <c r="Q50" s="85"/>
      <c r="R50" s="85"/>
      <c r="S50" s="85"/>
      <c r="T50" s="85"/>
      <c r="U50" s="85"/>
    </row>
    <row r="51" spans="1:21" ht="12.75" customHeight="1">
      <c r="A51" s="102" t="s">
        <v>58</v>
      </c>
      <c r="B51" s="128" t="s">
        <v>68</v>
      </c>
      <c r="C51" s="89" t="s">
        <v>63</v>
      </c>
      <c r="D51" s="13" t="s">
        <v>4</v>
      </c>
      <c r="E51" s="14">
        <f>E53+E54+E55+E56</f>
        <v>1416767.7</v>
      </c>
      <c r="F51" s="14">
        <f aca="true" t="shared" si="8" ref="F51:L51">F53+F54+F55+F56</f>
        <v>0</v>
      </c>
      <c r="G51" s="14">
        <f t="shared" si="8"/>
        <v>0</v>
      </c>
      <c r="H51" s="14">
        <f t="shared" si="8"/>
        <v>0</v>
      </c>
      <c r="I51" s="14">
        <f t="shared" si="8"/>
        <v>350722.7</v>
      </c>
      <c r="J51" s="14">
        <f t="shared" si="8"/>
        <v>171943</v>
      </c>
      <c r="K51" s="14">
        <f t="shared" si="8"/>
        <v>447051</v>
      </c>
      <c r="L51" s="14">
        <f t="shared" si="8"/>
        <v>447051</v>
      </c>
      <c r="M51" s="108" t="s">
        <v>73</v>
      </c>
      <c r="N51" s="92">
        <v>0</v>
      </c>
      <c r="O51" s="89">
        <v>0</v>
      </c>
      <c r="P51" s="89">
        <v>0</v>
      </c>
      <c r="Q51" s="89">
        <v>20</v>
      </c>
      <c r="R51" s="89">
        <v>10</v>
      </c>
      <c r="S51" s="89">
        <v>26</v>
      </c>
      <c r="T51" s="89">
        <v>26</v>
      </c>
      <c r="U51" s="89" t="s">
        <v>122</v>
      </c>
    </row>
    <row r="52" spans="1:21" ht="12.75" customHeight="1">
      <c r="A52" s="84"/>
      <c r="B52" s="128"/>
      <c r="C52" s="90"/>
      <c r="D52" s="86" t="s">
        <v>29</v>
      </c>
      <c r="E52" s="87"/>
      <c r="F52" s="87"/>
      <c r="G52" s="87"/>
      <c r="H52" s="87"/>
      <c r="I52" s="87"/>
      <c r="J52" s="87"/>
      <c r="K52" s="87"/>
      <c r="L52" s="88"/>
      <c r="M52" s="109"/>
      <c r="N52" s="227"/>
      <c r="O52" s="84"/>
      <c r="P52" s="84"/>
      <c r="Q52" s="84"/>
      <c r="R52" s="84"/>
      <c r="S52" s="84"/>
      <c r="T52" s="84"/>
      <c r="U52" s="84"/>
    </row>
    <row r="53" spans="1:21" ht="12.75" customHeight="1">
      <c r="A53" s="84"/>
      <c r="B53" s="128"/>
      <c r="C53" s="90"/>
      <c r="D53" s="15" t="s">
        <v>2</v>
      </c>
      <c r="E53" s="16">
        <f>F53+G53+H53+I53+J53+K53+L53</f>
        <v>1416767.7</v>
      </c>
      <c r="F53" s="16">
        <v>0</v>
      </c>
      <c r="G53" s="16">
        <v>0</v>
      </c>
      <c r="H53" s="16">
        <v>0</v>
      </c>
      <c r="I53" s="16">
        <f>343886+6836.7</f>
        <v>350722.7</v>
      </c>
      <c r="J53" s="16">
        <v>171943</v>
      </c>
      <c r="K53" s="16">
        <v>447051</v>
      </c>
      <c r="L53" s="16">
        <v>447051</v>
      </c>
      <c r="M53" s="109"/>
      <c r="N53" s="84"/>
      <c r="O53" s="84"/>
      <c r="P53" s="84"/>
      <c r="Q53" s="84"/>
      <c r="R53" s="84"/>
      <c r="S53" s="84"/>
      <c r="T53" s="84"/>
      <c r="U53" s="84"/>
    </row>
    <row r="54" spans="1:21" ht="13.5" customHeight="1">
      <c r="A54" s="84"/>
      <c r="B54" s="128"/>
      <c r="C54" s="90"/>
      <c r="D54" s="15" t="s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09"/>
      <c r="N54" s="84"/>
      <c r="O54" s="84"/>
      <c r="P54" s="84"/>
      <c r="Q54" s="84"/>
      <c r="R54" s="84"/>
      <c r="S54" s="84"/>
      <c r="T54" s="84"/>
      <c r="U54" s="84"/>
    </row>
    <row r="55" spans="1:21" ht="15" customHeight="1">
      <c r="A55" s="84"/>
      <c r="B55" s="128"/>
      <c r="C55" s="90"/>
      <c r="D55" s="15" t="s">
        <v>1</v>
      </c>
      <c r="E55" s="16">
        <f>F55+G55+H55+I55+J55+K55+L55</f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09"/>
      <c r="N55" s="84"/>
      <c r="O55" s="84"/>
      <c r="P55" s="84"/>
      <c r="Q55" s="84"/>
      <c r="R55" s="84"/>
      <c r="S55" s="84"/>
      <c r="T55" s="84"/>
      <c r="U55" s="84"/>
    </row>
    <row r="56" spans="1:21" ht="12.75">
      <c r="A56" s="85"/>
      <c r="B56" s="128"/>
      <c r="C56" s="91"/>
      <c r="D56" s="15" t="s">
        <v>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50"/>
      <c r="N56" s="85"/>
      <c r="O56" s="85"/>
      <c r="P56" s="85"/>
      <c r="Q56" s="85"/>
      <c r="R56" s="85"/>
      <c r="S56" s="85"/>
      <c r="T56" s="85"/>
      <c r="U56" s="85"/>
    </row>
    <row r="57" spans="1:21" ht="12.75">
      <c r="A57" s="102"/>
      <c r="B57" s="99" t="s">
        <v>105</v>
      </c>
      <c r="C57" s="89"/>
      <c r="D57" s="13" t="s">
        <v>4</v>
      </c>
      <c r="E57" s="14">
        <f>E59+E60+E61+E62</f>
        <v>97203600.72</v>
      </c>
      <c r="F57" s="14">
        <f aca="true" t="shared" si="9" ref="F57:L57">F59+F60+F61+F62</f>
        <v>12029177.440000001</v>
      </c>
      <c r="G57" s="14">
        <f t="shared" si="9"/>
        <v>13115517.17</v>
      </c>
      <c r="H57" s="14">
        <f t="shared" si="9"/>
        <v>13406218.739999998</v>
      </c>
      <c r="I57" s="14">
        <f t="shared" si="9"/>
        <v>15446912.51</v>
      </c>
      <c r="J57" s="14">
        <f t="shared" si="9"/>
        <v>14957409</v>
      </c>
      <c r="K57" s="14">
        <f t="shared" si="9"/>
        <v>14124182.93</v>
      </c>
      <c r="L57" s="65">
        <f t="shared" si="9"/>
        <v>14124182.93</v>
      </c>
      <c r="M57" s="216"/>
      <c r="N57" s="212"/>
      <c r="O57" s="212"/>
      <c r="P57" s="212"/>
      <c r="Q57" s="212"/>
      <c r="R57" s="212"/>
      <c r="S57" s="212"/>
      <c r="T57" s="212"/>
      <c r="U57" s="220"/>
    </row>
    <row r="58" spans="1:21" ht="12.75">
      <c r="A58" s="84"/>
      <c r="B58" s="97"/>
      <c r="C58" s="84"/>
      <c r="D58" s="86" t="s">
        <v>29</v>
      </c>
      <c r="E58" s="87"/>
      <c r="F58" s="87"/>
      <c r="G58" s="87"/>
      <c r="H58" s="87"/>
      <c r="I58" s="87"/>
      <c r="J58" s="87"/>
      <c r="K58" s="87"/>
      <c r="L58" s="87"/>
      <c r="M58" s="217"/>
      <c r="N58" s="213"/>
      <c r="O58" s="213"/>
      <c r="P58" s="213"/>
      <c r="Q58" s="213"/>
      <c r="R58" s="213"/>
      <c r="S58" s="213"/>
      <c r="T58" s="213"/>
      <c r="U58" s="221"/>
    </row>
    <row r="59" spans="1:21" ht="12.75">
      <c r="A59" s="84"/>
      <c r="B59" s="97"/>
      <c r="C59" s="84"/>
      <c r="D59" s="15" t="s">
        <v>2</v>
      </c>
      <c r="E59" s="16">
        <f>F59+G59+H59+I59+J59+K59+L59</f>
        <v>92809098.78999999</v>
      </c>
      <c r="F59" s="16">
        <f>F35</f>
        <v>11937140.3</v>
      </c>
      <c r="G59" s="16">
        <f>G35</f>
        <v>12531817.17</v>
      </c>
      <c r="H59" s="16">
        <f>H35</f>
        <v>12695277.239999998</v>
      </c>
      <c r="I59" s="16">
        <f>I41+I47+I53</f>
        <v>13913100.29</v>
      </c>
      <c r="J59" s="16">
        <f>J41+J47+J53</f>
        <v>13695397.93</v>
      </c>
      <c r="K59" s="16">
        <f>K41+K47+K53</f>
        <v>14018182.93</v>
      </c>
      <c r="L59" s="16">
        <f>L41+L47+L53</f>
        <v>14018182.93</v>
      </c>
      <c r="M59" s="217"/>
      <c r="N59" s="213"/>
      <c r="O59" s="213"/>
      <c r="P59" s="213"/>
      <c r="Q59" s="213"/>
      <c r="R59" s="213"/>
      <c r="S59" s="213"/>
      <c r="T59" s="213"/>
      <c r="U59" s="221"/>
    </row>
    <row r="60" spans="1:21" ht="12.75">
      <c r="A60" s="84"/>
      <c r="B60" s="97"/>
      <c r="C60" s="84"/>
      <c r="D60" s="15" t="s">
        <v>0</v>
      </c>
      <c r="E60" s="16">
        <f>F60+G60+H60+I60+J60+K60+L60</f>
        <v>3533169.2899999996</v>
      </c>
      <c r="F60" s="16">
        <v>0</v>
      </c>
      <c r="G60" s="16">
        <f>G36</f>
        <v>477700</v>
      </c>
      <c r="H60" s="16">
        <f>H36</f>
        <v>582512</v>
      </c>
      <c r="I60" s="16">
        <f>I42+I48</f>
        <v>1316946.22</v>
      </c>
      <c r="J60" s="16">
        <f>J42+J48</f>
        <v>1156011.0699999998</v>
      </c>
      <c r="K60" s="16">
        <f>K42+K48</f>
        <v>0</v>
      </c>
      <c r="L60" s="16">
        <f>L42+L48</f>
        <v>0</v>
      </c>
      <c r="M60" s="217"/>
      <c r="N60" s="213"/>
      <c r="O60" s="213"/>
      <c r="P60" s="213"/>
      <c r="Q60" s="213"/>
      <c r="R60" s="213"/>
      <c r="S60" s="213"/>
      <c r="T60" s="213"/>
      <c r="U60" s="221"/>
    </row>
    <row r="61" spans="1:21" ht="12.75">
      <c r="A61" s="84"/>
      <c r="B61" s="97"/>
      <c r="C61" s="84"/>
      <c r="D61" s="15" t="s">
        <v>1</v>
      </c>
      <c r="E61" s="16">
        <f>F61+G61+H61+I61+J61+K61+L61</f>
        <v>0</v>
      </c>
      <c r="F61" s="16">
        <v>0</v>
      </c>
      <c r="G61" s="16">
        <v>0</v>
      </c>
      <c r="H61" s="16"/>
      <c r="I61" s="16">
        <v>0</v>
      </c>
      <c r="J61" s="16">
        <v>0</v>
      </c>
      <c r="K61" s="16">
        <v>0</v>
      </c>
      <c r="L61" s="16">
        <v>0</v>
      </c>
      <c r="M61" s="217"/>
      <c r="N61" s="213"/>
      <c r="O61" s="213"/>
      <c r="P61" s="213"/>
      <c r="Q61" s="213"/>
      <c r="R61" s="213"/>
      <c r="S61" s="213"/>
      <c r="T61" s="213"/>
      <c r="U61" s="221"/>
    </row>
    <row r="62" spans="1:21" ht="12.75">
      <c r="A62" s="85"/>
      <c r="B62" s="98"/>
      <c r="C62" s="85"/>
      <c r="D62" s="15" t="s">
        <v>3</v>
      </c>
      <c r="E62" s="16">
        <f>F62+G62+H62+I62+J62+K62+L62</f>
        <v>861332.64</v>
      </c>
      <c r="F62" s="16">
        <f>F38</f>
        <v>92037.14</v>
      </c>
      <c r="G62" s="16">
        <f>G38</f>
        <v>106000</v>
      </c>
      <c r="H62" s="16">
        <f>H38</f>
        <v>128429.5</v>
      </c>
      <c r="I62" s="16">
        <f>I44</f>
        <v>216866</v>
      </c>
      <c r="J62" s="16">
        <f>J44</f>
        <v>106000</v>
      </c>
      <c r="K62" s="16">
        <f>K44</f>
        <v>106000</v>
      </c>
      <c r="L62" s="16">
        <f>L44</f>
        <v>106000</v>
      </c>
      <c r="M62" s="226"/>
      <c r="N62" s="225"/>
      <c r="O62" s="225"/>
      <c r="P62" s="225"/>
      <c r="Q62" s="225"/>
      <c r="R62" s="225"/>
      <c r="S62" s="225"/>
      <c r="T62" s="225"/>
      <c r="U62" s="222"/>
    </row>
    <row r="63" spans="1:21" ht="12.75">
      <c r="A63" s="37">
        <v>3</v>
      </c>
      <c r="B63" s="119" t="s">
        <v>137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223"/>
      <c r="N63" s="223"/>
      <c r="O63" s="223"/>
      <c r="P63" s="223"/>
      <c r="Q63" s="223"/>
      <c r="R63" s="223"/>
      <c r="S63" s="223"/>
      <c r="T63" s="223"/>
      <c r="U63" s="224"/>
    </row>
    <row r="64" spans="1:21" ht="12.75">
      <c r="A64" s="102" t="s">
        <v>32</v>
      </c>
      <c r="B64" s="128" t="s">
        <v>138</v>
      </c>
      <c r="C64" s="89">
        <v>2014</v>
      </c>
      <c r="D64" s="13" t="s">
        <v>4</v>
      </c>
      <c r="E64" s="14">
        <f>E66+E67+E68+E69</f>
        <v>34020</v>
      </c>
      <c r="F64" s="14">
        <f aca="true" t="shared" si="10" ref="F64:L64">F66+F67+F68+F69</f>
        <v>34020</v>
      </c>
      <c r="G64" s="14">
        <f t="shared" si="10"/>
        <v>0</v>
      </c>
      <c r="H64" s="14">
        <f t="shared" si="10"/>
        <v>0</v>
      </c>
      <c r="I64" s="14">
        <f t="shared" si="10"/>
        <v>0</v>
      </c>
      <c r="J64" s="14">
        <f t="shared" si="10"/>
        <v>0</v>
      </c>
      <c r="K64" s="14">
        <f t="shared" si="10"/>
        <v>0</v>
      </c>
      <c r="L64" s="14">
        <f t="shared" si="10"/>
        <v>0</v>
      </c>
      <c r="M64" s="96" t="s">
        <v>139</v>
      </c>
      <c r="N64" s="218">
        <v>81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18">
        <v>0</v>
      </c>
      <c r="U64" s="92" t="s">
        <v>122</v>
      </c>
    </row>
    <row r="65" spans="1:21" ht="12.75" customHeight="1">
      <c r="A65" s="84"/>
      <c r="B65" s="128"/>
      <c r="C65" s="90"/>
      <c r="D65" s="86" t="s">
        <v>29</v>
      </c>
      <c r="E65" s="87"/>
      <c r="F65" s="87"/>
      <c r="G65" s="87"/>
      <c r="H65" s="87"/>
      <c r="I65" s="87"/>
      <c r="J65" s="87"/>
      <c r="K65" s="87"/>
      <c r="L65" s="88"/>
      <c r="M65" s="136"/>
      <c r="N65" s="219"/>
      <c r="O65" s="219"/>
      <c r="P65" s="219"/>
      <c r="Q65" s="219"/>
      <c r="R65" s="219"/>
      <c r="S65" s="219"/>
      <c r="T65" s="219"/>
      <c r="U65" s="122"/>
    </row>
    <row r="66" spans="1:21" ht="12.75" customHeight="1">
      <c r="A66" s="84"/>
      <c r="B66" s="128"/>
      <c r="C66" s="90"/>
      <c r="D66" s="15" t="s">
        <v>2</v>
      </c>
      <c r="E66" s="16">
        <f>F66+G66+H66+I66+J66+K66+L66</f>
        <v>34020</v>
      </c>
      <c r="F66" s="16">
        <v>34020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36"/>
      <c r="N66" s="219"/>
      <c r="O66" s="219"/>
      <c r="P66" s="219"/>
      <c r="Q66" s="219"/>
      <c r="R66" s="219"/>
      <c r="S66" s="219"/>
      <c r="T66" s="219"/>
      <c r="U66" s="122"/>
    </row>
    <row r="67" spans="1:21" ht="12.75" customHeight="1">
      <c r="A67" s="84"/>
      <c r="B67" s="128"/>
      <c r="C67" s="90"/>
      <c r="D67" s="15" t="s">
        <v>0</v>
      </c>
      <c r="E67" s="16">
        <f>F67+G67+H67+I67+J67+K67+L67</f>
        <v>0</v>
      </c>
      <c r="F67" s="16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36"/>
      <c r="N67" s="219"/>
      <c r="O67" s="219"/>
      <c r="P67" s="219"/>
      <c r="Q67" s="219"/>
      <c r="R67" s="219"/>
      <c r="S67" s="219"/>
      <c r="T67" s="219"/>
      <c r="U67" s="122"/>
    </row>
    <row r="68" spans="1:21" ht="12.75" customHeight="1">
      <c r="A68" s="84"/>
      <c r="B68" s="128"/>
      <c r="C68" s="90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36"/>
      <c r="N68" s="219"/>
      <c r="O68" s="219"/>
      <c r="P68" s="219"/>
      <c r="Q68" s="219"/>
      <c r="R68" s="219"/>
      <c r="S68" s="219"/>
      <c r="T68" s="219"/>
      <c r="U68" s="122"/>
    </row>
    <row r="69" spans="1:21" ht="12.75" customHeight="1">
      <c r="A69" s="85"/>
      <c r="B69" s="128"/>
      <c r="C69" s="91"/>
      <c r="D69" s="15" t="s">
        <v>3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36"/>
      <c r="N69" s="219"/>
      <c r="O69" s="219"/>
      <c r="P69" s="219"/>
      <c r="Q69" s="219"/>
      <c r="R69" s="219"/>
      <c r="S69" s="219"/>
      <c r="T69" s="219"/>
      <c r="U69" s="122"/>
    </row>
    <row r="70" spans="1:21" ht="12.75">
      <c r="A70" s="124"/>
      <c r="B70" s="99" t="s">
        <v>108</v>
      </c>
      <c r="C70" s="89"/>
      <c r="D70" s="13" t="s">
        <v>4</v>
      </c>
      <c r="E70" s="14">
        <f>E72+E73+E74+E75</f>
        <v>34020</v>
      </c>
      <c r="F70" s="14">
        <f aca="true" t="shared" si="11" ref="F70:L70">F72+F73+F74+F75</f>
        <v>34020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65">
        <f t="shared" si="11"/>
        <v>0</v>
      </c>
      <c r="M70" s="216"/>
      <c r="N70" s="212"/>
      <c r="O70" s="212"/>
      <c r="P70" s="212"/>
      <c r="Q70" s="212"/>
      <c r="R70" s="212"/>
      <c r="S70" s="212"/>
      <c r="T70" s="212"/>
      <c r="U70" s="214"/>
    </row>
    <row r="71" spans="1:21" ht="12.75">
      <c r="A71" s="124"/>
      <c r="B71" s="97"/>
      <c r="C71" s="90"/>
      <c r="D71" s="86" t="s">
        <v>29</v>
      </c>
      <c r="E71" s="87"/>
      <c r="F71" s="87"/>
      <c r="G71" s="87"/>
      <c r="H71" s="87"/>
      <c r="I71" s="87"/>
      <c r="J71" s="87"/>
      <c r="K71" s="87"/>
      <c r="L71" s="87"/>
      <c r="M71" s="217"/>
      <c r="N71" s="213"/>
      <c r="O71" s="213"/>
      <c r="P71" s="213"/>
      <c r="Q71" s="213"/>
      <c r="R71" s="213"/>
      <c r="S71" s="213"/>
      <c r="T71" s="213"/>
      <c r="U71" s="215"/>
    </row>
    <row r="72" spans="1:21" ht="12.75">
      <c r="A72" s="124"/>
      <c r="B72" s="97"/>
      <c r="C72" s="90"/>
      <c r="D72" s="15" t="s">
        <v>2</v>
      </c>
      <c r="E72" s="16">
        <f>F72+G72+H72+I72+J72+K72+L72</f>
        <v>34020</v>
      </c>
      <c r="F72" s="16">
        <f>F66</f>
        <v>34020</v>
      </c>
      <c r="G72" s="16">
        <f aca="true" t="shared" si="12" ref="G72:L73">G66</f>
        <v>0</v>
      </c>
      <c r="H72" s="16">
        <f t="shared" si="12"/>
        <v>0</v>
      </c>
      <c r="I72" s="16">
        <f t="shared" si="12"/>
        <v>0</v>
      </c>
      <c r="J72" s="16">
        <f t="shared" si="12"/>
        <v>0</v>
      </c>
      <c r="K72" s="16">
        <f t="shared" si="12"/>
        <v>0</v>
      </c>
      <c r="L72" s="66">
        <f t="shared" si="12"/>
        <v>0</v>
      </c>
      <c r="M72" s="217"/>
      <c r="N72" s="213"/>
      <c r="O72" s="213"/>
      <c r="P72" s="213"/>
      <c r="Q72" s="213"/>
      <c r="R72" s="213"/>
      <c r="S72" s="213"/>
      <c r="T72" s="213"/>
      <c r="U72" s="215"/>
    </row>
    <row r="73" spans="1:21" ht="12.75">
      <c r="A73" s="124"/>
      <c r="B73" s="97"/>
      <c r="C73" s="90"/>
      <c r="D73" s="15" t="s">
        <v>0</v>
      </c>
      <c r="E73" s="16">
        <f>F73+G73+H73+I73+J73+K73+L73</f>
        <v>0</v>
      </c>
      <c r="F73" s="16">
        <f>F67</f>
        <v>0</v>
      </c>
      <c r="G73" s="16">
        <f t="shared" si="12"/>
        <v>0</v>
      </c>
      <c r="H73" s="16">
        <f t="shared" si="12"/>
        <v>0</v>
      </c>
      <c r="I73" s="16">
        <f t="shared" si="12"/>
        <v>0</v>
      </c>
      <c r="J73" s="16">
        <f t="shared" si="12"/>
        <v>0</v>
      </c>
      <c r="K73" s="16">
        <f t="shared" si="12"/>
        <v>0</v>
      </c>
      <c r="L73" s="66">
        <f t="shared" si="12"/>
        <v>0</v>
      </c>
      <c r="M73" s="217"/>
      <c r="N73" s="213"/>
      <c r="O73" s="213"/>
      <c r="P73" s="213"/>
      <c r="Q73" s="213"/>
      <c r="R73" s="213"/>
      <c r="S73" s="213"/>
      <c r="T73" s="213"/>
      <c r="U73" s="215"/>
    </row>
    <row r="74" spans="1:21" ht="12.75">
      <c r="A74" s="124"/>
      <c r="B74" s="97"/>
      <c r="C74" s="90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66">
        <v>0</v>
      </c>
      <c r="M74" s="217"/>
      <c r="N74" s="213"/>
      <c r="O74" s="213"/>
      <c r="P74" s="213"/>
      <c r="Q74" s="213"/>
      <c r="R74" s="213"/>
      <c r="S74" s="213"/>
      <c r="T74" s="213"/>
      <c r="U74" s="215"/>
    </row>
    <row r="75" spans="1:21" ht="12.75">
      <c r="A75" s="124"/>
      <c r="B75" s="98"/>
      <c r="C75" s="91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66">
        <v>0</v>
      </c>
      <c r="M75" s="217"/>
      <c r="N75" s="213"/>
      <c r="O75" s="213"/>
      <c r="P75" s="213"/>
      <c r="Q75" s="213"/>
      <c r="R75" s="213"/>
      <c r="S75" s="213"/>
      <c r="T75" s="213"/>
      <c r="U75" s="215"/>
    </row>
    <row r="76" spans="1:21" s="19" customFormat="1" ht="15.75">
      <c r="A76" s="200"/>
      <c r="B76" s="203" t="s">
        <v>140</v>
      </c>
      <c r="C76" s="177"/>
      <c r="D76" s="67" t="s">
        <v>4</v>
      </c>
      <c r="E76" s="52">
        <f aca="true" t="shared" si="13" ref="E76:L76">E78+E79+E80+E81</f>
        <v>100193393.20000002</v>
      </c>
      <c r="F76" s="52">
        <f t="shared" si="13"/>
        <v>12533697.440000001</v>
      </c>
      <c r="G76" s="52">
        <f t="shared" si="13"/>
        <v>13562396.45</v>
      </c>
      <c r="H76" s="52">
        <f t="shared" si="13"/>
        <v>13830755.939999998</v>
      </c>
      <c r="I76" s="52">
        <f t="shared" si="13"/>
        <v>15850376.51</v>
      </c>
      <c r="J76" s="52">
        <f t="shared" si="13"/>
        <v>15360873</v>
      </c>
      <c r="K76" s="52">
        <f t="shared" si="13"/>
        <v>14527646.93</v>
      </c>
      <c r="L76" s="52">
        <f t="shared" si="13"/>
        <v>14527646.93</v>
      </c>
      <c r="M76" s="206"/>
      <c r="N76" s="194"/>
      <c r="O76" s="194"/>
      <c r="P76" s="194"/>
      <c r="Q76" s="194"/>
      <c r="R76" s="194"/>
      <c r="S76" s="194"/>
      <c r="T76" s="194"/>
      <c r="U76" s="197"/>
    </row>
    <row r="77" spans="1:21" s="19" customFormat="1" ht="15.75">
      <c r="A77" s="201"/>
      <c r="B77" s="204"/>
      <c r="C77" s="177"/>
      <c r="D77" s="209" t="s">
        <v>29</v>
      </c>
      <c r="E77" s="210"/>
      <c r="F77" s="210"/>
      <c r="G77" s="210"/>
      <c r="H77" s="210"/>
      <c r="I77" s="210"/>
      <c r="J77" s="210"/>
      <c r="K77" s="210"/>
      <c r="L77" s="211"/>
      <c r="M77" s="207"/>
      <c r="N77" s="195"/>
      <c r="O77" s="195"/>
      <c r="P77" s="195"/>
      <c r="Q77" s="195"/>
      <c r="R77" s="195"/>
      <c r="S77" s="195"/>
      <c r="T77" s="195"/>
      <c r="U77" s="198"/>
    </row>
    <row r="78" spans="1:21" s="19" customFormat="1" ht="15.75">
      <c r="A78" s="201"/>
      <c r="B78" s="204"/>
      <c r="C78" s="177"/>
      <c r="D78" s="51" t="s">
        <v>2</v>
      </c>
      <c r="E78" s="52">
        <f>F78+G78+H78+I78+J78+K78+L78</f>
        <v>95798891.27000001</v>
      </c>
      <c r="F78" s="53">
        <f>F72+F59+F28</f>
        <v>12441660.3</v>
      </c>
      <c r="G78" s="53">
        <f>G72+G59+G28</f>
        <v>12978696.45</v>
      </c>
      <c r="H78" s="53">
        <f>H72+H59+H28</f>
        <v>13119814.439999998</v>
      </c>
      <c r="I78" s="53">
        <f>I59+I28</f>
        <v>14316564.29</v>
      </c>
      <c r="J78" s="53">
        <f>J59+J28</f>
        <v>14098861.93</v>
      </c>
      <c r="K78" s="53">
        <f>K59+K28</f>
        <v>14421646.93</v>
      </c>
      <c r="L78" s="53">
        <f>L59+L28</f>
        <v>14421646.93</v>
      </c>
      <c r="M78" s="207"/>
      <c r="N78" s="195"/>
      <c r="O78" s="195"/>
      <c r="P78" s="195"/>
      <c r="Q78" s="195"/>
      <c r="R78" s="195"/>
      <c r="S78" s="195"/>
      <c r="T78" s="195"/>
      <c r="U78" s="198"/>
    </row>
    <row r="79" spans="1:21" s="19" customFormat="1" ht="15.75">
      <c r="A79" s="201"/>
      <c r="B79" s="204"/>
      <c r="C79" s="177"/>
      <c r="D79" s="51" t="s">
        <v>0</v>
      </c>
      <c r="E79" s="52">
        <f>F79+G79+H79+I79+J79+K79+L79</f>
        <v>3533169.2899999996</v>
      </c>
      <c r="F79" s="53">
        <f>F29</f>
        <v>0</v>
      </c>
      <c r="G79" s="53">
        <f>G60</f>
        <v>477700</v>
      </c>
      <c r="H79" s="53">
        <f>H60</f>
        <v>582512</v>
      </c>
      <c r="I79" s="53">
        <f>I60</f>
        <v>1316946.22</v>
      </c>
      <c r="J79" s="53">
        <f>J60</f>
        <v>1156011.0699999998</v>
      </c>
      <c r="K79" s="53">
        <f>K29</f>
        <v>0</v>
      </c>
      <c r="L79" s="53">
        <f>L29</f>
        <v>0</v>
      </c>
      <c r="M79" s="207"/>
      <c r="N79" s="195"/>
      <c r="O79" s="195"/>
      <c r="P79" s="195"/>
      <c r="Q79" s="195"/>
      <c r="R79" s="195"/>
      <c r="S79" s="195"/>
      <c r="T79" s="195"/>
      <c r="U79" s="198"/>
    </row>
    <row r="80" spans="1:21" s="19" customFormat="1" ht="15.75">
      <c r="A80" s="201"/>
      <c r="B80" s="204"/>
      <c r="C80" s="177"/>
      <c r="D80" s="51" t="s">
        <v>1</v>
      </c>
      <c r="E80" s="52">
        <f>F80+G80+H80+I80+J80+K80+L80</f>
        <v>0</v>
      </c>
      <c r="F80" s="53">
        <f>F30</f>
        <v>0</v>
      </c>
      <c r="G80" s="53">
        <f aca="true" t="shared" si="14" ref="G80:L80">G37</f>
        <v>0</v>
      </c>
      <c r="H80" s="53">
        <f t="shared" si="14"/>
        <v>0</v>
      </c>
      <c r="I80" s="53">
        <f t="shared" si="14"/>
        <v>0</v>
      </c>
      <c r="J80" s="53">
        <f t="shared" si="14"/>
        <v>0</v>
      </c>
      <c r="K80" s="53">
        <f t="shared" si="14"/>
        <v>0</v>
      </c>
      <c r="L80" s="53">
        <f t="shared" si="14"/>
        <v>0</v>
      </c>
      <c r="M80" s="207"/>
      <c r="N80" s="195"/>
      <c r="O80" s="195"/>
      <c r="P80" s="195"/>
      <c r="Q80" s="195"/>
      <c r="R80" s="195"/>
      <c r="S80" s="195"/>
      <c r="T80" s="195"/>
      <c r="U80" s="198"/>
    </row>
    <row r="81" spans="1:21" s="19" customFormat="1" ht="15.75">
      <c r="A81" s="202"/>
      <c r="B81" s="205"/>
      <c r="C81" s="177"/>
      <c r="D81" s="51" t="s">
        <v>3</v>
      </c>
      <c r="E81" s="52">
        <f>F81+G81+H81+I81+J81+K81+L81</f>
        <v>861332.64</v>
      </c>
      <c r="F81" s="53">
        <f aca="true" t="shared" si="15" ref="F81:L81">F62</f>
        <v>92037.14</v>
      </c>
      <c r="G81" s="53">
        <f t="shared" si="15"/>
        <v>106000</v>
      </c>
      <c r="H81" s="53">
        <f t="shared" si="15"/>
        <v>128429.5</v>
      </c>
      <c r="I81" s="53">
        <f t="shared" si="15"/>
        <v>216866</v>
      </c>
      <c r="J81" s="53">
        <f t="shared" si="15"/>
        <v>106000</v>
      </c>
      <c r="K81" s="53">
        <f t="shared" si="15"/>
        <v>106000</v>
      </c>
      <c r="L81" s="53">
        <f t="shared" si="15"/>
        <v>106000</v>
      </c>
      <c r="M81" s="208"/>
      <c r="N81" s="196"/>
      <c r="O81" s="196"/>
      <c r="P81" s="196"/>
      <c r="Q81" s="196"/>
      <c r="R81" s="196"/>
      <c r="S81" s="196"/>
      <c r="T81" s="196"/>
      <c r="U81" s="199"/>
    </row>
    <row r="83" ht="12.75">
      <c r="B83" s="4"/>
    </row>
    <row r="84" ht="12.75">
      <c r="B84" s="4"/>
    </row>
    <row r="92" ht="12.75">
      <c r="H92" s="22"/>
    </row>
    <row r="93" ht="12.75">
      <c r="H93" s="22"/>
    </row>
  </sheetData>
  <sheetProtection/>
  <mergeCells count="194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9"/>
    <mergeCell ref="O8:O9"/>
    <mergeCell ref="P8:P9"/>
    <mergeCell ref="Q8:Q9"/>
    <mergeCell ref="R8:R9"/>
    <mergeCell ref="S8:S9"/>
    <mergeCell ref="T8:T9"/>
    <mergeCell ref="U8:U9"/>
    <mergeCell ref="D9:L9"/>
    <mergeCell ref="N10:N12"/>
    <mergeCell ref="O10:O12"/>
    <mergeCell ref="P10:P12"/>
    <mergeCell ref="Q10:Q12"/>
    <mergeCell ref="R10:R12"/>
    <mergeCell ref="S10:S12"/>
    <mergeCell ref="T10:T12"/>
    <mergeCell ref="U10:U12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D21:L21"/>
    <mergeCell ref="P20:P25"/>
    <mergeCell ref="Q20:Q25"/>
    <mergeCell ref="R20:R25"/>
    <mergeCell ref="S20:S25"/>
    <mergeCell ref="T20:T25"/>
    <mergeCell ref="U20:U25"/>
    <mergeCell ref="A26:A31"/>
    <mergeCell ref="B26:B31"/>
    <mergeCell ref="C26:C31"/>
    <mergeCell ref="M26:M31"/>
    <mergeCell ref="N26:N31"/>
    <mergeCell ref="O26:O31"/>
    <mergeCell ref="D27:L27"/>
    <mergeCell ref="P26:P31"/>
    <mergeCell ref="Q26:Q31"/>
    <mergeCell ref="R26:R31"/>
    <mergeCell ref="S26:S31"/>
    <mergeCell ref="T26:T31"/>
    <mergeCell ref="U26:U31"/>
    <mergeCell ref="B32:U32"/>
    <mergeCell ref="A33:A38"/>
    <mergeCell ref="B33:B38"/>
    <mergeCell ref="C33:C38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D34:L34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D52:L52"/>
    <mergeCell ref="A57:A62"/>
    <mergeCell ref="B57:B62"/>
    <mergeCell ref="C57:C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D58:L58"/>
    <mergeCell ref="B63:U63"/>
    <mergeCell ref="A64:A69"/>
    <mergeCell ref="B64:B69"/>
    <mergeCell ref="C64:C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D65:L65"/>
    <mergeCell ref="A70:A75"/>
    <mergeCell ref="B70:B75"/>
    <mergeCell ref="C70:C75"/>
    <mergeCell ref="M70:M75"/>
    <mergeCell ref="N70:N75"/>
    <mergeCell ref="O70:O75"/>
    <mergeCell ref="D71:L71"/>
    <mergeCell ref="P70:P75"/>
    <mergeCell ref="Q70:Q75"/>
    <mergeCell ref="R70:R75"/>
    <mergeCell ref="S70:S75"/>
    <mergeCell ref="T70:T75"/>
    <mergeCell ref="U70:U75"/>
    <mergeCell ref="A76:A81"/>
    <mergeCell ref="B76:B81"/>
    <mergeCell ref="C76:C81"/>
    <mergeCell ref="M76:M81"/>
    <mergeCell ref="N76:N81"/>
    <mergeCell ref="O76:O81"/>
    <mergeCell ref="D77:L77"/>
    <mergeCell ref="P76:P81"/>
    <mergeCell ref="Q76:Q81"/>
    <mergeCell ref="R76:R81"/>
    <mergeCell ref="S76:S81"/>
    <mergeCell ref="T76:T81"/>
    <mergeCell ref="U76:U81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2017-12-12T09:04:02Z</cp:lastPrinted>
  <dcterms:created xsi:type="dcterms:W3CDTF">2013-06-06T11:09:14Z</dcterms:created>
  <dcterms:modified xsi:type="dcterms:W3CDTF">2018-01-19T14:31:15Z</dcterms:modified>
  <cp:category/>
  <cp:version/>
  <cp:contentType/>
  <cp:contentStatus/>
</cp:coreProperties>
</file>