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3020" windowHeight="10455" tabRatio="886" activeTab="7"/>
  </bookViews>
  <sheets>
    <sheet name="свод по программе" sheetId="1" r:id="rId1"/>
    <sheet name="табл.1 (1)" sheetId="2" r:id="rId2"/>
    <sheet name="табл.2 (1)" sheetId="3" r:id="rId3"/>
    <sheet name="табл.3(1)" sheetId="4" r:id="rId4"/>
    <sheet name="табл.2 (2)" sheetId="5" r:id="rId5"/>
    <sheet name="табл.3 (2)" sheetId="6" r:id="rId6"/>
    <sheet name="табл.2 (3)" sheetId="7" r:id="rId7"/>
    <sheet name="табл.3 (3)" sheetId="8" r:id="rId8"/>
    <sheet name="табл.2 (4)" sheetId="9" r:id="rId9"/>
    <sheet name="табл.3 (4)" sheetId="10" r:id="rId10"/>
    <sheet name="табл.2 (5)" sheetId="11" r:id="rId11"/>
    <sheet name="табл.3 (5)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1">'табл.1 (1)'!$A$1:$L$22</definedName>
    <definedName name="_xlnm.Print_Area" localSheetId="2">'табл.2 (1)'!$A$1:$I$20</definedName>
  </definedNames>
  <calcPr fullCalcOnLoad="1"/>
</workbook>
</file>

<file path=xl/sharedStrings.xml><?xml version="1.0" encoding="utf-8"?>
<sst xmlns="http://schemas.openxmlformats.org/spreadsheetml/2006/main" count="1020" uniqueCount="260">
  <si>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</si>
  <si>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</si>
  <si>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</si>
  <si>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</si>
  <si>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</si>
  <si>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</si>
  <si>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</si>
  <si>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</si>
  <si>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</si>
  <si>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</si>
  <si>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</si>
  <si>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</si>
  <si>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</si>
  <si>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</si>
  <si>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</si>
  <si>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</si>
  <si>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</si>
  <si>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</si>
  <si>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</si>
  <si>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</si>
  <si>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</si>
  <si>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</si>
  <si>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</si>
  <si>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</si>
  <si>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</si>
  <si>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</si>
  <si>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</si>
  <si>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</si>
  <si>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</si>
  <si>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</si>
  <si>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</si>
  <si>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</si>
  <si>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</si>
  <si>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</si>
  <si>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</si>
  <si>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</si>
  <si>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</si>
  <si>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</si>
  <si>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</si>
  <si>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</si>
  <si>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</si>
  <si>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</si>
  <si>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</si>
  <si>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</si>
  <si>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</si>
  <si>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</si>
  <si>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</si>
  <si>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</si>
  <si>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</si>
  <si>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Количество клубных формирований, ед.</t>
  </si>
  <si>
    <t>Учреждения культурно-досугового типа, подведомственные  УКС и МП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</si>
  <si>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</si>
  <si>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</si>
  <si>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</si>
  <si>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</si>
  <si>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</si>
  <si>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</si>
  <si>
    <t>2.3.</t>
  </si>
  <si>
    <t>2.4.</t>
  </si>
  <si>
    <t>Организация деятельности клубных формирований и формирований самодеятельного народного творчества</t>
  </si>
  <si>
    <t xml:space="preserve">2017 -2020 </t>
  </si>
  <si>
    <t xml:space="preserve">2014 -2016 </t>
  </si>
  <si>
    <t xml:space="preserve">Организация и проведение  культурно – массовых мероприятий </t>
  </si>
  <si>
    <t>2017-2020</t>
  </si>
  <si>
    <t>Реализация дополнительных общеразвивающих  программ</t>
  </si>
  <si>
    <t>Количество мероприятий, ед.</t>
  </si>
  <si>
    <t>Количество человеко-часов, человеко-час.</t>
  </si>
  <si>
    <t>2.5.</t>
  </si>
  <si>
    <t>Предоставление социальных гарантий работникам</t>
  </si>
  <si>
    <t>76</t>
  </si>
  <si>
    <t>72</t>
  </si>
  <si>
    <t>81</t>
  </si>
  <si>
    <t>3.3.</t>
  </si>
  <si>
    <t>Количество работников, чел.</t>
  </si>
  <si>
    <t>45118</t>
  </si>
  <si>
    <t>21930</t>
  </si>
  <si>
    <t>Реализация дополнительных общеобразовательных предпрофессиональных программ в области искусств</t>
  </si>
  <si>
    <t>не менее 30%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</si>
  <si>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</si>
  <si>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Сохранность контингента участников клубного формирования от первоначального формирования, %</t>
  </si>
  <si>
    <t xml:space="preserve">4. Обоснование ресурсного обеспечения Подпрограммы 2 "Библиотечное дело ЗАТО Александровск" </t>
  </si>
  <si>
    <t>Всего по Подпрограмме 2</t>
  </si>
  <si>
    <t>3. Перечень основных мероприятий Подпрограммы 2 "Библиотечное дело ЗАТО Александровск"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</si>
  <si>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</si>
  <si>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1.Организация библиотечного и информационного обслуживания населения</t>
  </si>
  <si>
    <t>Библиотечное, библиографическое и информационне обслуживание пользователей библиотеки</t>
  </si>
  <si>
    <t>Количество выданных экземпляров библиотечного фонда, ед.</t>
  </si>
  <si>
    <t>Библиотеки ЗАТО Александровск</t>
  </si>
  <si>
    <t>Количество посещений, ед.</t>
  </si>
  <si>
    <t>1.2.</t>
  </si>
  <si>
    <t>Количество работников, чел</t>
  </si>
  <si>
    <t>Итого по задаче 1</t>
  </si>
  <si>
    <t>Задача 2.Сохранение, пополнение и эффективное использование библиотечных фондов</t>
  </si>
  <si>
    <t xml:space="preserve"> Выполнение работы по формированию и учету фондов библиотек</t>
  </si>
  <si>
    <t>2014-2016</t>
  </si>
  <si>
    <t>Количество экземпляров  библиотечного фонда,ед.</t>
  </si>
  <si>
    <t>Выполнение работы по библиографической обработке документов и организации каталогов</t>
  </si>
  <si>
    <t>Количество внесенных библиографических записей в электронный каталог,ед.</t>
  </si>
  <si>
    <t xml:space="preserve"> Формирование,  учет, изучение, обеспечение физического сохранения и безопасности  фондов библиотек, включая оцифровку фонда</t>
  </si>
  <si>
    <t>Количество документов,ед.</t>
  </si>
  <si>
    <t>Библиографическая обработка документов и создание каталогов</t>
  </si>
  <si>
    <t>Итого по задаче 2</t>
  </si>
  <si>
    <t>Задача 3.Организация культурно-просветительской работы</t>
  </si>
  <si>
    <t>Организация и проведение культурно-массовых мероприятий</t>
  </si>
  <si>
    <t>Итого по задаче 3</t>
  </si>
  <si>
    <t>ВСЕГО по Подпрограмме 2:</t>
  </si>
  <si>
    <t xml:space="preserve">Таблица  № 2 (2)                                                                      </t>
  </si>
  <si>
    <t xml:space="preserve">Таблица № 3 (2)                                                                                    </t>
  </si>
  <si>
    <t xml:space="preserve">Таблица  № 2 (1)                                                                     </t>
  </si>
  <si>
    <t xml:space="preserve">таблица № 3 (1)                                                                                       </t>
  </si>
  <si>
    <t>4. Обоснование ресурсного обеспечения Подпрограммы 3 "Музейное дело ЗАТО Александровск" на 2014-2020 годы</t>
  </si>
  <si>
    <t>Всего по Подпрограмме 3</t>
  </si>
  <si>
    <t>в том числе инвестиции в основной капитал</t>
  </si>
  <si>
    <t>3. Перечень основных мероприятий Подпрограммы 3 "Музейное дело ЗАТО Александровск" на 2014-2020 годы</t>
  </si>
  <si>
    <t>Цель Подпрограммы 3:Развитие музейного дела на территории ЗАТО Александровск и создание условий для сохранения историко-культурного наследия</t>
  </si>
  <si>
    <t>Задача 1.Организация работы по формированию, учету, изучению и обеспечению сохранности музейного фонда</t>
  </si>
  <si>
    <t>Формирование и учет музейного фонда</t>
  </si>
  <si>
    <t>Количество (доля) учетных записей музейных предметов, переведенных в электронный вид за отчетный период от общего музейного фонда, %,ед.хр.</t>
  </si>
  <si>
    <t>ГИКМ</t>
  </si>
  <si>
    <t>Выполнение работ по хранению, изучению и обеспечению сохранности предметов музейного фонда</t>
  </si>
  <si>
    <t>Количество учетных записей музейных предметов внесенных в инвентарную книгу, от общего количества поступивших музейных предметов основного фонда, ед.хр.</t>
  </si>
  <si>
    <t>1.3.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</si>
  <si>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</si>
  <si>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предметов, ед.</t>
  </si>
  <si>
    <t>Задача 2.Организация публичного показа музейных предметов и музейных коллекций</t>
  </si>
  <si>
    <t>Публикация музейных предметов, музейных коллекций путем публичного показа, воспроизведение в печатных изданиях, на электронных и других видах носителей, в том числе в виртуальном режиме</t>
  </si>
  <si>
    <t>Количество посетителей постоянных экспозиций и временных выставок к базовому периоду, тыс.чел.</t>
  </si>
  <si>
    <t>Количество экспозиций и временных выставок к базовому периоду,ед.</t>
  </si>
  <si>
    <t>Количество  проводимых экскурсий к базовому периоду, ед.</t>
  </si>
  <si>
    <t>Публичный показ музейных предметов, музейных коллекций</t>
  </si>
  <si>
    <t>Число посетителей, чел.</t>
  </si>
  <si>
    <t>Создание экспозиций (выставок) музеев, организация выездных выставок</t>
  </si>
  <si>
    <t>Количество экспозиций,  ед.</t>
  </si>
  <si>
    <t>Задача 3.Типографское издание паспортов на воинские захоронения ЗАТО Александровск</t>
  </si>
  <si>
    <t xml:space="preserve">
Изготовление папок "Паспорт винского захоронения"</t>
  </si>
  <si>
    <t>Количество папок</t>
  </si>
  <si>
    <t>ВСЕГО по Подпрограмме 3:</t>
  </si>
  <si>
    <t xml:space="preserve">Таблица  № 3 (3)                                                                                      </t>
  </si>
  <si>
    <t>Таблица  № 2 (3)</t>
  </si>
  <si>
    <t>Источники финансирования</t>
  </si>
  <si>
    <t>всего</t>
  </si>
  <si>
    <t xml:space="preserve">Всего по Программе </t>
  </si>
  <si>
    <t>Всего:</t>
  </si>
  <si>
    <t>Свод финансировния программы «Развитие культуры и сохранение культурного наследия» на 2014-2020 годов</t>
  </si>
  <si>
    <t xml:space="preserve">Таблица № 2                                                                      </t>
  </si>
  <si>
    <t>4. Обоснование ресурсного обеспечения Подпрограммы 4 "Сохранение и реконструкция военно-мемориальных объектов  ЗАТО  Александровск" на 2014-2020 годы</t>
  </si>
  <si>
    <t>Всего по Подпрограмме 4</t>
  </si>
  <si>
    <t>Управление муниципальной собственностью администрации ЗАТО Александровск</t>
  </si>
  <si>
    <t>зщ</t>
  </si>
  <si>
    <t xml:space="preserve">Таблица № 3                                                                                          </t>
  </si>
  <si>
    <t>3. Перечень основных мероприятий Подпрограммы 4 "Сохранение и реконструкция военно-мемориальных объектов  ЗАТО  Александровск" на 2014-2020 годы</t>
  </si>
  <si>
    <t>Цель Подпрограммы 4 Сохранение, использование, популяризация и охрана военно-мемориальных объектов</t>
  </si>
  <si>
    <t>Задача 1. Завершение паспортизации воинских захоронений на территории ЗАТО Александровск</t>
  </si>
  <si>
    <t xml:space="preserve">Паспортизация воинских захоронений экипажей боевых кораблей, погибших в море в годы Великой Отечественной войны в 1941 – 1945 г.г.
</t>
  </si>
  <si>
    <t>2014-2020  год</t>
  </si>
  <si>
    <t>Доля паспортизированных воинских захоронений от общего числа воинских захоронений, требующих паспортизации, находящихся на территории ЗАТО Александровск, %</t>
  </si>
  <si>
    <t>УМС</t>
  </si>
  <si>
    <t xml:space="preserve">Оформление кадастровых паспортов и технической документации на воинские захоронения и военно-мемориальные объекты
</t>
  </si>
  <si>
    <t>Количество  оформленных кадастровых  паспортов и технической документации на воинские захоронения, расположенные на территории ЗАТО Александровск, ед.</t>
  </si>
  <si>
    <t>Задача 2. Реконструкция, ремонт и восстановление военно-мемориальных объектов на территории ЗАТО Александровск</t>
  </si>
  <si>
    <t>Реконструкция и капитальный ремонт
Братская могила защитников Заполярья, погибших в годы Великой Отечественной войны (останки 126 воинов 14 армии и моряков Северного Флота, найденные поисковиками в местах боев в Заполярье и захороненные 05.10.1993 года</t>
  </si>
  <si>
    <t>Капитальный и текущий ремонт мемориального комплекса "Морская душа"</t>
  </si>
  <si>
    <t>2014,2016 год</t>
  </si>
  <si>
    <t xml:space="preserve">Реконструкция и капитальный ремонт Воинское захоронение моряков-подводников, погибших при выполнении служебных обязанностей 11.01.1962 года </t>
  </si>
  <si>
    <t>2014-2020 год</t>
  </si>
  <si>
    <r>
      <t xml:space="preserve">Реконструкция и ремонт Мемориальный комплекс на воинском захоронении 
моряков-подводников АПЛ К-19, погибших в океане  24.02.1972г. </t>
    </r>
    <r>
      <rPr>
        <sz val="10"/>
        <color indexed="8"/>
        <rFont val="Calibri"/>
        <family val="2"/>
      </rPr>
      <t xml:space="preserve">
</t>
    </r>
  </si>
  <si>
    <t>2014 - 2016 год</t>
  </si>
  <si>
    <r>
      <t xml:space="preserve">Реконструкция и капитальный ремонт Воинское кладбище моряков-катерников, погибших в 1943-1944 г.г. в н.п. Кувшинская Салма </t>
    </r>
    <r>
      <rPr>
        <sz val="11"/>
        <color theme="1"/>
        <rFont val="Calibri"/>
        <family val="2"/>
      </rPr>
      <t xml:space="preserve">
</t>
    </r>
  </si>
  <si>
    <t>2014 - 2020 год</t>
  </si>
  <si>
    <t>2.6.</t>
  </si>
  <si>
    <t xml:space="preserve">Реконструкция Воинское захоронение капитана 1 ранга П.И. Егорова, погибшего в 1945 году </t>
  </si>
  <si>
    <t>2.7.</t>
  </si>
  <si>
    <t xml:space="preserve">Ремонт Воинское захоронение гвардии сержанта Курилова Владимира Александровича, погибшего при выполнении служебного долга в Республике Таджикистан 15.02.1999 года
</t>
  </si>
  <si>
    <t>2.8.</t>
  </si>
  <si>
    <t xml:space="preserve">Изготовление мемориальной памятной плиты для установки в  с. Белокаменка (размер 700 мм х 400 мм х 30мм) </t>
  </si>
  <si>
    <t>2.9.</t>
  </si>
  <si>
    <t xml:space="preserve">Изготовление и установка гранитного камня и памятной плиты для увековечения памяти экипажа ТЩ-31 «Засольщик», и изготовление и установка памятной доски  для увековечения памяти командира крейсера «Вестник» Валериана Павловича Ларина </t>
  </si>
  <si>
    <t>2.10.</t>
  </si>
  <si>
    <t xml:space="preserve">Реконструкция и капитальный ремонт Братская могила экипажа ПЛ «Щ-402», погибшего 16.08.1942 года </t>
  </si>
  <si>
    <t>2.11.</t>
  </si>
  <si>
    <t xml:space="preserve">Ремонт Братская могила защитников Заполярья, погибших 
в 1943 году </t>
  </si>
  <si>
    <t>2.12.</t>
  </si>
  <si>
    <t xml:space="preserve">Ремонт Воинское захоронение поэта-североморца Я.И. Родионова, погибшего в 1943 году </t>
  </si>
  <si>
    <t>УМС, УКС и МП</t>
  </si>
  <si>
    <t>2.13.</t>
  </si>
  <si>
    <t xml:space="preserve">Ремонт Воинское захоронение капитана 2 ранга Ф.М. Олейника, погибшего в 1945 году </t>
  </si>
  <si>
    <t>2.14.</t>
  </si>
  <si>
    <r>
      <t xml:space="preserve">Ремонт Мемориальный комплекс экипажу подводной лодки 
«С-80», погибшего при выполнении боевых задач 27.01.1961 года </t>
    </r>
    <r>
      <rPr>
        <sz val="11"/>
        <color theme="1"/>
        <rFont val="Calibri"/>
        <family val="2"/>
      </rPr>
      <t xml:space="preserve">
</t>
    </r>
  </si>
  <si>
    <t>2.15.</t>
  </si>
  <si>
    <t>Изготовление памятных досок и плит из чёрного гранита с гравировкой имён погибших защитников Отечества на воинские захоронения города воинской славы Полярный:                                                                                                                                          - установка памятной доски Торцеву А.ГЮ в г.Полярный на площади Победы на мемориальном комплексе "Морская душа" для увековечения  памяти Героя Советского Союза мл.лейтенанта Торцева Александра Григорьевча</t>
  </si>
  <si>
    <t>2.16.</t>
  </si>
  <si>
    <r>
      <t xml:space="preserve">Капитальный ремонт памятника морякам-пограничникам, погибшим в годы Великой Отечественной войны при защите Советского Заполярья </t>
    </r>
    <r>
      <rPr>
        <sz val="11"/>
        <color theme="1"/>
        <rFont val="Calibri"/>
        <family val="2"/>
      </rPr>
      <t xml:space="preserve">
</t>
    </r>
  </si>
  <si>
    <t>2014 -2020 год</t>
  </si>
  <si>
    <t>2.17.</t>
  </si>
  <si>
    <r>
      <t>Капитальный ремонт  объекта культурного наследия регионального значения "Памятник героям североморцам-морякам охраны  водного района " (ОВРа)</t>
    </r>
    <r>
      <rPr>
        <sz val="11"/>
        <color theme="1"/>
        <rFont val="Calibri"/>
        <family val="2"/>
      </rPr>
      <t xml:space="preserve">
</t>
    </r>
  </si>
  <si>
    <t>2.18.</t>
  </si>
  <si>
    <t>Капитальный ремонт военно-мемориального комплекса на братской могиле экипажа подводной лодки "С-80"</t>
  </si>
  <si>
    <t>2.19.</t>
  </si>
  <si>
    <r>
      <t>Косметический ремонт и благоустройство воинских захоронений (одиночные могилы на территории городского кладбища в г.Полярный, Губа Кислая</t>
    </r>
    <r>
      <rPr>
        <sz val="11"/>
        <color theme="1"/>
        <rFont val="Calibri"/>
        <family val="2"/>
      </rPr>
      <t xml:space="preserve">
</t>
    </r>
  </si>
  <si>
    <t>2.20.</t>
  </si>
  <si>
    <t>Капитальный ремонт по облицовке стены с памятными досками на мемориальном комплексе "Морская душа" в г.Полярный</t>
  </si>
  <si>
    <t>2.21.</t>
  </si>
  <si>
    <t>Проектирование капитального ремонта объекта культурного наследия регионального значения "Памятник героям североморцам-морякам охраны водного района" (ОВРа)</t>
  </si>
  <si>
    <t>2.22.</t>
  </si>
  <si>
    <t>Противоаварийные работы и ограждение  территории памятника  культурного наследия  регионального значения "Памятник героям североморцам-морякам охраны водного района"(ОВРа)</t>
  </si>
  <si>
    <t xml:space="preserve">Количество воинских захоронений погибших при защите Отечества в годы ВОв  локальных конфликтах, находящихся 
на территории ЗАТО Александровск, приведенных в надлежащее состояние, ед. 
</t>
  </si>
  <si>
    <t>Выполнение мероприятий,%</t>
  </si>
  <si>
    <t>Задача 3. Достойное увековечение  памяти погибших при защите Отечества</t>
  </si>
  <si>
    <t>Количество восстановленных (ранее утерянных) воинских захоронений, находящихся на территории ЗАТО Александровск, ед.</t>
  </si>
  <si>
    <t>Учреждения, подведомственные  УКС и МП</t>
  </si>
  <si>
    <r>
      <t xml:space="preserve">в том числе:                                                                                            </t>
    </r>
    <r>
      <rPr>
        <b/>
        <sz val="10"/>
        <rFont val="Times New Roman"/>
        <family val="1"/>
      </rPr>
      <t xml:space="preserve"> не требует финансовых затрат</t>
    </r>
  </si>
  <si>
    <t>ВСЕГО по Подпрограмме 4:</t>
  </si>
  <si>
    <t xml:space="preserve">Таблица  № 2                                                             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</si>
  <si>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</t>
  </si>
  <si>
    <t>Всего по Программе</t>
  </si>
  <si>
    <t xml:space="preserve">Таблица № 3                                                                                       </t>
  </si>
  <si>
    <t xml:space="preserve">3. Перечень основных мероприятий Подпрограммы 5 «Модернизация учреждений культуры и дополнительного образования в сфере культуры ЗАТО Александровск»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</si>
  <si>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</si>
  <si>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Задача 1. Обеспечение комплексной безопасности учреждений культуры и дополнительного образования детей в сфере культуры</t>
  </si>
  <si>
    <t>Обеспечение пожарной и электрической безопасности учреждений культуры и дополнительного образования в сфере культуры</t>
  </si>
  <si>
    <t>2016-2020 годы</t>
  </si>
  <si>
    <t>Выполнение мероприятий,            %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</si>
  <si>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</si>
  <si>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Обеспечение благоустройства территории учреждений культуры и дополнительного образования в сфере культуры</t>
  </si>
  <si>
    <t>1.4.</t>
  </si>
  <si>
    <t>Обеспечение антитерристической и противокриминальной безопасности учреждений культуры и дополнительного образования в сфере культуры</t>
  </si>
  <si>
    <t>Задача 2.Модернизация материально-технической базы учреждений культуры и дополнительного образования в сфере культуры</t>
  </si>
  <si>
    <t>Оснащение основными средствами учреждения культуры и дополнительного образования в сфере культуры</t>
  </si>
  <si>
    <t>Всего по Подпрограмме 5</t>
  </si>
  <si>
    <t>36261</t>
  </si>
  <si>
    <t>33005</t>
  </si>
  <si>
    <t>30827</t>
  </si>
  <si>
    <t>34689</t>
  </si>
  <si>
    <t>37885</t>
  </si>
  <si>
    <t>38923</t>
  </si>
  <si>
    <t>2. Основные цели и задачи Подпрограммы 1 "Развитие творческого  потенциала и организация досуга населения" на 2014-2020 годы, целевые показатели (индикаторы) ее реализации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</si>
  <si>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</si>
  <si>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</si>
  <si>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</si>
  <si>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</si>
  <si>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</si>
  <si>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</si>
  <si>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 xml:space="preserve">Годы реализации </t>
  </si>
  <si>
    <t>Цель Подрограммы 1: Организация досуга населения ЗАТО Александровск и создание условий для развития его творческого потенциала</t>
  </si>
  <si>
    <t>Задача 1. Содействие в создании условий для организации досуга и обеспечение жителей ЗАТО Александровск услугами организаций культуры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</si>
  <si>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</t>
  </si>
  <si>
    <t>%</t>
  </si>
  <si>
    <t>Задача 2. Развитие дополнительного образования детей в сфере культуры и искусства</t>
  </si>
  <si>
    <t>Количество обучающихся в учреждениях дополнительного образования детей в сфере культуры и искусства</t>
  </si>
  <si>
    <t>чел.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</si>
  <si>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</t>
  </si>
  <si>
    <t>Количество мероприятий</t>
  </si>
  <si>
    <t>ед.</t>
  </si>
  <si>
    <t>Количество человеко-часов</t>
  </si>
  <si>
    <t>человеко-час.</t>
  </si>
  <si>
    <t>Количество работников</t>
  </si>
  <si>
    <t>Количество клубных формирований</t>
  </si>
  <si>
    <t>Сохранность контингента участников клубного формирования от первоначального формирования</t>
  </si>
  <si>
    <t>не менее 90%</t>
  </si>
  <si>
    <t xml:space="preserve">Таблица № 1(1)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</si>
</sst>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3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30" borderId="16" xfId="0" applyFont="1" applyFill="1" applyBorder="1" applyAlignment="1">
      <alignment vertical="center"/>
    </xf>
    <xf numFmtId="4" fontId="18" fillId="30" borderId="16" xfId="0" applyNumberFormat="1" applyFont="1" applyFill="1" applyBorder="1" applyAlignment="1">
      <alignment vertical="center"/>
    </xf>
    <xf numFmtId="4" fontId="18" fillId="30" borderId="17" xfId="0" applyNumberFormat="1" applyFont="1" applyFill="1" applyBorder="1" applyAlignment="1">
      <alignment vertical="center"/>
    </xf>
    <xf numFmtId="0" fontId="19" fillId="30" borderId="10" xfId="0" applyFont="1" applyFill="1" applyBorder="1" applyAlignment="1">
      <alignment vertical="center"/>
    </xf>
    <xf numFmtId="4" fontId="18" fillId="30" borderId="10" xfId="0" applyNumberFormat="1" applyFont="1" applyFill="1" applyBorder="1" applyAlignment="1">
      <alignment vertical="center"/>
    </xf>
    <xf numFmtId="4" fontId="19" fillId="30" borderId="10" xfId="0" applyNumberFormat="1" applyFont="1" applyFill="1" applyBorder="1" applyAlignment="1">
      <alignment vertical="center"/>
    </xf>
    <xf numFmtId="0" fontId="19" fillId="30" borderId="18" xfId="0" applyFont="1" applyFill="1" applyBorder="1" applyAlignment="1">
      <alignment vertical="center"/>
    </xf>
    <xf numFmtId="4" fontId="18" fillId="30" borderId="18" xfId="0" applyNumberFormat="1" applyFont="1" applyFill="1" applyBorder="1" applyAlignment="1">
      <alignment vertical="center"/>
    </xf>
    <xf numFmtId="4" fontId="19" fillId="30" borderId="18" xfId="0" applyNumberFormat="1" applyFont="1" applyFill="1" applyBorder="1" applyAlignment="1">
      <alignment vertical="center"/>
    </xf>
    <xf numFmtId="4" fontId="19" fillId="30" borderId="19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vertical="center" wrapText="1"/>
    </xf>
    <xf numFmtId="4" fontId="7" fillId="31" borderId="14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vertical="center"/>
    </xf>
    <xf numFmtId="4" fontId="0" fillId="0" borderId="0" xfId="0" applyNumberFormat="1" applyAlignment="1">
      <alignment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top" wrapText="1"/>
    </xf>
    <xf numFmtId="4" fontId="1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2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vertical="center"/>
    </xf>
    <xf numFmtId="4" fontId="7" fillId="32" borderId="20" xfId="0" applyNumberFormat="1" applyFont="1" applyFill="1" applyBorder="1" applyAlignment="1">
      <alignment horizontal="center" vertical="center"/>
    </xf>
    <xf numFmtId="2" fontId="7" fillId="32" borderId="20" xfId="0" applyNumberFormat="1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4" fontId="12" fillId="32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left" vertical="top" wrapText="1"/>
    </xf>
    <xf numFmtId="4" fontId="13" fillId="0" borderId="21" xfId="0" applyNumberFormat="1" applyFont="1" applyBorder="1" applyAlignment="1">
      <alignment horizontal="left" vertical="top" wrapText="1"/>
    </xf>
    <xf numFmtId="4" fontId="13" fillId="0" borderId="12" xfId="0" applyNumberFormat="1" applyFont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42" applyFont="1" applyBorder="1" applyAlignment="1">
      <alignment horizontal="center" vertical="center" wrapText="1"/>
    </xf>
    <xf numFmtId="0" fontId="7" fillId="0" borderId="21" xfId="42" applyFont="1" applyBorder="1" applyAlignment="1">
      <alignment horizontal="center" vertical="center" wrapText="1"/>
    </xf>
    <xf numFmtId="0" fontId="7" fillId="0" borderId="12" xfId="42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20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2" fontId="7" fillId="30" borderId="15" xfId="0" applyNumberFormat="1" applyFont="1" applyFill="1" applyBorder="1" applyAlignment="1">
      <alignment horizontal="center" vertical="center"/>
    </xf>
    <xf numFmtId="2" fontId="7" fillId="30" borderId="20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4" fontId="8" fillId="30" borderId="15" xfId="0" applyNumberFormat="1" applyFont="1" applyFill="1" applyBorder="1" applyAlignment="1">
      <alignment horizontal="center" vertical="center" wrapText="1"/>
    </xf>
    <xf numFmtId="4" fontId="8" fillId="30" borderId="20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5" xfId="0" applyNumberFormat="1" applyFont="1" applyFill="1" applyBorder="1" applyAlignment="1">
      <alignment horizontal="left" vertical="center" wrapText="1"/>
    </xf>
    <xf numFmtId="2" fontId="12" fillId="30" borderId="20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0" fontId="12" fillId="30" borderId="14" xfId="0" applyFont="1" applyFill="1" applyBorder="1" applyAlignment="1">
      <alignment horizontal="left" vertical="center"/>
    </xf>
    <xf numFmtId="0" fontId="12" fillId="30" borderId="21" xfId="0" applyFont="1" applyFill="1" applyBorder="1" applyAlignment="1">
      <alignment horizontal="left" vertical="center"/>
    </xf>
    <xf numFmtId="0" fontId="12" fillId="3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7" fillId="30" borderId="22" xfId="0" applyNumberFormat="1" applyFont="1" applyFill="1" applyBorder="1" applyAlignment="1">
      <alignment horizontal="center" vertical="center" wrapText="1"/>
    </xf>
    <xf numFmtId="0" fontId="17" fillId="30" borderId="23" xfId="0" applyNumberFormat="1" applyFont="1" applyFill="1" applyBorder="1" applyAlignment="1">
      <alignment horizontal="center" vertical="center" wrapText="1"/>
    </xf>
    <xf numFmtId="0" fontId="17" fillId="30" borderId="13" xfId="0" applyNumberFormat="1" applyFont="1" applyFill="1" applyBorder="1" applyAlignment="1">
      <alignment horizontal="center" vertical="center" wrapText="1"/>
    </xf>
    <xf numFmtId="0" fontId="18" fillId="30" borderId="26" xfId="0" applyNumberFormat="1" applyFont="1" applyFill="1" applyBorder="1" applyAlignment="1">
      <alignment horizontal="center" vertical="center" wrapText="1"/>
    </xf>
    <xf numFmtId="0" fontId="18" fillId="30" borderId="27" xfId="0" applyNumberFormat="1" applyFont="1" applyFill="1" applyBorder="1" applyAlignment="1">
      <alignment horizontal="center" vertical="center" wrapText="1"/>
    </xf>
    <xf numFmtId="0" fontId="18" fillId="30" borderId="28" xfId="0" applyNumberFormat="1" applyFont="1" applyFill="1" applyBorder="1" applyAlignment="1">
      <alignment horizontal="center" vertical="center" wrapText="1"/>
    </xf>
    <xf numFmtId="0" fontId="17" fillId="30" borderId="16" xfId="0" applyNumberFormat="1" applyFont="1" applyFill="1" applyBorder="1" applyAlignment="1">
      <alignment horizontal="center" vertical="center" wrapText="1"/>
    </xf>
    <xf numFmtId="0" fontId="17" fillId="30" borderId="10" xfId="0" applyNumberFormat="1" applyFont="1" applyFill="1" applyBorder="1" applyAlignment="1">
      <alignment horizontal="center" vertical="center" wrapText="1"/>
    </xf>
    <xf numFmtId="0" fontId="17" fillId="30" borderId="18" xfId="0" applyNumberFormat="1" applyFont="1" applyFill="1" applyBorder="1" applyAlignment="1">
      <alignment horizontal="center" vertical="center" wrapText="1"/>
    </xf>
    <xf numFmtId="2" fontId="12" fillId="30" borderId="25" xfId="0" applyNumberFormat="1" applyFont="1" applyFill="1" applyBorder="1" applyAlignment="1">
      <alignment horizontal="left" vertical="center" wrapText="1"/>
    </xf>
    <xf numFmtId="2" fontId="12" fillId="30" borderId="29" xfId="0" applyNumberFormat="1" applyFont="1" applyFill="1" applyBorder="1" applyAlignment="1">
      <alignment horizontal="left" vertical="center" wrapText="1"/>
    </xf>
    <xf numFmtId="2" fontId="12" fillId="30" borderId="30" xfId="0" applyNumberFormat="1" applyFont="1" applyFill="1" applyBorder="1" applyAlignment="1">
      <alignment horizontal="left" vertical="center" wrapText="1"/>
    </xf>
    <xf numFmtId="4" fontId="8" fillId="30" borderId="15" xfId="0" applyNumberFormat="1" applyFont="1" applyFill="1" applyBorder="1" applyAlignment="1">
      <alignment horizontal="center" vertical="center"/>
    </xf>
    <xf numFmtId="4" fontId="8" fillId="30" borderId="20" xfId="0" applyNumberFormat="1" applyFont="1" applyFill="1" applyBorder="1" applyAlignment="1">
      <alignment horizontal="center" vertical="center"/>
    </xf>
    <xf numFmtId="4" fontId="8" fillId="30" borderId="11" xfId="0" applyNumberFormat="1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left" vertical="center"/>
    </xf>
    <xf numFmtId="0" fontId="19" fillId="30" borderId="21" xfId="0" applyFont="1" applyFill="1" applyBorder="1" applyAlignment="1">
      <alignment horizontal="left" vertical="center"/>
    </xf>
    <xf numFmtId="0" fontId="19" fillId="30" borderId="31" xfId="0" applyFont="1" applyFill="1" applyBorder="1" applyAlignment="1">
      <alignment horizontal="lef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2" fontId="0" fillId="0" borderId="20" xfId="0" applyNumberFormat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left" vertical="center" wrapText="1"/>
    </xf>
    <xf numFmtId="2" fontId="7" fillId="0" borderId="23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left" vertical="center" wrapText="1"/>
    </xf>
    <xf numFmtId="2" fontId="7" fillId="0" borderId="29" xfId="0" applyNumberFormat="1" applyFont="1" applyFill="1" applyBorder="1" applyAlignment="1">
      <alignment horizontal="left" vertical="center" wrapText="1"/>
    </xf>
    <xf numFmtId="0" fontId="17" fillId="30" borderId="15" xfId="0" applyNumberFormat="1" applyFont="1" applyFill="1" applyBorder="1" applyAlignment="1">
      <alignment horizontal="center" vertical="center" wrapText="1"/>
    </xf>
    <xf numFmtId="0" fontId="17" fillId="30" borderId="20" xfId="0" applyNumberFormat="1" applyFont="1" applyFill="1" applyBorder="1" applyAlignment="1">
      <alignment horizontal="center" vertical="center" wrapText="1"/>
    </xf>
    <xf numFmtId="0" fontId="17" fillId="30" borderId="11" xfId="0" applyNumberFormat="1" applyFont="1" applyFill="1" applyBorder="1" applyAlignment="1">
      <alignment horizontal="center" vertical="center" wrapText="1"/>
    </xf>
    <xf numFmtId="0" fontId="18" fillId="30" borderId="15" xfId="0" applyNumberFormat="1" applyFont="1" applyFill="1" applyBorder="1" applyAlignment="1">
      <alignment horizontal="center" vertical="center" wrapText="1"/>
    </xf>
    <xf numFmtId="0" fontId="18" fillId="30" borderId="20" xfId="0" applyNumberFormat="1" applyFont="1" applyFill="1" applyBorder="1" applyAlignment="1">
      <alignment horizontal="center" vertical="center" wrapText="1"/>
    </xf>
    <xf numFmtId="0" fontId="18" fillId="30" borderId="11" xfId="0" applyNumberFormat="1" applyFont="1" applyFill="1" applyBorder="1" applyAlignment="1">
      <alignment horizontal="center" vertical="center" wrapText="1"/>
    </xf>
    <xf numFmtId="2" fontId="12" fillId="30" borderId="22" xfId="0" applyNumberFormat="1" applyFont="1" applyFill="1" applyBorder="1" applyAlignment="1">
      <alignment horizontal="left" vertical="center" wrapText="1"/>
    </xf>
    <xf numFmtId="2" fontId="12" fillId="30" borderId="23" xfId="0" applyNumberFormat="1" applyFont="1" applyFill="1" applyBorder="1" applyAlignment="1">
      <alignment horizontal="left" vertical="center" wrapText="1"/>
    </xf>
    <xf numFmtId="2" fontId="12" fillId="30" borderId="13" xfId="0" applyNumberFormat="1" applyFont="1" applyFill="1" applyBorder="1" applyAlignment="1">
      <alignment horizontal="left" vertical="center" wrapText="1"/>
    </xf>
    <xf numFmtId="4" fontId="8" fillId="30" borderId="24" xfId="0" applyNumberFormat="1" applyFont="1" applyFill="1" applyBorder="1" applyAlignment="1">
      <alignment horizontal="center" vertical="center"/>
    </xf>
    <xf numFmtId="4" fontId="8" fillId="30" borderId="0" xfId="0" applyNumberFormat="1" applyFont="1" applyFill="1" applyBorder="1" applyAlignment="1">
      <alignment horizontal="center" vertical="center"/>
    </xf>
    <xf numFmtId="4" fontId="8" fillId="30" borderId="32" xfId="0" applyNumberFormat="1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19" fillId="30" borderId="21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/>
    </xf>
    <xf numFmtId="2" fontId="7" fillId="30" borderId="25" xfId="0" applyNumberFormat="1" applyFont="1" applyFill="1" applyBorder="1" applyAlignment="1">
      <alignment horizontal="center" vertical="center"/>
    </xf>
    <xf numFmtId="2" fontId="7" fillId="30" borderId="29" xfId="0" applyNumberFormat="1" applyFont="1" applyFill="1" applyBorder="1" applyAlignment="1">
      <alignment horizontal="center" vertical="center"/>
    </xf>
    <xf numFmtId="2" fontId="7" fillId="30" borderId="30" xfId="0" applyNumberFormat="1" applyFont="1" applyFill="1" applyBorder="1" applyAlignment="1">
      <alignment horizontal="center" vertical="center"/>
    </xf>
    <xf numFmtId="0" fontId="7" fillId="30" borderId="15" xfId="0" applyNumberFormat="1" applyFont="1" applyFill="1" applyBorder="1" applyAlignment="1">
      <alignment horizontal="center" vertical="center" wrapText="1"/>
    </xf>
    <xf numFmtId="0" fontId="7" fillId="30" borderId="20" xfId="0" applyNumberFormat="1" applyFont="1" applyFill="1" applyBorder="1" applyAlignment="1">
      <alignment horizontal="center" vertical="center" wrapText="1"/>
    </xf>
    <xf numFmtId="0" fontId="7" fillId="30" borderId="11" xfId="0" applyNumberFormat="1" applyFont="1" applyFill="1" applyBorder="1" applyAlignment="1">
      <alignment horizontal="center" vertical="center" wrapText="1"/>
    </xf>
    <xf numFmtId="0" fontId="11" fillId="30" borderId="15" xfId="0" applyNumberFormat="1" applyFont="1" applyFill="1" applyBorder="1" applyAlignment="1">
      <alignment horizontal="center" vertical="center" wrapText="1"/>
    </xf>
    <xf numFmtId="0" fontId="11" fillId="30" borderId="20" xfId="0" applyNumberFormat="1" applyFont="1" applyFill="1" applyBorder="1" applyAlignment="1">
      <alignment horizontal="center" vertical="center" wrapText="1"/>
    </xf>
    <xf numFmtId="0" fontId="11" fillId="30" borderId="11" xfId="0" applyNumberFormat="1" applyFont="1" applyFill="1" applyBorder="1" applyAlignment="1">
      <alignment horizontal="center" vertical="center" wrapText="1"/>
    </xf>
    <xf numFmtId="2" fontId="12" fillId="32" borderId="15" xfId="0" applyNumberFormat="1" applyFont="1" applyFill="1" applyBorder="1" applyAlignment="1">
      <alignment horizontal="left" vertical="center" wrapText="1"/>
    </xf>
    <xf numFmtId="2" fontId="12" fillId="32" borderId="20" xfId="0" applyNumberFormat="1" applyFont="1" applyFill="1" applyBorder="1" applyAlignment="1">
      <alignment horizontal="left" vertical="center" wrapText="1"/>
    </xf>
    <xf numFmtId="2" fontId="12" fillId="32" borderId="11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2" fontId="7" fillId="32" borderId="15" xfId="0" applyNumberFormat="1" applyFont="1" applyFill="1" applyBorder="1" applyAlignment="1">
      <alignment horizontal="left" vertical="center" wrapText="1"/>
    </xf>
    <xf numFmtId="2" fontId="7" fillId="32" borderId="20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" fontId="7" fillId="32" borderId="15" xfId="0" applyNumberFormat="1" applyFont="1" applyFill="1" applyBorder="1" applyAlignment="1">
      <alignment vertical="center"/>
    </xf>
    <xf numFmtId="0" fontId="2" fillId="32" borderId="22" xfId="0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 wrapText="1"/>
    </xf>
    <xf numFmtId="2" fontId="7" fillId="32" borderId="20" xfId="0" applyNumberFormat="1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" fontId="7" fillId="32" borderId="15" xfId="0" applyNumberFormat="1" applyFont="1" applyFill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6" fontId="7" fillId="0" borderId="15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0;&#1086;&#1087;&#1080;&#1103;%202%20&#1041;&#1080;&#1073;&#1083;&#1080;&#1086;&#1090;&#1077;&#1095;&#1085;&#1086;&#1077;%20&#1076;&#1077;&#1083;&#1086;%2020.10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0;&#1086;&#1087;&#1080;&#1103;%203%20&#1052;&#1091;&#1079;&#1077;&#1081;&#1085;&#1086;&#1077;%20&#1076;&#1077;&#1083;&#1086;%2019.10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4%20&#1057;&#1086;&#1093;&#1088;&#1072;&#1085;&#1077;&#1085;&#1080;&#1077;%20&#1080;%20&#1088;&#1077;&#1082;&#1086;&#1085;&#1089;&#1090;&#1088;&#1091;&#1082;&#1094;&#1080;&#1103;%20&#1042;&#1052;&#1054;%20&#1087;&#1088;&#1086;&#1077;&#1082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5%20&#1084;&#1086;&#1076;&#1077;&#1088;&#1085;&#1080;&#1079;&#1072;&#1094;&#1080;&#1103;%20%2005.10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2">
          <cell r="F72">
            <v>50166870</v>
          </cell>
          <cell r="G72">
            <v>48176381.82000001</v>
          </cell>
          <cell r="H72">
            <v>48469840.33</v>
          </cell>
        </row>
        <row r="73">
          <cell r="F73">
            <v>3342945.69</v>
          </cell>
          <cell r="G73">
            <v>2448681</v>
          </cell>
          <cell r="H73">
            <v>2442571.87</v>
          </cell>
        </row>
        <row r="74">
          <cell r="G74">
            <v>13320</v>
          </cell>
          <cell r="H74">
            <v>63113</v>
          </cell>
          <cell r="I74">
            <v>34010.51</v>
          </cell>
        </row>
        <row r="75">
          <cell r="H75">
            <v>85000</v>
          </cell>
          <cell r="I75">
            <v>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78">
          <cell r="G78">
            <v>12978696.45</v>
          </cell>
          <cell r="H78">
            <v>13119814.439999998</v>
          </cell>
          <cell r="I78">
            <v>14316564.29</v>
          </cell>
        </row>
        <row r="79">
          <cell r="H79">
            <v>582512</v>
          </cell>
          <cell r="I79">
            <v>1316946.22</v>
          </cell>
        </row>
        <row r="81">
          <cell r="F81">
            <v>92037.14</v>
          </cell>
          <cell r="G81">
            <v>106000</v>
          </cell>
          <cell r="H81">
            <v>128429.5</v>
          </cell>
          <cell r="I81">
            <v>216866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1"/>
      <sheetName val="табл.2"/>
      <sheetName val="табл.3"/>
    </sheetNames>
    <sheetDataSet>
      <sheetData sheetId="2">
        <row r="35">
          <cell r="H35">
            <v>82431</v>
          </cell>
        </row>
        <row r="47">
          <cell r="H47">
            <v>25000</v>
          </cell>
        </row>
        <row r="175">
          <cell r="F175">
            <v>1870000</v>
          </cell>
          <cell r="G175">
            <v>1166717.59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2"/>
      <sheetName val="табл.3"/>
    </sheetNames>
    <sheetDataSet>
      <sheetData sheetId="1">
        <row r="53">
          <cell r="F53">
            <v>6425947.24</v>
          </cell>
          <cell r="G53">
            <v>7543264.55</v>
          </cell>
          <cell r="H53">
            <v>938357</v>
          </cell>
          <cell r="I53">
            <v>20900918.44</v>
          </cell>
          <cell r="K53">
            <v>0</v>
          </cell>
          <cell r="L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</row>
        <row r="55">
          <cell r="F55">
            <v>0</v>
          </cell>
          <cell r="G55">
            <v>1112400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view="pageBreakPreview" zoomScale="60" zoomScalePageLayoutView="0" workbookViewId="0" topLeftCell="B1">
      <selection activeCell="G27" sqref="G27"/>
    </sheetView>
  </sheetViews>
  <sheetFormatPr defaultColWidth="9.140625" defaultRowHeight="15"/>
  <cols>
    <col min="1" max="1" width="2.421875" style="68" customWidth="1"/>
    <col min="2" max="2" width="15.421875" style="68" customWidth="1"/>
    <col min="3" max="3" width="16.28125" style="68" customWidth="1"/>
    <col min="4" max="4" width="20.421875" style="68" customWidth="1"/>
    <col min="5" max="5" width="16.8515625" style="68" customWidth="1"/>
    <col min="6" max="6" width="18.8515625" style="68" customWidth="1"/>
    <col min="7" max="7" width="18.7109375" style="68" customWidth="1"/>
    <col min="8" max="8" width="18.8515625" style="68" customWidth="1"/>
    <col min="9" max="9" width="19.28125" style="68" customWidth="1"/>
    <col min="10" max="10" width="17.421875" style="68" customWidth="1"/>
    <col min="11" max="11" width="19.57421875" style="68" customWidth="1"/>
    <col min="12" max="16384" width="9.140625" style="68" customWidth="1"/>
  </cols>
  <sheetData>
    <row r="1" spans="2:11" ht="15.75">
      <c r="B1" s="119" t="s">
        <v>143</v>
      </c>
      <c r="C1" s="120"/>
      <c r="D1" s="120"/>
      <c r="E1" s="120"/>
      <c r="F1" s="120"/>
      <c r="G1" s="120"/>
      <c r="H1" s="120"/>
      <c r="I1" s="120"/>
      <c r="J1" s="120"/>
      <c r="K1" s="120"/>
    </row>
    <row r="3" spans="2:11" ht="36" customHeight="1">
      <c r="B3" s="69"/>
      <c r="C3" s="70" t="s">
        <v>139</v>
      </c>
      <c r="D3" s="71" t="s">
        <v>140</v>
      </c>
      <c r="E3" s="72" t="s">
        <v>9</v>
      </c>
      <c r="F3" s="72" t="s">
        <v>21</v>
      </c>
      <c r="G3" s="72" t="s">
        <v>22</v>
      </c>
      <c r="H3" s="72" t="s">
        <v>23</v>
      </c>
      <c r="I3" s="72" t="s">
        <v>24</v>
      </c>
      <c r="J3" s="72" t="s">
        <v>25</v>
      </c>
      <c r="K3" s="72" t="s">
        <v>26</v>
      </c>
    </row>
    <row r="4" spans="2:11" ht="15.75">
      <c r="B4" s="121" t="s">
        <v>141</v>
      </c>
      <c r="C4" s="73" t="s">
        <v>142</v>
      </c>
      <c r="D4" s="74">
        <f>SUM(E4:K4)</f>
        <v>1848796492.1699998</v>
      </c>
      <c r="E4" s="74">
        <f>SUM(E6:E9)</f>
        <v>244015584.00000003</v>
      </c>
      <c r="F4" s="74">
        <f aca="true" t="shared" si="0" ref="F4:K4">SUM(F6:F9)</f>
        <v>240855219.81</v>
      </c>
      <c r="G4" s="74">
        <f t="shared" si="0"/>
        <v>244088622.01999998</v>
      </c>
      <c r="H4" s="74">
        <f t="shared" si="0"/>
        <v>291672699.79999995</v>
      </c>
      <c r="I4" s="74">
        <f t="shared" si="0"/>
        <v>289159461.45000005</v>
      </c>
      <c r="J4" s="74">
        <f t="shared" si="0"/>
        <v>265735929.29000002</v>
      </c>
      <c r="K4" s="74">
        <f t="shared" si="0"/>
        <v>273268975.79999995</v>
      </c>
    </row>
    <row r="5" spans="2:11" ht="15.75">
      <c r="B5" s="122"/>
      <c r="C5" s="124" t="s">
        <v>29</v>
      </c>
      <c r="D5" s="125"/>
      <c r="E5" s="125"/>
      <c r="F5" s="125"/>
      <c r="G5" s="125"/>
      <c r="H5" s="125"/>
      <c r="I5" s="125"/>
      <c r="J5" s="125"/>
      <c r="K5" s="126"/>
    </row>
    <row r="6" spans="2:11" ht="15.75">
      <c r="B6" s="122"/>
      <c r="C6" s="73" t="s">
        <v>2</v>
      </c>
      <c r="D6" s="74">
        <f>SUM(E6:K6)</f>
        <v>1675605996.2</v>
      </c>
      <c r="E6" s="74">
        <f>'табл.2 (1)'!C10+'табл.2 (2)'!C9+'табл.2 (3)'!C9+'табл.2 (4)'!C10+'табл.2 (5)'!C10</f>
        <v>231022437.78000003</v>
      </c>
      <c r="F6" s="74">
        <f>'табл.2 (1)'!D10+'табл.2 (2)'!D9+'табл.2 (3)'!D9+'табл.2 (4)'!D10+'табл.2 (5)'!D10</f>
        <v>224526325.9</v>
      </c>
      <c r="G6" s="74">
        <f>'табл.2 (1)'!E10+'табл.2 (2)'!E9+'табл.2 (3)'!E9+'табл.2 (4)'!E10+'табл.2 (5)'!E10</f>
        <v>225985519.89999998</v>
      </c>
      <c r="H6" s="74">
        <f>'табл.2 (1)'!F10+'табл.2 (2)'!F9+'табл.2 (3)'!F9+'табл.2 (4)'!F10+'табл.2 (5)'!F10</f>
        <v>260806474.04</v>
      </c>
      <c r="I6" s="74">
        <f>'табл.2 (1)'!G10+'табл.2 (2)'!G9+'табл.2 (3)'!G9+'табл.2 (4)'!G10+'табл.2 (5)'!G10</f>
        <v>252129987.3</v>
      </c>
      <c r="J6" s="74">
        <f>'табл.2 (1)'!H10+'табл.2 (2)'!H9+'табл.2 (3)'!H9+'табл.2 (4)'!H10+'табл.2 (5)'!H10</f>
        <v>237296317.85000002</v>
      </c>
      <c r="K6" s="74">
        <f>'табл.2 (1)'!I10+'табл.2 (2)'!I9+'табл.2 (3)'!I9+'табл.2 (4)'!I10+'табл.2 (5)'!I10</f>
        <v>243838933.42999998</v>
      </c>
    </row>
    <row r="7" spans="2:11" ht="15.75">
      <c r="B7" s="122"/>
      <c r="C7" s="73" t="s">
        <v>0</v>
      </c>
      <c r="D7" s="74">
        <f>SUM(E7:K7)</f>
        <v>120951661.89</v>
      </c>
      <c r="E7" s="74">
        <f>'табл.2 (1)'!C11+'табл.2 (2)'!C10+'табл.2 (3)'!C10+'табл.2 (4)'!C11+'табл.2 (5)'!C11</f>
        <v>7687840</v>
      </c>
      <c r="F7" s="74">
        <f>'табл.2 (1)'!D11+'табл.2 (2)'!D10+'табл.2 (3)'!D10+'табл.2 (4)'!D11+'табл.2 (5)'!D11</f>
        <v>8523596</v>
      </c>
      <c r="G7" s="74">
        <f>'табл.2 (1)'!E11+'табл.2 (2)'!E10+'табл.2 (3)'!E10+'табл.2 (4)'!E11+'табл.2 (5)'!E11</f>
        <v>9508644</v>
      </c>
      <c r="H7" s="74">
        <f>'табл.2 (1)'!F11+'табл.2 (2)'!F10+'табл.2 (3)'!F10+'табл.2 (4)'!F11+'табл.2 (5)'!F11</f>
        <v>19638159.23</v>
      </c>
      <c r="I7" s="74">
        <f>'табл.2 (1)'!G11+'табл.2 (2)'!G10+'табл.2 (3)'!G10+'табл.2 (4)'!G11+'табл.2 (5)'!G11</f>
        <v>30608579.049999997</v>
      </c>
      <c r="J7" s="74">
        <f>'табл.2 (1)'!H11+'табл.2 (2)'!H10+'табл.2 (3)'!H10+'табл.2 (4)'!H11+'табл.2 (5)'!H11</f>
        <v>21997706.34</v>
      </c>
      <c r="K7" s="74">
        <f>'табл.2 (1)'!I11+'табл.2 (2)'!I10+'табл.2 (3)'!I10+'табл.2 (4)'!I11+'табл.2 (5)'!I11</f>
        <v>22987137.27</v>
      </c>
    </row>
    <row r="8" spans="2:11" ht="15.75">
      <c r="B8" s="122"/>
      <c r="C8" s="73" t="s">
        <v>1</v>
      </c>
      <c r="D8" s="74">
        <f>SUM(E8:K8)</f>
        <v>1333728.8100000003</v>
      </c>
      <c r="E8" s="74">
        <f>'табл.2 (1)'!C12+'табл.2 (2)'!C11+'табл.2 (3)'!C11+'табл.2 (4)'!C12+'табл.2 (5)'!C12</f>
        <v>0</v>
      </c>
      <c r="F8" s="74">
        <f>'табл.2 (1)'!D12+'табл.2 (2)'!D11+'табл.2 (3)'!D11+'табл.2 (4)'!D12+'табл.2 (5)'!D12</f>
        <v>1125720</v>
      </c>
      <c r="G8" s="74">
        <f>'табл.2 (1)'!E12+'табл.2 (2)'!E11+'табл.2 (3)'!E11+'табл.2 (4)'!E12+'табл.2 (5)'!E12</f>
        <v>63113</v>
      </c>
      <c r="H8" s="74">
        <f>'табл.2 (1)'!F12+'табл.2 (2)'!F11+'табл.2 (3)'!F11+'табл.2 (4)'!F12+'табл.2 (5)'!F12</f>
        <v>84010.51000000001</v>
      </c>
      <c r="I8" s="74">
        <f>'табл.2 (1)'!G12+'табл.2 (2)'!G11+'табл.2 (3)'!G11+'табл.2 (4)'!G12+'табл.2 (5)'!G12</f>
        <v>20295.1</v>
      </c>
      <c r="J8" s="74">
        <f>'табл.2 (1)'!H12+'табл.2 (2)'!H11+'табл.2 (3)'!H11+'табл.2 (4)'!H12+'табл.2 (5)'!H12</f>
        <v>20295.1</v>
      </c>
      <c r="K8" s="74">
        <f>'табл.2 (1)'!I12+'табл.2 (2)'!I11+'табл.2 (3)'!I11+'табл.2 (4)'!I12+'табл.2 (5)'!I12</f>
        <v>20295.1</v>
      </c>
    </row>
    <row r="9" spans="2:11" ht="15.75">
      <c r="B9" s="123"/>
      <c r="C9" s="73" t="s">
        <v>3</v>
      </c>
      <c r="D9" s="74">
        <f>SUM(E9:K9)</f>
        <v>50905105.269999996</v>
      </c>
      <c r="E9" s="74">
        <f>'табл.2 (1)'!C13+'табл.2 (2)'!C12+'табл.2 (3)'!C12+'табл.2 (4)'!C13+'табл.2 (5)'!C13</f>
        <v>5305306.22</v>
      </c>
      <c r="F9" s="74">
        <f>'табл.2 (1)'!D13+'табл.2 (2)'!D12+'табл.2 (3)'!D12+'табл.2 (4)'!D13+'табл.2 (5)'!D13</f>
        <v>6679577.91</v>
      </c>
      <c r="G9" s="74">
        <f>'табл.2 (1)'!E13+'табл.2 (2)'!E12+'табл.2 (3)'!E12+'табл.2 (4)'!E13+'табл.2 (5)'!E13</f>
        <v>8531345.120000001</v>
      </c>
      <c r="H9" s="74">
        <f>'табл.2 (1)'!F13+'табл.2 (2)'!F12+'табл.2 (3)'!F12+'табл.2 (4)'!F13+'табл.2 (5)'!F13</f>
        <v>11144056.02</v>
      </c>
      <c r="I9" s="74">
        <f>'табл.2 (1)'!G13+'табл.2 (2)'!G12+'табл.2 (3)'!G12+'табл.2 (4)'!G13+'табл.2 (5)'!G13</f>
        <v>6400600</v>
      </c>
      <c r="J9" s="74">
        <f>'табл.2 (1)'!H13+'табл.2 (2)'!H12+'табл.2 (3)'!H12+'табл.2 (4)'!H13+'табл.2 (5)'!H13</f>
        <v>6421610</v>
      </c>
      <c r="K9" s="74">
        <f>'табл.2 (1)'!I13+'табл.2 (2)'!I12+'табл.2 (3)'!I12+'табл.2 (4)'!I13+'табл.2 (5)'!I13</f>
        <v>6422610</v>
      </c>
    </row>
  </sheetData>
  <sheetProtection/>
  <mergeCells count="3">
    <mergeCell ref="B1:K1"/>
    <mergeCell ref="B4:B9"/>
    <mergeCell ref="C5:K5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8"/>
  <sheetViews>
    <sheetView zoomScaleSheetLayoutView="115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0" sqref="B20:B25"/>
    </sheetView>
  </sheetViews>
  <sheetFormatPr defaultColWidth="9.140625" defaultRowHeight="15"/>
  <cols>
    <col min="1" max="1" width="4.57421875" style="10" customWidth="1"/>
    <col min="2" max="2" width="48.421875" style="10" customWidth="1"/>
    <col min="3" max="3" width="10.8515625" style="10" customWidth="1"/>
    <col min="4" max="4" width="10.00390625" style="10" customWidth="1"/>
    <col min="5" max="6" width="11.8515625" style="10" bestFit="1" customWidth="1"/>
    <col min="7" max="7" width="11.421875" style="10" customWidth="1"/>
    <col min="8" max="8" width="11.00390625" style="10" customWidth="1"/>
    <col min="9" max="11" width="7.421875" style="10" bestFit="1" customWidth="1"/>
    <col min="12" max="12" width="7.421875" style="81" bestFit="1" customWidth="1"/>
    <col min="13" max="13" width="25.421875" style="81" customWidth="1"/>
    <col min="14" max="14" width="7.28125" style="10" customWidth="1"/>
    <col min="15" max="20" width="7.421875" style="10" bestFit="1" customWidth="1"/>
    <col min="21" max="21" width="20.57421875" style="10" customWidth="1"/>
    <col min="22" max="16384" width="9.140625" style="10" customWidth="1"/>
  </cols>
  <sheetData>
    <row r="1" spans="12:21" s="8" customFormat="1" ht="14.25" customHeight="1">
      <c r="L1" s="81"/>
      <c r="M1" s="81"/>
      <c r="U1" s="9" t="s">
        <v>149</v>
      </c>
    </row>
    <row r="2" spans="1:21" s="8" customFormat="1" ht="24.75" customHeight="1">
      <c r="A2" s="130" t="s">
        <v>150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31.5" customHeight="1">
      <c r="A3" s="216" t="s">
        <v>7</v>
      </c>
      <c r="B3" s="211" t="s">
        <v>19</v>
      </c>
      <c r="C3" s="211" t="s">
        <v>20</v>
      </c>
      <c r="D3" s="211" t="s">
        <v>10</v>
      </c>
      <c r="E3" s="211" t="s">
        <v>27</v>
      </c>
      <c r="F3" s="211"/>
      <c r="G3" s="211"/>
      <c r="H3" s="211"/>
      <c r="I3" s="211"/>
      <c r="J3" s="211"/>
      <c r="K3" s="211"/>
      <c r="L3" s="211"/>
      <c r="M3" s="216" t="s">
        <v>56</v>
      </c>
      <c r="N3" s="216"/>
      <c r="O3" s="216"/>
      <c r="P3" s="216"/>
      <c r="Q3" s="216"/>
      <c r="R3" s="216"/>
      <c r="S3" s="216"/>
      <c r="T3" s="216"/>
      <c r="U3" s="265" t="s">
        <v>28</v>
      </c>
    </row>
    <row r="4" spans="1:21" ht="26.25" customHeight="1">
      <c r="A4" s="216"/>
      <c r="B4" s="211"/>
      <c r="C4" s="211"/>
      <c r="D4" s="211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82" t="s">
        <v>26</v>
      </c>
      <c r="M4" s="8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266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83">
        <v>12</v>
      </c>
      <c r="M5" s="83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7.25" customHeight="1">
      <c r="A6" s="12"/>
      <c r="B6" s="217" t="s">
        <v>151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9"/>
    </row>
    <row r="7" spans="1:21" ht="14.25" customHeight="1">
      <c r="A7" s="12"/>
      <c r="B7" s="314" t="s">
        <v>152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6"/>
    </row>
    <row r="8" spans="1:21" ht="17.25" customHeight="1">
      <c r="A8" s="192" t="s">
        <v>5</v>
      </c>
      <c r="B8" s="212" t="s">
        <v>153</v>
      </c>
      <c r="C8" s="343" t="s">
        <v>154</v>
      </c>
      <c r="D8" s="13" t="s">
        <v>4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84">
        <v>0</v>
      </c>
      <c r="M8" s="326" t="s">
        <v>155</v>
      </c>
      <c r="N8" s="244">
        <v>100</v>
      </c>
      <c r="O8" s="244"/>
      <c r="P8" s="244"/>
      <c r="Q8" s="244"/>
      <c r="R8" s="244"/>
      <c r="S8" s="244"/>
      <c r="T8" s="244"/>
      <c r="U8" s="166" t="s">
        <v>156</v>
      </c>
    </row>
    <row r="9" spans="1:21" ht="17.25" customHeight="1">
      <c r="A9" s="192"/>
      <c r="B9" s="212"/>
      <c r="C9" s="350"/>
      <c r="D9" s="180" t="s">
        <v>29</v>
      </c>
      <c r="E9" s="181"/>
      <c r="F9" s="181"/>
      <c r="G9" s="181"/>
      <c r="H9" s="181"/>
      <c r="I9" s="181"/>
      <c r="J9" s="181"/>
      <c r="K9" s="181"/>
      <c r="L9" s="182"/>
      <c r="M9" s="327"/>
      <c r="N9" s="245"/>
      <c r="O9" s="245"/>
      <c r="P9" s="245"/>
      <c r="Q9" s="245"/>
      <c r="R9" s="245"/>
      <c r="S9" s="245"/>
      <c r="T9" s="245"/>
      <c r="U9" s="167"/>
    </row>
    <row r="10" spans="1:21" ht="17.25" customHeight="1">
      <c r="A10" s="192"/>
      <c r="B10" s="212"/>
      <c r="C10" s="350"/>
      <c r="D10" s="15" t="s">
        <v>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84">
        <v>0</v>
      </c>
      <c r="M10" s="327"/>
      <c r="N10" s="245"/>
      <c r="O10" s="245"/>
      <c r="P10" s="245"/>
      <c r="Q10" s="245"/>
      <c r="R10" s="245"/>
      <c r="S10" s="245"/>
      <c r="T10" s="245"/>
      <c r="U10" s="167"/>
    </row>
    <row r="11" spans="1:21" ht="17.25" customHeight="1">
      <c r="A11" s="192"/>
      <c r="B11" s="212"/>
      <c r="C11" s="350"/>
      <c r="D11" s="15" t="s">
        <v>0</v>
      </c>
      <c r="E11" s="16">
        <f>F11+G11+H11+I11+J11+K11+L11</f>
        <v>0</v>
      </c>
      <c r="F11" s="16">
        <f aca="true" t="shared" si="0" ref="F11:L13">G11+H11+I11+J11+K11+L11+M11</f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84">
        <f t="shared" si="0"/>
        <v>0</v>
      </c>
      <c r="M11" s="327"/>
      <c r="N11" s="245"/>
      <c r="O11" s="245"/>
      <c r="P11" s="245"/>
      <c r="Q11" s="245"/>
      <c r="R11" s="245"/>
      <c r="S11" s="245"/>
      <c r="T11" s="245"/>
      <c r="U11" s="167"/>
    </row>
    <row r="12" spans="1:21" ht="17.25" customHeight="1">
      <c r="A12" s="192"/>
      <c r="B12" s="212"/>
      <c r="C12" s="350"/>
      <c r="D12" s="15" t="s">
        <v>1</v>
      </c>
      <c r="E12" s="16">
        <f>F12+G12+H12+I12+J12+K12+L12</f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84">
        <f t="shared" si="0"/>
        <v>0</v>
      </c>
      <c r="M12" s="327"/>
      <c r="N12" s="245"/>
      <c r="O12" s="245"/>
      <c r="P12" s="245"/>
      <c r="Q12" s="245"/>
      <c r="R12" s="245"/>
      <c r="S12" s="245"/>
      <c r="T12" s="245"/>
      <c r="U12" s="167"/>
    </row>
    <row r="13" spans="1:21" ht="17.25" customHeight="1">
      <c r="A13" s="192"/>
      <c r="B13" s="212"/>
      <c r="C13" s="351"/>
      <c r="D13" s="15" t="s">
        <v>3</v>
      </c>
      <c r="E13" s="16">
        <f>F13+G13+H13+I13+J13+K13+L13</f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84">
        <f t="shared" si="0"/>
        <v>0</v>
      </c>
      <c r="M13" s="328"/>
      <c r="N13" s="246"/>
      <c r="O13" s="246"/>
      <c r="P13" s="246"/>
      <c r="Q13" s="246"/>
      <c r="R13" s="246"/>
      <c r="S13" s="246"/>
      <c r="T13" s="246"/>
      <c r="U13" s="168"/>
    </row>
    <row r="14" spans="1:21" ht="17.25" customHeight="1">
      <c r="A14" s="349" t="s">
        <v>89</v>
      </c>
      <c r="B14" s="174" t="s">
        <v>157</v>
      </c>
      <c r="C14" s="177" t="s">
        <v>9</v>
      </c>
      <c r="D14" s="13" t="s">
        <v>4</v>
      </c>
      <c r="E14" s="14">
        <v>50000</v>
      </c>
      <c r="F14" s="14">
        <v>50000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84">
        <v>0</v>
      </c>
      <c r="M14" s="326" t="s">
        <v>158</v>
      </c>
      <c r="N14" s="239">
        <v>5</v>
      </c>
      <c r="O14" s="239"/>
      <c r="P14" s="239"/>
      <c r="Q14" s="239"/>
      <c r="R14" s="239"/>
      <c r="S14" s="239"/>
      <c r="T14" s="239"/>
      <c r="U14" s="166" t="s">
        <v>156</v>
      </c>
    </row>
    <row r="15" spans="1:21" ht="17.25" customHeight="1">
      <c r="A15" s="172"/>
      <c r="B15" s="175"/>
      <c r="C15" s="178"/>
      <c r="D15" s="180" t="s">
        <v>29</v>
      </c>
      <c r="E15" s="181"/>
      <c r="F15" s="181"/>
      <c r="G15" s="181"/>
      <c r="H15" s="181"/>
      <c r="I15" s="181"/>
      <c r="J15" s="181"/>
      <c r="K15" s="181"/>
      <c r="L15" s="182"/>
      <c r="M15" s="341"/>
      <c r="N15" s="347"/>
      <c r="O15" s="347"/>
      <c r="P15" s="347"/>
      <c r="Q15" s="347"/>
      <c r="R15" s="347"/>
      <c r="S15" s="347"/>
      <c r="T15" s="347"/>
      <c r="U15" s="167"/>
    </row>
    <row r="16" spans="1:21" ht="17.25" customHeight="1">
      <c r="A16" s="172"/>
      <c r="B16" s="175"/>
      <c r="C16" s="178"/>
      <c r="D16" s="15" t="s">
        <v>2</v>
      </c>
      <c r="E16" s="16">
        <v>50000</v>
      </c>
      <c r="F16" s="16">
        <v>50000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84">
        <v>0</v>
      </c>
      <c r="M16" s="341"/>
      <c r="N16" s="347"/>
      <c r="O16" s="347"/>
      <c r="P16" s="347"/>
      <c r="Q16" s="347"/>
      <c r="R16" s="347"/>
      <c r="S16" s="347"/>
      <c r="T16" s="347"/>
      <c r="U16" s="167"/>
    </row>
    <row r="17" spans="1:21" ht="17.25" customHeight="1">
      <c r="A17" s="172"/>
      <c r="B17" s="175"/>
      <c r="C17" s="178"/>
      <c r="D17" s="15" t="s">
        <v>0</v>
      </c>
      <c r="E17" s="16">
        <f aca="true" t="shared" si="1" ref="E17:L19">F17+G17+H17+I17+J17+K17+L17</f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84">
        <f t="shared" si="1"/>
        <v>0</v>
      </c>
      <c r="M17" s="341"/>
      <c r="N17" s="347"/>
      <c r="O17" s="347"/>
      <c r="P17" s="347"/>
      <c r="Q17" s="347"/>
      <c r="R17" s="347"/>
      <c r="S17" s="347"/>
      <c r="T17" s="347"/>
      <c r="U17" s="167"/>
    </row>
    <row r="18" spans="1:21" ht="17.25" customHeight="1">
      <c r="A18" s="172"/>
      <c r="B18" s="175"/>
      <c r="C18" s="178"/>
      <c r="D18" s="15" t="s">
        <v>1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84">
        <f t="shared" si="1"/>
        <v>0</v>
      </c>
      <c r="M18" s="341"/>
      <c r="N18" s="347"/>
      <c r="O18" s="347"/>
      <c r="P18" s="347"/>
      <c r="Q18" s="347"/>
      <c r="R18" s="347"/>
      <c r="S18" s="347"/>
      <c r="T18" s="347"/>
      <c r="U18" s="167"/>
    </row>
    <row r="19" spans="1:21" ht="17.25" customHeight="1">
      <c r="A19" s="173"/>
      <c r="B19" s="176"/>
      <c r="C19" s="179"/>
      <c r="D19" s="15" t="s">
        <v>3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84">
        <f t="shared" si="1"/>
        <v>0</v>
      </c>
      <c r="M19" s="342"/>
      <c r="N19" s="348"/>
      <c r="O19" s="348"/>
      <c r="P19" s="348"/>
      <c r="Q19" s="348"/>
      <c r="R19" s="348"/>
      <c r="S19" s="348"/>
      <c r="T19" s="348"/>
      <c r="U19" s="168"/>
    </row>
    <row r="20" spans="1:21" ht="12.75">
      <c r="A20" s="171"/>
      <c r="B20" s="174" t="s">
        <v>91</v>
      </c>
      <c r="C20" s="177"/>
      <c r="D20" s="13" t="s">
        <v>4</v>
      </c>
      <c r="E20" s="14">
        <v>50000</v>
      </c>
      <c r="F20" s="14">
        <v>50000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84">
        <v>0</v>
      </c>
      <c r="M20" s="317"/>
      <c r="N20" s="244"/>
      <c r="O20" s="244"/>
      <c r="P20" s="244"/>
      <c r="Q20" s="244"/>
      <c r="R20" s="244"/>
      <c r="S20" s="244"/>
      <c r="T20" s="244"/>
      <c r="U20" s="166"/>
    </row>
    <row r="21" spans="1:21" ht="12.75">
      <c r="A21" s="159"/>
      <c r="B21" s="188"/>
      <c r="C21" s="159"/>
      <c r="D21" s="180" t="s">
        <v>29</v>
      </c>
      <c r="E21" s="181"/>
      <c r="F21" s="181"/>
      <c r="G21" s="181"/>
      <c r="H21" s="181"/>
      <c r="I21" s="181"/>
      <c r="J21" s="181"/>
      <c r="K21" s="181"/>
      <c r="L21" s="182"/>
      <c r="M21" s="318"/>
      <c r="N21" s="245"/>
      <c r="O21" s="245"/>
      <c r="P21" s="245"/>
      <c r="Q21" s="245"/>
      <c r="R21" s="245"/>
      <c r="S21" s="245"/>
      <c r="T21" s="245"/>
      <c r="U21" s="167"/>
    </row>
    <row r="22" spans="1:21" ht="12.75">
      <c r="A22" s="159"/>
      <c r="B22" s="188"/>
      <c r="C22" s="159"/>
      <c r="D22" s="15" t="s">
        <v>2</v>
      </c>
      <c r="E22" s="16">
        <v>50000</v>
      </c>
      <c r="F22" s="16">
        <v>50000</v>
      </c>
      <c r="G22" s="16">
        <f aca="true" t="shared" si="2" ref="G22:L22">H22+I22+J22+K22+L22+M22+N22</f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84">
        <f t="shared" si="2"/>
        <v>0</v>
      </c>
      <c r="M22" s="318"/>
      <c r="N22" s="245"/>
      <c r="O22" s="245"/>
      <c r="P22" s="245"/>
      <c r="Q22" s="245"/>
      <c r="R22" s="245"/>
      <c r="S22" s="245"/>
      <c r="T22" s="245"/>
      <c r="U22" s="167"/>
    </row>
    <row r="23" spans="1:21" ht="12.75">
      <c r="A23" s="159"/>
      <c r="B23" s="188"/>
      <c r="C23" s="159"/>
      <c r="D23" s="15" t="s">
        <v>0</v>
      </c>
      <c r="E23" s="16">
        <f>F23+G23+H23+I23+J23+K23+L23</f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84">
        <v>0</v>
      </c>
      <c r="M23" s="318"/>
      <c r="N23" s="245"/>
      <c r="O23" s="245"/>
      <c r="P23" s="245"/>
      <c r="Q23" s="245"/>
      <c r="R23" s="245"/>
      <c r="S23" s="245"/>
      <c r="T23" s="245"/>
      <c r="U23" s="167"/>
    </row>
    <row r="24" spans="1:21" ht="12.75">
      <c r="A24" s="159"/>
      <c r="B24" s="188"/>
      <c r="C24" s="159"/>
      <c r="D24" s="15" t="s">
        <v>1</v>
      </c>
      <c r="E24" s="16">
        <f>F24+G24+H24+I24+J24+K24+L24</f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84">
        <v>0</v>
      </c>
      <c r="M24" s="318"/>
      <c r="N24" s="245"/>
      <c r="O24" s="245"/>
      <c r="P24" s="245"/>
      <c r="Q24" s="245"/>
      <c r="R24" s="245"/>
      <c r="S24" s="245"/>
      <c r="T24" s="245"/>
      <c r="U24" s="167"/>
    </row>
    <row r="25" spans="1:21" ht="12.75">
      <c r="A25" s="128"/>
      <c r="B25" s="189"/>
      <c r="C25" s="128"/>
      <c r="D25" s="15" t="s">
        <v>3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84">
        <v>0</v>
      </c>
      <c r="M25" s="319"/>
      <c r="N25" s="246"/>
      <c r="O25" s="246"/>
      <c r="P25" s="246"/>
      <c r="Q25" s="246"/>
      <c r="R25" s="246"/>
      <c r="S25" s="246"/>
      <c r="T25" s="246"/>
      <c r="U25" s="168"/>
    </row>
    <row r="26" spans="1:21" ht="18.75" customHeight="1">
      <c r="A26" s="37"/>
      <c r="B26" s="314" t="s">
        <v>159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6"/>
    </row>
    <row r="27" spans="1:21" ht="12.75">
      <c r="A27" s="171" t="s">
        <v>6</v>
      </c>
      <c r="B27" s="212" t="s">
        <v>160</v>
      </c>
      <c r="C27" s="177" t="s">
        <v>9</v>
      </c>
      <c r="D27" s="13" t="s">
        <v>4</v>
      </c>
      <c r="E27" s="14">
        <f>F27</f>
        <v>239181</v>
      </c>
      <c r="F27" s="14">
        <f>F29+F30+F31+F32</f>
        <v>239181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84">
        <v>0</v>
      </c>
      <c r="M27" s="317"/>
      <c r="N27" s="345"/>
      <c r="O27" s="345"/>
      <c r="P27" s="345"/>
      <c r="Q27" s="345"/>
      <c r="R27" s="345"/>
      <c r="S27" s="345"/>
      <c r="T27" s="345"/>
      <c r="U27" s="317"/>
    </row>
    <row r="28" spans="1:21" ht="12.75">
      <c r="A28" s="159"/>
      <c r="B28" s="212"/>
      <c r="C28" s="159"/>
      <c r="D28" s="180" t="s">
        <v>29</v>
      </c>
      <c r="E28" s="181"/>
      <c r="F28" s="181"/>
      <c r="G28" s="181"/>
      <c r="H28" s="181"/>
      <c r="I28" s="181"/>
      <c r="J28" s="181"/>
      <c r="K28" s="181"/>
      <c r="L28" s="182"/>
      <c r="M28" s="318"/>
      <c r="N28" s="346"/>
      <c r="O28" s="346"/>
      <c r="P28" s="346"/>
      <c r="Q28" s="346"/>
      <c r="R28" s="346"/>
      <c r="S28" s="346"/>
      <c r="T28" s="346"/>
      <c r="U28" s="318"/>
    </row>
    <row r="29" spans="1:21" ht="12.75">
      <c r="A29" s="159"/>
      <c r="B29" s="212"/>
      <c r="C29" s="159"/>
      <c r="D29" s="15" t="s">
        <v>2</v>
      </c>
      <c r="E29" s="16">
        <f>F29</f>
        <v>239181</v>
      </c>
      <c r="F29" s="16">
        <v>239181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84">
        <v>0</v>
      </c>
      <c r="M29" s="318"/>
      <c r="N29" s="346"/>
      <c r="O29" s="346"/>
      <c r="P29" s="346"/>
      <c r="Q29" s="346"/>
      <c r="R29" s="346"/>
      <c r="S29" s="346"/>
      <c r="T29" s="346"/>
      <c r="U29" s="318"/>
    </row>
    <row r="30" spans="1:21" ht="12.75">
      <c r="A30" s="159"/>
      <c r="B30" s="212"/>
      <c r="C30" s="159"/>
      <c r="D30" s="15" t="s">
        <v>0</v>
      </c>
      <c r="E30" s="16">
        <v>0</v>
      </c>
      <c r="F30" s="16">
        <v>0</v>
      </c>
      <c r="G30" s="16">
        <f aca="true" t="shared" si="3" ref="G30:L30">H30+I30+J30+K30+L30+M30+N30</f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84">
        <f t="shared" si="3"/>
        <v>0</v>
      </c>
      <c r="M30" s="318"/>
      <c r="N30" s="346"/>
      <c r="O30" s="346"/>
      <c r="P30" s="346"/>
      <c r="Q30" s="346"/>
      <c r="R30" s="346"/>
      <c r="S30" s="346"/>
      <c r="T30" s="346"/>
      <c r="U30" s="318"/>
    </row>
    <row r="31" spans="1:21" ht="12.75">
      <c r="A31" s="159"/>
      <c r="B31" s="212"/>
      <c r="C31" s="159"/>
      <c r="D31" s="15" t="s">
        <v>1</v>
      </c>
      <c r="E31" s="16">
        <f>F31+G31+H31+I31+J31+K31+L31</f>
        <v>0</v>
      </c>
      <c r="F31" s="16">
        <f>G31+H31+I31+J31+K31+L31+M31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84">
        <v>0</v>
      </c>
      <c r="M31" s="318"/>
      <c r="N31" s="346"/>
      <c r="O31" s="346"/>
      <c r="P31" s="346"/>
      <c r="Q31" s="346"/>
      <c r="R31" s="346"/>
      <c r="S31" s="346"/>
      <c r="T31" s="346"/>
      <c r="U31" s="318"/>
    </row>
    <row r="32" spans="1:21" ht="12.75">
      <c r="A32" s="128"/>
      <c r="B32" s="212"/>
      <c r="C32" s="128"/>
      <c r="D32" s="15" t="s">
        <v>3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84">
        <v>0</v>
      </c>
      <c r="M32" s="318"/>
      <c r="N32" s="346"/>
      <c r="O32" s="346"/>
      <c r="P32" s="346"/>
      <c r="Q32" s="346"/>
      <c r="R32" s="346"/>
      <c r="S32" s="346"/>
      <c r="T32" s="346"/>
      <c r="U32" s="318"/>
    </row>
    <row r="33" spans="1:21" ht="12.75">
      <c r="A33" s="171" t="s">
        <v>41</v>
      </c>
      <c r="B33" s="332" t="s">
        <v>161</v>
      </c>
      <c r="C33" s="343" t="s">
        <v>162</v>
      </c>
      <c r="D33" s="13" t="s">
        <v>4</v>
      </c>
      <c r="E33" s="14">
        <f>SUM(E35:E38)</f>
        <v>1182427</v>
      </c>
      <c r="F33" s="14">
        <f>SUM(F35:F38)</f>
        <v>1099996</v>
      </c>
      <c r="G33" s="14">
        <f aca="true" t="shared" si="4" ref="G33:L33">SUM(G35:G38)</f>
        <v>0</v>
      </c>
      <c r="H33" s="14">
        <f t="shared" si="4"/>
        <v>82431</v>
      </c>
      <c r="I33" s="14">
        <f t="shared" si="4"/>
        <v>0</v>
      </c>
      <c r="J33" s="14">
        <f t="shared" si="4"/>
        <v>0</v>
      </c>
      <c r="K33" s="14">
        <f t="shared" si="4"/>
        <v>0</v>
      </c>
      <c r="L33" s="14">
        <f t="shared" si="4"/>
        <v>0</v>
      </c>
      <c r="M33" s="188"/>
      <c r="N33" s="240"/>
      <c r="O33" s="240"/>
      <c r="P33" s="240"/>
      <c r="Q33" s="240"/>
      <c r="R33" s="240"/>
      <c r="S33" s="240"/>
      <c r="T33" s="240"/>
      <c r="U33" s="188"/>
    </row>
    <row r="34" spans="1:21" ht="12.75">
      <c r="A34" s="159"/>
      <c r="B34" s="333"/>
      <c r="C34" s="341"/>
      <c r="D34" s="180" t="s">
        <v>29</v>
      </c>
      <c r="E34" s="181"/>
      <c r="F34" s="181"/>
      <c r="G34" s="181"/>
      <c r="H34" s="181"/>
      <c r="I34" s="181"/>
      <c r="J34" s="181"/>
      <c r="K34" s="181"/>
      <c r="L34" s="182"/>
      <c r="M34" s="188"/>
      <c r="N34" s="240"/>
      <c r="O34" s="240"/>
      <c r="P34" s="240"/>
      <c r="Q34" s="240"/>
      <c r="R34" s="240"/>
      <c r="S34" s="240"/>
      <c r="T34" s="240"/>
      <c r="U34" s="188"/>
    </row>
    <row r="35" spans="1:21" ht="12.75">
      <c r="A35" s="159"/>
      <c r="B35" s="333"/>
      <c r="C35" s="341"/>
      <c r="D35" s="15" t="s">
        <v>2</v>
      </c>
      <c r="E35" s="16">
        <f>SUM(F35:L35)</f>
        <v>1182427</v>
      </c>
      <c r="F35" s="16">
        <v>1099996</v>
      </c>
      <c r="G35" s="16">
        <v>0</v>
      </c>
      <c r="H35" s="16">
        <v>82431</v>
      </c>
      <c r="I35" s="16">
        <v>0</v>
      </c>
      <c r="J35" s="16">
        <v>0</v>
      </c>
      <c r="K35" s="16">
        <v>0</v>
      </c>
      <c r="L35" s="84">
        <v>0</v>
      </c>
      <c r="M35" s="188"/>
      <c r="N35" s="240"/>
      <c r="O35" s="240"/>
      <c r="P35" s="240"/>
      <c r="Q35" s="240"/>
      <c r="R35" s="240"/>
      <c r="S35" s="240"/>
      <c r="T35" s="240"/>
      <c r="U35" s="188"/>
    </row>
    <row r="36" spans="1:21" ht="12.75">
      <c r="A36" s="159"/>
      <c r="B36" s="333"/>
      <c r="C36" s="341"/>
      <c r="D36" s="15" t="s">
        <v>0</v>
      </c>
      <c r="E36" s="16">
        <f>F36+G36+H36+I36+J36+K36+L36</f>
        <v>0</v>
      </c>
      <c r="F36" s="16">
        <f>G36+H36+I36+J36+K36+L36+M36</f>
        <v>0</v>
      </c>
      <c r="G36" s="16">
        <f aca="true" t="shared" si="5" ref="G36:L36">H36+I36+J36+K36+L36+M36+N36</f>
        <v>0</v>
      </c>
      <c r="H36" s="16">
        <f t="shared" si="5"/>
        <v>0</v>
      </c>
      <c r="I36" s="16">
        <f t="shared" si="5"/>
        <v>0</v>
      </c>
      <c r="J36" s="16">
        <f t="shared" si="5"/>
        <v>0</v>
      </c>
      <c r="K36" s="16">
        <f t="shared" si="5"/>
        <v>0</v>
      </c>
      <c r="L36" s="84">
        <f t="shared" si="5"/>
        <v>0</v>
      </c>
      <c r="M36" s="188"/>
      <c r="N36" s="240"/>
      <c r="O36" s="240"/>
      <c r="P36" s="240"/>
      <c r="Q36" s="240"/>
      <c r="R36" s="240"/>
      <c r="S36" s="240"/>
      <c r="T36" s="240"/>
      <c r="U36" s="188"/>
    </row>
    <row r="37" spans="1:21" ht="12.75">
      <c r="A37" s="159"/>
      <c r="B37" s="333"/>
      <c r="C37" s="341"/>
      <c r="D37" s="15" t="s">
        <v>1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84">
        <v>0</v>
      </c>
      <c r="M37" s="188"/>
      <c r="N37" s="240"/>
      <c r="O37" s="240"/>
      <c r="P37" s="240"/>
      <c r="Q37" s="240"/>
      <c r="R37" s="240"/>
      <c r="S37" s="240"/>
      <c r="T37" s="240"/>
      <c r="U37" s="188"/>
    </row>
    <row r="38" spans="1:21" ht="12.75">
      <c r="A38" s="128"/>
      <c r="B38" s="333"/>
      <c r="C38" s="342"/>
      <c r="D38" s="15" t="s">
        <v>3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84">
        <v>0</v>
      </c>
      <c r="M38" s="188"/>
      <c r="N38" s="240"/>
      <c r="O38" s="240"/>
      <c r="P38" s="240"/>
      <c r="Q38" s="240"/>
      <c r="R38" s="240"/>
      <c r="S38" s="240"/>
      <c r="T38" s="240"/>
      <c r="U38" s="188"/>
    </row>
    <row r="39" spans="1:21" ht="12.75">
      <c r="A39" s="192" t="s">
        <v>57</v>
      </c>
      <c r="B39" s="332" t="s">
        <v>163</v>
      </c>
      <c r="C39" s="343" t="s">
        <v>164</v>
      </c>
      <c r="D39" s="13" t="s">
        <v>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84">
        <v>0</v>
      </c>
      <c r="M39" s="188"/>
      <c r="N39" s="240"/>
      <c r="O39" s="240"/>
      <c r="P39" s="240"/>
      <c r="Q39" s="240"/>
      <c r="R39" s="240"/>
      <c r="S39" s="240"/>
      <c r="T39" s="240"/>
      <c r="U39" s="188"/>
    </row>
    <row r="40" spans="1:21" ht="12.75">
      <c r="A40" s="331"/>
      <c r="B40" s="333"/>
      <c r="C40" s="341"/>
      <c r="D40" s="180" t="s">
        <v>29</v>
      </c>
      <c r="E40" s="181"/>
      <c r="F40" s="181"/>
      <c r="G40" s="181"/>
      <c r="H40" s="181"/>
      <c r="I40" s="181"/>
      <c r="J40" s="181"/>
      <c r="K40" s="181"/>
      <c r="L40" s="182"/>
      <c r="M40" s="188"/>
      <c r="N40" s="85"/>
      <c r="O40" s="85"/>
      <c r="P40" s="240"/>
      <c r="Q40" s="85"/>
      <c r="R40" s="240"/>
      <c r="S40" s="85"/>
      <c r="T40" s="240"/>
      <c r="U40" s="188"/>
    </row>
    <row r="41" spans="1:21" ht="12.75">
      <c r="A41" s="331"/>
      <c r="B41" s="333"/>
      <c r="C41" s="341"/>
      <c r="D41" s="15" t="s">
        <v>2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84">
        <v>0</v>
      </c>
      <c r="M41" s="86"/>
      <c r="N41" s="85"/>
      <c r="O41" s="85"/>
      <c r="P41" s="85"/>
      <c r="Q41" s="85"/>
      <c r="R41" s="85"/>
      <c r="S41" s="85"/>
      <c r="T41" s="85"/>
      <c r="U41" s="188"/>
    </row>
    <row r="42" spans="1:21" ht="12.75">
      <c r="A42" s="331"/>
      <c r="B42" s="333"/>
      <c r="C42" s="341"/>
      <c r="D42" s="15" t="s">
        <v>0</v>
      </c>
      <c r="E42" s="16">
        <f aca="true" t="shared" si="6" ref="E42:L42">F42+G42+H42+I42+J42+K42+L42</f>
        <v>0</v>
      </c>
      <c r="F42" s="16">
        <f t="shared" si="6"/>
        <v>0</v>
      </c>
      <c r="G42" s="16">
        <f t="shared" si="6"/>
        <v>0</v>
      </c>
      <c r="H42" s="16">
        <f t="shared" si="6"/>
        <v>0</v>
      </c>
      <c r="I42" s="16">
        <f t="shared" si="6"/>
        <v>0</v>
      </c>
      <c r="J42" s="16">
        <f t="shared" si="6"/>
        <v>0</v>
      </c>
      <c r="K42" s="16">
        <f t="shared" si="6"/>
        <v>0</v>
      </c>
      <c r="L42" s="84">
        <f t="shared" si="6"/>
        <v>0</v>
      </c>
      <c r="M42" s="86"/>
      <c r="N42" s="85"/>
      <c r="O42" s="85"/>
      <c r="P42" s="85"/>
      <c r="Q42" s="85"/>
      <c r="R42" s="85"/>
      <c r="S42" s="85"/>
      <c r="T42" s="85"/>
      <c r="U42" s="86"/>
    </row>
    <row r="43" spans="1:21" ht="12.75">
      <c r="A43" s="331"/>
      <c r="B43" s="333"/>
      <c r="C43" s="341"/>
      <c r="D43" s="15" t="s">
        <v>1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84">
        <v>0</v>
      </c>
      <c r="M43" s="86"/>
      <c r="N43" s="85"/>
      <c r="O43" s="85"/>
      <c r="P43" s="85"/>
      <c r="Q43" s="85"/>
      <c r="R43" s="85"/>
      <c r="S43" s="85"/>
      <c r="T43" s="85"/>
      <c r="U43" s="86"/>
    </row>
    <row r="44" spans="1:21" ht="12.75">
      <c r="A44" s="331"/>
      <c r="B44" s="333"/>
      <c r="C44" s="342"/>
      <c r="D44" s="15" t="s">
        <v>3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84">
        <v>0</v>
      </c>
      <c r="M44" s="86"/>
      <c r="N44" s="85"/>
      <c r="O44" s="85"/>
      <c r="P44" s="85"/>
      <c r="Q44" s="85"/>
      <c r="R44" s="85"/>
      <c r="S44" s="85"/>
      <c r="T44" s="85"/>
      <c r="U44" s="86"/>
    </row>
    <row r="45" spans="1:21" ht="12.75">
      <c r="A45" s="192" t="s">
        <v>58</v>
      </c>
      <c r="B45" s="332" t="s">
        <v>165</v>
      </c>
      <c r="C45" s="340" t="s">
        <v>166</v>
      </c>
      <c r="D45" s="13" t="s">
        <v>4</v>
      </c>
      <c r="E45" s="14">
        <f>F45</f>
        <v>293000</v>
      </c>
      <c r="F45" s="14">
        <f>F47</f>
        <v>293000</v>
      </c>
      <c r="G45" s="14">
        <v>0</v>
      </c>
      <c r="H45" s="14">
        <f>H47</f>
        <v>25000</v>
      </c>
      <c r="I45" s="14">
        <v>0</v>
      </c>
      <c r="J45" s="14">
        <v>0</v>
      </c>
      <c r="K45" s="14">
        <v>0</v>
      </c>
      <c r="L45" s="84">
        <v>0</v>
      </c>
      <c r="M45" s="86"/>
      <c r="N45" s="85"/>
      <c r="O45" s="85"/>
      <c r="P45" s="85"/>
      <c r="Q45" s="85"/>
      <c r="R45" s="85"/>
      <c r="S45" s="85"/>
      <c r="T45" s="85"/>
      <c r="U45" s="86"/>
    </row>
    <row r="46" spans="1:21" ht="12.75">
      <c r="A46" s="331"/>
      <c r="B46" s="344"/>
      <c r="C46" s="341"/>
      <c r="D46" s="180" t="s">
        <v>29</v>
      </c>
      <c r="E46" s="181"/>
      <c r="F46" s="181"/>
      <c r="G46" s="181"/>
      <c r="H46" s="181"/>
      <c r="I46" s="181"/>
      <c r="J46" s="181"/>
      <c r="K46" s="181"/>
      <c r="L46" s="182"/>
      <c r="M46" s="86"/>
      <c r="N46" s="85"/>
      <c r="O46" s="85"/>
      <c r="P46" s="85"/>
      <c r="Q46" s="85"/>
      <c r="R46" s="85"/>
      <c r="S46" s="85"/>
      <c r="T46" s="85"/>
      <c r="U46" s="86"/>
    </row>
    <row r="47" spans="1:21" ht="12.75">
      <c r="A47" s="331"/>
      <c r="B47" s="344"/>
      <c r="C47" s="341"/>
      <c r="D47" s="15" t="s">
        <v>2</v>
      </c>
      <c r="E47" s="16">
        <f>F47</f>
        <v>293000</v>
      </c>
      <c r="F47" s="16">
        <v>293000</v>
      </c>
      <c r="G47" s="16">
        <v>0</v>
      </c>
      <c r="H47" s="16">
        <v>25000</v>
      </c>
      <c r="I47" s="16">
        <v>0</v>
      </c>
      <c r="J47" s="16">
        <v>0</v>
      </c>
      <c r="K47" s="16">
        <v>0</v>
      </c>
      <c r="L47" s="84">
        <v>0</v>
      </c>
      <c r="M47" s="86"/>
      <c r="N47" s="85"/>
      <c r="O47" s="85"/>
      <c r="P47" s="85"/>
      <c r="Q47" s="85"/>
      <c r="R47" s="85"/>
      <c r="S47" s="85"/>
      <c r="T47" s="85"/>
      <c r="U47" s="86"/>
    </row>
    <row r="48" spans="1:21" ht="12.75">
      <c r="A48" s="331"/>
      <c r="B48" s="344"/>
      <c r="C48" s="341"/>
      <c r="D48" s="15" t="s">
        <v>0</v>
      </c>
      <c r="E48" s="16">
        <f aca="true" t="shared" si="7" ref="E48:L48">F48+G48+H48+I48+J48+K48+L48</f>
        <v>0</v>
      </c>
      <c r="F48" s="16">
        <f t="shared" si="7"/>
        <v>0</v>
      </c>
      <c r="G48" s="16">
        <f t="shared" si="7"/>
        <v>0</v>
      </c>
      <c r="H48" s="16">
        <f t="shared" si="7"/>
        <v>0</v>
      </c>
      <c r="I48" s="16">
        <f t="shared" si="7"/>
        <v>0</v>
      </c>
      <c r="J48" s="16">
        <f t="shared" si="7"/>
        <v>0</v>
      </c>
      <c r="K48" s="16">
        <f t="shared" si="7"/>
        <v>0</v>
      </c>
      <c r="L48" s="84">
        <f t="shared" si="7"/>
        <v>0</v>
      </c>
      <c r="M48" s="86"/>
      <c r="N48" s="85"/>
      <c r="O48" s="85"/>
      <c r="P48" s="85"/>
      <c r="Q48" s="85"/>
      <c r="R48" s="85"/>
      <c r="S48" s="85"/>
      <c r="T48" s="85"/>
      <c r="U48" s="86"/>
    </row>
    <row r="49" spans="1:21" ht="12.75">
      <c r="A49" s="331"/>
      <c r="B49" s="344"/>
      <c r="C49" s="341"/>
      <c r="D49" s="15" t="s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84">
        <v>0</v>
      </c>
      <c r="M49" s="86"/>
      <c r="N49" s="85"/>
      <c r="O49" s="85"/>
      <c r="P49" s="85"/>
      <c r="Q49" s="85"/>
      <c r="R49" s="85"/>
      <c r="S49" s="85"/>
      <c r="T49" s="85"/>
      <c r="U49" s="86"/>
    </row>
    <row r="50" spans="1:21" ht="12.75">
      <c r="A50" s="331"/>
      <c r="B50" s="344"/>
      <c r="C50" s="341"/>
      <c r="D50" s="15" t="s">
        <v>3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84">
        <v>0</v>
      </c>
      <c r="M50" s="86"/>
      <c r="N50" s="85"/>
      <c r="O50" s="85"/>
      <c r="P50" s="85"/>
      <c r="Q50" s="85"/>
      <c r="R50" s="85"/>
      <c r="S50" s="85"/>
      <c r="T50" s="85"/>
      <c r="U50" s="86"/>
    </row>
    <row r="51" spans="1:21" ht="12.75">
      <c r="A51" s="192" t="s">
        <v>67</v>
      </c>
      <c r="B51" s="332" t="s">
        <v>167</v>
      </c>
      <c r="C51" s="340" t="s">
        <v>168</v>
      </c>
      <c r="D51" s="13" t="s">
        <v>4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84">
        <v>0</v>
      </c>
      <c r="M51" s="86"/>
      <c r="N51" s="85"/>
      <c r="O51" s="85"/>
      <c r="P51" s="85"/>
      <c r="Q51" s="85"/>
      <c r="R51" s="85"/>
      <c r="S51" s="85"/>
      <c r="T51" s="85"/>
      <c r="U51" s="86"/>
    </row>
    <row r="52" spans="1:21" ht="12.75">
      <c r="A52" s="331"/>
      <c r="B52" s="333"/>
      <c r="C52" s="341"/>
      <c r="D52" s="180" t="s">
        <v>29</v>
      </c>
      <c r="E52" s="181"/>
      <c r="F52" s="181"/>
      <c r="G52" s="181"/>
      <c r="H52" s="181"/>
      <c r="I52" s="181"/>
      <c r="J52" s="181"/>
      <c r="K52" s="181"/>
      <c r="L52" s="182"/>
      <c r="M52" s="86"/>
      <c r="N52" s="85"/>
      <c r="O52" s="85"/>
      <c r="P52" s="85"/>
      <c r="Q52" s="85"/>
      <c r="R52" s="85"/>
      <c r="S52" s="85"/>
      <c r="T52" s="85"/>
      <c r="U52" s="86"/>
    </row>
    <row r="53" spans="1:21" ht="12.75">
      <c r="A53" s="331"/>
      <c r="B53" s="333"/>
      <c r="C53" s="341"/>
      <c r="D53" s="15" t="s">
        <v>2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84">
        <v>0</v>
      </c>
      <c r="M53" s="86"/>
      <c r="N53" s="85"/>
      <c r="O53" s="85"/>
      <c r="P53" s="85"/>
      <c r="Q53" s="85"/>
      <c r="R53" s="85"/>
      <c r="S53" s="85"/>
      <c r="T53" s="85"/>
      <c r="U53" s="86"/>
    </row>
    <row r="54" spans="1:21" ht="12.75">
      <c r="A54" s="331"/>
      <c r="B54" s="333"/>
      <c r="C54" s="341"/>
      <c r="D54" s="15" t="s">
        <v>0</v>
      </c>
      <c r="E54" s="16">
        <f aca="true" t="shared" si="8" ref="E54:L54">F54+G54+H54+I54+J54+K54+L54</f>
        <v>0</v>
      </c>
      <c r="F54" s="16">
        <f t="shared" si="8"/>
        <v>0</v>
      </c>
      <c r="G54" s="16">
        <f t="shared" si="8"/>
        <v>0</v>
      </c>
      <c r="H54" s="16">
        <f t="shared" si="8"/>
        <v>0</v>
      </c>
      <c r="I54" s="16">
        <f t="shared" si="8"/>
        <v>0</v>
      </c>
      <c r="J54" s="16">
        <f t="shared" si="8"/>
        <v>0</v>
      </c>
      <c r="K54" s="16">
        <f t="shared" si="8"/>
        <v>0</v>
      </c>
      <c r="L54" s="84">
        <f t="shared" si="8"/>
        <v>0</v>
      </c>
      <c r="M54" s="86"/>
      <c r="N54" s="85"/>
      <c r="O54" s="85"/>
      <c r="P54" s="85"/>
      <c r="Q54" s="85"/>
      <c r="R54" s="85"/>
      <c r="S54" s="85"/>
      <c r="T54" s="85"/>
      <c r="U54" s="86"/>
    </row>
    <row r="55" spans="1:21" ht="12.75">
      <c r="A55" s="331"/>
      <c r="B55" s="333"/>
      <c r="C55" s="341"/>
      <c r="D55" s="15" t="s">
        <v>1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84">
        <v>0</v>
      </c>
      <c r="M55" s="86"/>
      <c r="N55" s="85"/>
      <c r="O55" s="85"/>
      <c r="P55" s="85"/>
      <c r="Q55" s="85"/>
      <c r="R55" s="85"/>
      <c r="S55" s="85"/>
      <c r="T55" s="85"/>
      <c r="U55" s="86"/>
    </row>
    <row r="56" spans="1:21" ht="12.75">
      <c r="A56" s="331"/>
      <c r="B56" s="333"/>
      <c r="C56" s="342"/>
      <c r="D56" s="15" t="s">
        <v>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84">
        <v>0</v>
      </c>
      <c r="M56" s="86"/>
      <c r="N56" s="85"/>
      <c r="O56" s="85"/>
      <c r="P56" s="85"/>
      <c r="Q56" s="85"/>
      <c r="R56" s="85"/>
      <c r="S56" s="85"/>
      <c r="T56" s="85"/>
      <c r="U56" s="86"/>
    </row>
    <row r="57" spans="1:21" ht="12.75">
      <c r="A57" s="192" t="s">
        <v>169</v>
      </c>
      <c r="B57" s="332" t="s">
        <v>170</v>
      </c>
      <c r="C57" s="330" t="s">
        <v>164</v>
      </c>
      <c r="D57" s="13" t="s">
        <v>4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84">
        <v>0</v>
      </c>
      <c r="M57" s="86"/>
      <c r="N57" s="85"/>
      <c r="O57" s="85"/>
      <c r="P57" s="85"/>
      <c r="Q57" s="85"/>
      <c r="R57" s="85"/>
      <c r="S57" s="85"/>
      <c r="T57" s="85"/>
      <c r="U57" s="86"/>
    </row>
    <row r="58" spans="1:21" ht="12.75">
      <c r="A58" s="331"/>
      <c r="B58" s="333"/>
      <c r="C58" s="330"/>
      <c r="D58" s="180" t="s">
        <v>29</v>
      </c>
      <c r="E58" s="181"/>
      <c r="F58" s="181"/>
      <c r="G58" s="181"/>
      <c r="H58" s="181"/>
      <c r="I58" s="181"/>
      <c r="J58" s="181"/>
      <c r="K58" s="181"/>
      <c r="L58" s="182"/>
      <c r="M58" s="86"/>
      <c r="N58" s="85"/>
      <c r="O58" s="85"/>
      <c r="P58" s="85"/>
      <c r="Q58" s="85"/>
      <c r="R58" s="85"/>
      <c r="S58" s="85"/>
      <c r="T58" s="85"/>
      <c r="U58" s="86"/>
    </row>
    <row r="59" spans="1:21" ht="12.75">
      <c r="A59" s="331"/>
      <c r="B59" s="333"/>
      <c r="C59" s="330"/>
      <c r="D59" s="15" t="s">
        <v>2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84">
        <v>0</v>
      </c>
      <c r="M59" s="86"/>
      <c r="N59" s="85"/>
      <c r="O59" s="85"/>
      <c r="P59" s="85"/>
      <c r="Q59" s="85"/>
      <c r="R59" s="85"/>
      <c r="S59" s="85"/>
      <c r="T59" s="85"/>
      <c r="U59" s="86"/>
    </row>
    <row r="60" spans="1:21" ht="12.75">
      <c r="A60" s="331"/>
      <c r="B60" s="333"/>
      <c r="C60" s="330"/>
      <c r="D60" s="15" t="s">
        <v>0</v>
      </c>
      <c r="E60" s="16">
        <f aca="true" t="shared" si="9" ref="E60:L60">F60+G60+H60+I60+J60+K60+L60</f>
        <v>0</v>
      </c>
      <c r="F60" s="16">
        <f t="shared" si="9"/>
        <v>0</v>
      </c>
      <c r="G60" s="16">
        <f t="shared" si="9"/>
        <v>0</v>
      </c>
      <c r="H60" s="16">
        <f t="shared" si="9"/>
        <v>0</v>
      </c>
      <c r="I60" s="16">
        <f t="shared" si="9"/>
        <v>0</v>
      </c>
      <c r="J60" s="16">
        <f t="shared" si="9"/>
        <v>0</v>
      </c>
      <c r="K60" s="16">
        <f t="shared" si="9"/>
        <v>0</v>
      </c>
      <c r="L60" s="84">
        <f t="shared" si="9"/>
        <v>0</v>
      </c>
      <c r="M60" s="86"/>
      <c r="N60" s="85"/>
      <c r="O60" s="85"/>
      <c r="P60" s="85"/>
      <c r="Q60" s="85"/>
      <c r="R60" s="85"/>
      <c r="S60" s="85"/>
      <c r="T60" s="85"/>
      <c r="U60" s="86"/>
    </row>
    <row r="61" spans="1:21" ht="12.75">
      <c r="A61" s="331"/>
      <c r="B61" s="333"/>
      <c r="C61" s="330"/>
      <c r="D61" s="15" t="s">
        <v>1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84">
        <v>0</v>
      </c>
      <c r="M61" s="86"/>
      <c r="N61" s="85"/>
      <c r="O61" s="85"/>
      <c r="P61" s="85"/>
      <c r="Q61" s="85"/>
      <c r="R61" s="85"/>
      <c r="S61" s="85"/>
      <c r="T61" s="85"/>
      <c r="U61" s="86"/>
    </row>
    <row r="62" spans="1:21" ht="12.75">
      <c r="A62" s="331"/>
      <c r="B62" s="333"/>
      <c r="C62" s="330"/>
      <c r="D62" s="15" t="s">
        <v>3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84">
        <v>0</v>
      </c>
      <c r="M62" s="86"/>
      <c r="N62" s="85"/>
      <c r="O62" s="85"/>
      <c r="P62" s="85"/>
      <c r="Q62" s="85"/>
      <c r="R62" s="85"/>
      <c r="S62" s="85"/>
      <c r="T62" s="85"/>
      <c r="U62" s="86"/>
    </row>
    <row r="63" spans="1:21" ht="12.75">
      <c r="A63" s="192" t="s">
        <v>171</v>
      </c>
      <c r="B63" s="332" t="s">
        <v>172</v>
      </c>
      <c r="C63" s="330" t="s">
        <v>21</v>
      </c>
      <c r="D63" s="13" t="s">
        <v>4</v>
      </c>
      <c r="E63" s="14">
        <v>0</v>
      </c>
      <c r="F63" s="14">
        <v>0</v>
      </c>
      <c r="G63" s="14">
        <f>G65</f>
        <v>37535.92</v>
      </c>
      <c r="H63" s="14">
        <v>0</v>
      </c>
      <c r="I63" s="14">
        <v>0</v>
      </c>
      <c r="J63" s="14">
        <v>0</v>
      </c>
      <c r="K63" s="14">
        <v>0</v>
      </c>
      <c r="L63" s="84">
        <v>0</v>
      </c>
      <c r="M63" s="86"/>
      <c r="N63" s="85"/>
      <c r="O63" s="85"/>
      <c r="P63" s="85"/>
      <c r="Q63" s="85"/>
      <c r="R63" s="85"/>
      <c r="S63" s="85"/>
      <c r="T63" s="85"/>
      <c r="U63" s="86"/>
    </row>
    <row r="64" spans="1:21" ht="12.75">
      <c r="A64" s="331"/>
      <c r="B64" s="333"/>
      <c r="C64" s="330"/>
      <c r="D64" s="180" t="s">
        <v>29</v>
      </c>
      <c r="E64" s="181"/>
      <c r="F64" s="181"/>
      <c r="G64" s="181"/>
      <c r="H64" s="181"/>
      <c r="I64" s="181"/>
      <c r="J64" s="181"/>
      <c r="K64" s="181"/>
      <c r="L64" s="182"/>
      <c r="M64" s="86"/>
      <c r="N64" s="85"/>
      <c r="O64" s="85"/>
      <c r="P64" s="85"/>
      <c r="Q64" s="85"/>
      <c r="R64" s="85"/>
      <c r="S64" s="85"/>
      <c r="T64" s="85"/>
      <c r="U64" s="86"/>
    </row>
    <row r="65" spans="1:21" ht="12.75">
      <c r="A65" s="331"/>
      <c r="B65" s="333"/>
      <c r="C65" s="330"/>
      <c r="D65" s="15" t="s">
        <v>2</v>
      </c>
      <c r="E65" s="16">
        <v>0</v>
      </c>
      <c r="F65" s="16">
        <v>0</v>
      </c>
      <c r="G65" s="16">
        <v>37535.92</v>
      </c>
      <c r="H65" s="16">
        <v>0</v>
      </c>
      <c r="I65" s="16">
        <v>0</v>
      </c>
      <c r="J65" s="16">
        <v>0</v>
      </c>
      <c r="K65" s="16">
        <v>0</v>
      </c>
      <c r="L65" s="84">
        <v>0</v>
      </c>
      <c r="M65" s="86"/>
      <c r="N65" s="85"/>
      <c r="O65" s="85"/>
      <c r="P65" s="85"/>
      <c r="Q65" s="85"/>
      <c r="R65" s="85"/>
      <c r="S65" s="85"/>
      <c r="T65" s="85"/>
      <c r="U65" s="86"/>
    </row>
    <row r="66" spans="1:21" ht="12.75">
      <c r="A66" s="331"/>
      <c r="B66" s="333"/>
      <c r="C66" s="330"/>
      <c r="D66" s="15" t="s">
        <v>0</v>
      </c>
      <c r="E66" s="16">
        <f aca="true" t="shared" si="10" ref="E66:L66">F66+G66+H66+I66+J66+K66+L66</f>
        <v>0</v>
      </c>
      <c r="F66" s="16">
        <f t="shared" si="10"/>
        <v>0</v>
      </c>
      <c r="G66" s="16">
        <f t="shared" si="10"/>
        <v>0</v>
      </c>
      <c r="H66" s="16">
        <f t="shared" si="10"/>
        <v>0</v>
      </c>
      <c r="I66" s="16">
        <f t="shared" si="10"/>
        <v>0</v>
      </c>
      <c r="J66" s="16">
        <f t="shared" si="10"/>
        <v>0</v>
      </c>
      <c r="K66" s="16">
        <f t="shared" si="10"/>
        <v>0</v>
      </c>
      <c r="L66" s="84">
        <f t="shared" si="10"/>
        <v>0</v>
      </c>
      <c r="M66" s="86"/>
      <c r="N66" s="85"/>
      <c r="O66" s="85"/>
      <c r="P66" s="85"/>
      <c r="Q66" s="85"/>
      <c r="R66" s="85"/>
      <c r="S66" s="85"/>
      <c r="T66" s="85"/>
      <c r="U66" s="86"/>
    </row>
    <row r="67" spans="1:21" ht="12.75">
      <c r="A67" s="331"/>
      <c r="B67" s="333"/>
      <c r="C67" s="330"/>
      <c r="D67" s="15" t="s">
        <v>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84">
        <v>0</v>
      </c>
      <c r="M67" s="86"/>
      <c r="N67" s="85"/>
      <c r="O67" s="85"/>
      <c r="P67" s="85"/>
      <c r="Q67" s="85"/>
      <c r="R67" s="85"/>
      <c r="S67" s="85"/>
      <c r="T67" s="85"/>
      <c r="U67" s="86"/>
    </row>
    <row r="68" spans="1:21" ht="12.75">
      <c r="A68" s="331"/>
      <c r="B68" s="333"/>
      <c r="C68" s="330"/>
      <c r="D68" s="15" t="s">
        <v>3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84">
        <v>0</v>
      </c>
      <c r="M68" s="86"/>
      <c r="N68" s="85"/>
      <c r="O68" s="85"/>
      <c r="P68" s="85"/>
      <c r="Q68" s="85"/>
      <c r="R68" s="85"/>
      <c r="S68" s="85"/>
      <c r="T68" s="85"/>
      <c r="U68" s="86"/>
    </row>
    <row r="69" spans="1:21" ht="12.75">
      <c r="A69" s="192" t="s">
        <v>173</v>
      </c>
      <c r="B69" s="332" t="s">
        <v>174</v>
      </c>
      <c r="C69" s="211" t="s">
        <v>9</v>
      </c>
      <c r="D69" s="13" t="s">
        <v>4</v>
      </c>
      <c r="E69" s="14">
        <f>F69</f>
        <v>12535</v>
      </c>
      <c r="F69" s="14">
        <f>F71</f>
        <v>12535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84">
        <v>0</v>
      </c>
      <c r="M69" s="86"/>
      <c r="N69" s="85"/>
      <c r="O69" s="85"/>
      <c r="P69" s="85"/>
      <c r="Q69" s="85"/>
      <c r="R69" s="85"/>
      <c r="S69" s="85"/>
      <c r="T69" s="85"/>
      <c r="U69" s="86"/>
    </row>
    <row r="70" spans="1:21" ht="12.75">
      <c r="A70" s="331"/>
      <c r="B70" s="333"/>
      <c r="C70" s="211"/>
      <c r="D70" s="180" t="s">
        <v>29</v>
      </c>
      <c r="E70" s="181"/>
      <c r="F70" s="181"/>
      <c r="G70" s="181"/>
      <c r="H70" s="181"/>
      <c r="I70" s="181"/>
      <c r="J70" s="181"/>
      <c r="K70" s="181"/>
      <c r="L70" s="182"/>
      <c r="M70" s="86"/>
      <c r="N70" s="85"/>
      <c r="O70" s="85"/>
      <c r="P70" s="85"/>
      <c r="Q70" s="85"/>
      <c r="R70" s="85"/>
      <c r="S70" s="85"/>
      <c r="T70" s="85"/>
      <c r="U70" s="86"/>
    </row>
    <row r="71" spans="1:21" ht="12.75">
      <c r="A71" s="331"/>
      <c r="B71" s="333"/>
      <c r="C71" s="211"/>
      <c r="D71" s="15" t="s">
        <v>2</v>
      </c>
      <c r="E71" s="16">
        <f>F71</f>
        <v>12535</v>
      </c>
      <c r="F71" s="16">
        <v>12535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84">
        <v>0</v>
      </c>
      <c r="M71" s="86"/>
      <c r="N71" s="85"/>
      <c r="O71" s="85"/>
      <c r="P71" s="85"/>
      <c r="Q71" s="85"/>
      <c r="R71" s="85"/>
      <c r="S71" s="85"/>
      <c r="T71" s="85"/>
      <c r="U71" s="86"/>
    </row>
    <row r="72" spans="1:21" ht="12.75">
      <c r="A72" s="331"/>
      <c r="B72" s="333"/>
      <c r="C72" s="211"/>
      <c r="D72" s="15" t="s">
        <v>0</v>
      </c>
      <c r="E72" s="16">
        <f aca="true" t="shared" si="11" ref="E72:L72">F72+G72+H72+I72+J72+K72+L72</f>
        <v>0</v>
      </c>
      <c r="F72" s="16">
        <f t="shared" si="11"/>
        <v>0</v>
      </c>
      <c r="G72" s="16">
        <f t="shared" si="11"/>
        <v>0</v>
      </c>
      <c r="H72" s="16">
        <f t="shared" si="11"/>
        <v>0</v>
      </c>
      <c r="I72" s="16">
        <f t="shared" si="11"/>
        <v>0</v>
      </c>
      <c r="J72" s="16">
        <f t="shared" si="11"/>
        <v>0</v>
      </c>
      <c r="K72" s="16">
        <f t="shared" si="11"/>
        <v>0</v>
      </c>
      <c r="L72" s="84">
        <f t="shared" si="11"/>
        <v>0</v>
      </c>
      <c r="M72" s="86"/>
      <c r="N72" s="85"/>
      <c r="O72" s="85"/>
      <c r="P72" s="85"/>
      <c r="Q72" s="85"/>
      <c r="R72" s="85"/>
      <c r="S72" s="85"/>
      <c r="T72" s="85"/>
      <c r="U72" s="86"/>
    </row>
    <row r="73" spans="1:21" ht="12.75">
      <c r="A73" s="331"/>
      <c r="B73" s="333"/>
      <c r="C73" s="211"/>
      <c r="D73" s="15" t="s">
        <v>1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84">
        <v>0</v>
      </c>
      <c r="M73" s="86"/>
      <c r="N73" s="85"/>
      <c r="O73" s="85"/>
      <c r="P73" s="85"/>
      <c r="Q73" s="85"/>
      <c r="R73" s="85"/>
      <c r="S73" s="85"/>
      <c r="T73" s="85"/>
      <c r="U73" s="86"/>
    </row>
    <row r="74" spans="1:21" ht="12.75">
      <c r="A74" s="331"/>
      <c r="B74" s="333"/>
      <c r="C74" s="211"/>
      <c r="D74" s="15" t="s">
        <v>3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84">
        <v>0</v>
      </c>
      <c r="M74" s="86"/>
      <c r="N74" s="85"/>
      <c r="O74" s="85"/>
      <c r="P74" s="85"/>
      <c r="Q74" s="85"/>
      <c r="R74" s="85"/>
      <c r="S74" s="85"/>
      <c r="T74" s="85"/>
      <c r="U74" s="86"/>
    </row>
    <row r="75" spans="1:21" ht="11.25" customHeight="1">
      <c r="A75" s="192" t="s">
        <v>175</v>
      </c>
      <c r="B75" s="337" t="s">
        <v>176</v>
      </c>
      <c r="C75" s="211" t="s">
        <v>9</v>
      </c>
      <c r="D75" s="13" t="s">
        <v>4</v>
      </c>
      <c r="E75" s="14">
        <f>E77</f>
        <v>160828</v>
      </c>
      <c r="F75" s="14">
        <f>F77</f>
        <v>160828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84">
        <v>0</v>
      </c>
      <c r="M75" s="86"/>
      <c r="N75" s="85"/>
      <c r="O75" s="85"/>
      <c r="P75" s="85"/>
      <c r="Q75" s="85"/>
      <c r="R75" s="85"/>
      <c r="S75" s="85"/>
      <c r="T75" s="85"/>
      <c r="U75" s="86"/>
    </row>
    <row r="76" spans="1:21" ht="11.25" customHeight="1">
      <c r="A76" s="331"/>
      <c r="B76" s="338"/>
      <c r="C76" s="211"/>
      <c r="D76" s="180" t="s">
        <v>29</v>
      </c>
      <c r="E76" s="181"/>
      <c r="F76" s="181"/>
      <c r="G76" s="181"/>
      <c r="H76" s="181"/>
      <c r="I76" s="181"/>
      <c r="J76" s="181"/>
      <c r="K76" s="181"/>
      <c r="L76" s="182"/>
      <c r="M76" s="86"/>
      <c r="N76" s="85"/>
      <c r="O76" s="85"/>
      <c r="P76" s="85"/>
      <c r="Q76" s="85"/>
      <c r="R76" s="85"/>
      <c r="S76" s="85"/>
      <c r="T76" s="85"/>
      <c r="U76" s="86"/>
    </row>
    <row r="77" spans="1:21" ht="11.25" customHeight="1">
      <c r="A77" s="331"/>
      <c r="B77" s="338"/>
      <c r="C77" s="211"/>
      <c r="D77" s="15" t="s">
        <v>2</v>
      </c>
      <c r="E77" s="16">
        <f>F77</f>
        <v>160828</v>
      </c>
      <c r="F77" s="16">
        <v>160828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84">
        <v>0</v>
      </c>
      <c r="M77" s="86"/>
      <c r="N77" s="85"/>
      <c r="O77" s="85"/>
      <c r="P77" s="85"/>
      <c r="Q77" s="85"/>
      <c r="R77" s="85"/>
      <c r="S77" s="85"/>
      <c r="T77" s="85"/>
      <c r="U77" s="86"/>
    </row>
    <row r="78" spans="1:21" ht="11.25" customHeight="1">
      <c r="A78" s="331"/>
      <c r="B78" s="338"/>
      <c r="C78" s="211"/>
      <c r="D78" s="15" t="s">
        <v>0</v>
      </c>
      <c r="E78" s="16">
        <f aca="true" t="shared" si="12" ref="E78:L78">F78+G78+H78+I78+J78+K78+L78</f>
        <v>0</v>
      </c>
      <c r="F78" s="16">
        <f t="shared" si="12"/>
        <v>0</v>
      </c>
      <c r="G78" s="16">
        <f t="shared" si="12"/>
        <v>0</v>
      </c>
      <c r="H78" s="16">
        <f t="shared" si="12"/>
        <v>0</v>
      </c>
      <c r="I78" s="16">
        <f t="shared" si="12"/>
        <v>0</v>
      </c>
      <c r="J78" s="16">
        <f t="shared" si="12"/>
        <v>0</v>
      </c>
      <c r="K78" s="16">
        <f t="shared" si="12"/>
        <v>0</v>
      </c>
      <c r="L78" s="84">
        <f t="shared" si="12"/>
        <v>0</v>
      </c>
      <c r="M78" s="86"/>
      <c r="N78" s="85"/>
      <c r="O78" s="85"/>
      <c r="P78" s="85"/>
      <c r="Q78" s="85"/>
      <c r="R78" s="85"/>
      <c r="S78" s="85"/>
      <c r="T78" s="85"/>
      <c r="U78" s="86"/>
    </row>
    <row r="79" spans="1:21" ht="11.25" customHeight="1">
      <c r="A79" s="331"/>
      <c r="B79" s="338"/>
      <c r="C79" s="211"/>
      <c r="D79" s="15" t="s">
        <v>1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84">
        <v>0</v>
      </c>
      <c r="M79" s="86"/>
      <c r="N79" s="85"/>
      <c r="O79" s="85"/>
      <c r="P79" s="85"/>
      <c r="Q79" s="85"/>
      <c r="R79" s="85"/>
      <c r="S79" s="85"/>
      <c r="T79" s="85"/>
      <c r="U79" s="86"/>
    </row>
    <row r="80" spans="1:21" ht="18" customHeight="1">
      <c r="A80" s="331"/>
      <c r="B80" s="339"/>
      <c r="C80" s="211"/>
      <c r="D80" s="15" t="s">
        <v>3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84">
        <v>0</v>
      </c>
      <c r="M80" s="86"/>
      <c r="N80" s="85"/>
      <c r="O80" s="85"/>
      <c r="P80" s="85"/>
      <c r="Q80" s="85"/>
      <c r="R80" s="85"/>
      <c r="S80" s="85"/>
      <c r="T80" s="85"/>
      <c r="U80" s="86"/>
    </row>
    <row r="81" spans="1:21" ht="12.75" customHeight="1">
      <c r="A81" s="192" t="s">
        <v>177</v>
      </c>
      <c r="B81" s="174" t="s">
        <v>178</v>
      </c>
      <c r="C81" s="211" t="s">
        <v>154</v>
      </c>
      <c r="D81" s="13" t="s">
        <v>4</v>
      </c>
      <c r="E81" s="14">
        <f>E83</f>
        <v>0</v>
      </c>
      <c r="F81" s="14">
        <f>F83</f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84">
        <v>0</v>
      </c>
      <c r="M81" s="86"/>
      <c r="N81" s="85"/>
      <c r="O81" s="85"/>
      <c r="P81" s="85"/>
      <c r="Q81" s="85"/>
      <c r="R81" s="85"/>
      <c r="S81" s="85"/>
      <c r="T81" s="85"/>
      <c r="U81" s="86"/>
    </row>
    <row r="82" spans="1:21" ht="12.75" customHeight="1">
      <c r="A82" s="331"/>
      <c r="B82" s="188"/>
      <c r="C82" s="211"/>
      <c r="D82" s="180" t="s">
        <v>29</v>
      </c>
      <c r="E82" s="181"/>
      <c r="F82" s="181"/>
      <c r="G82" s="181"/>
      <c r="H82" s="181"/>
      <c r="I82" s="181"/>
      <c r="J82" s="181"/>
      <c r="K82" s="181"/>
      <c r="L82" s="182"/>
      <c r="M82" s="86"/>
      <c r="N82" s="85"/>
      <c r="O82" s="85"/>
      <c r="P82" s="85"/>
      <c r="Q82" s="85"/>
      <c r="R82" s="85"/>
      <c r="S82" s="85"/>
      <c r="T82" s="85"/>
      <c r="U82" s="86"/>
    </row>
    <row r="83" spans="1:21" ht="12.75" customHeight="1">
      <c r="A83" s="331"/>
      <c r="B83" s="188"/>
      <c r="C83" s="211"/>
      <c r="D83" s="15" t="s">
        <v>2</v>
      </c>
      <c r="E83" s="16">
        <f>F83</f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84">
        <v>0</v>
      </c>
      <c r="M83" s="86"/>
      <c r="N83" s="85"/>
      <c r="O83" s="85"/>
      <c r="P83" s="85"/>
      <c r="Q83" s="85"/>
      <c r="R83" s="85"/>
      <c r="S83" s="85"/>
      <c r="T83" s="85"/>
      <c r="U83" s="86"/>
    </row>
    <row r="84" spans="1:21" ht="12.75" customHeight="1">
      <c r="A84" s="331"/>
      <c r="B84" s="188"/>
      <c r="C84" s="211"/>
      <c r="D84" s="15" t="s">
        <v>0</v>
      </c>
      <c r="E84" s="16">
        <f aca="true" t="shared" si="13" ref="E84:L84">F84+G84+H84+I84+J84+K84+L84</f>
        <v>0</v>
      </c>
      <c r="F84" s="16">
        <f t="shared" si="13"/>
        <v>0</v>
      </c>
      <c r="G84" s="16">
        <f t="shared" si="13"/>
        <v>0</v>
      </c>
      <c r="H84" s="16">
        <f t="shared" si="13"/>
        <v>0</v>
      </c>
      <c r="I84" s="16">
        <f t="shared" si="13"/>
        <v>0</v>
      </c>
      <c r="J84" s="16">
        <f t="shared" si="13"/>
        <v>0</v>
      </c>
      <c r="K84" s="16">
        <f t="shared" si="13"/>
        <v>0</v>
      </c>
      <c r="L84" s="84">
        <f t="shared" si="13"/>
        <v>0</v>
      </c>
      <c r="M84" s="86"/>
      <c r="N84" s="85"/>
      <c r="O84" s="85"/>
      <c r="P84" s="85"/>
      <c r="Q84" s="85"/>
      <c r="R84" s="85"/>
      <c r="S84" s="85"/>
      <c r="T84" s="85"/>
      <c r="U84" s="86"/>
    </row>
    <row r="85" spans="1:21" ht="12.75" customHeight="1">
      <c r="A85" s="331"/>
      <c r="B85" s="188"/>
      <c r="C85" s="211"/>
      <c r="D85" s="15" t="s">
        <v>1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84">
        <v>0</v>
      </c>
      <c r="M85" s="86"/>
      <c r="N85" s="85"/>
      <c r="O85" s="85"/>
      <c r="P85" s="85"/>
      <c r="Q85" s="85"/>
      <c r="R85" s="85"/>
      <c r="S85" s="85"/>
      <c r="T85" s="85"/>
      <c r="U85" s="86"/>
    </row>
    <row r="86" spans="1:21" ht="12.75" customHeight="1">
      <c r="A86" s="331"/>
      <c r="B86" s="189"/>
      <c r="C86" s="211"/>
      <c r="D86" s="15" t="s">
        <v>3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84">
        <v>0</v>
      </c>
      <c r="M86" s="86"/>
      <c r="N86" s="85"/>
      <c r="O86" s="85"/>
      <c r="P86" s="85"/>
      <c r="Q86" s="85"/>
      <c r="R86" s="85"/>
      <c r="S86" s="85"/>
      <c r="T86" s="85"/>
      <c r="U86" s="86"/>
    </row>
    <row r="87" spans="1:21" ht="12.75">
      <c r="A87" s="192" t="s">
        <v>179</v>
      </c>
      <c r="B87" s="332" t="s">
        <v>180</v>
      </c>
      <c r="C87" s="330" t="s">
        <v>164</v>
      </c>
      <c r="D87" s="13" t="s">
        <v>4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84">
        <v>0</v>
      </c>
      <c r="M87" s="86"/>
      <c r="N87" s="85"/>
      <c r="O87" s="85"/>
      <c r="P87" s="85"/>
      <c r="Q87" s="85"/>
      <c r="R87" s="85"/>
      <c r="S87" s="85"/>
      <c r="T87" s="85"/>
      <c r="U87" s="86"/>
    </row>
    <row r="88" spans="1:21" ht="12.75">
      <c r="A88" s="331"/>
      <c r="B88" s="333"/>
      <c r="C88" s="330"/>
      <c r="D88" s="180" t="s">
        <v>29</v>
      </c>
      <c r="E88" s="181"/>
      <c r="F88" s="181"/>
      <c r="G88" s="181"/>
      <c r="H88" s="181"/>
      <c r="I88" s="181"/>
      <c r="J88" s="181"/>
      <c r="K88" s="181"/>
      <c r="L88" s="182"/>
      <c r="M88" s="86"/>
      <c r="N88" s="85"/>
      <c r="O88" s="85"/>
      <c r="P88" s="85"/>
      <c r="Q88" s="85"/>
      <c r="R88" s="85"/>
      <c r="S88" s="85"/>
      <c r="T88" s="85"/>
      <c r="U88" s="86"/>
    </row>
    <row r="89" spans="1:21" ht="12.75">
      <c r="A89" s="331"/>
      <c r="B89" s="333"/>
      <c r="C89" s="330"/>
      <c r="D89" s="15" t="s">
        <v>2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84">
        <v>0</v>
      </c>
      <c r="M89" s="86"/>
      <c r="N89" s="85"/>
      <c r="O89" s="85"/>
      <c r="P89" s="85"/>
      <c r="Q89" s="85"/>
      <c r="R89" s="85"/>
      <c r="S89" s="85"/>
      <c r="T89" s="85"/>
      <c r="U89" s="86"/>
    </row>
    <row r="90" spans="1:21" ht="12.75">
      <c r="A90" s="331"/>
      <c r="B90" s="333"/>
      <c r="C90" s="330"/>
      <c r="D90" s="15" t="s">
        <v>0</v>
      </c>
      <c r="E90" s="16">
        <f aca="true" t="shared" si="14" ref="E90:L90">F90+G90+H90+I90+J90+K90+L90</f>
        <v>0</v>
      </c>
      <c r="F90" s="16">
        <f t="shared" si="14"/>
        <v>0</v>
      </c>
      <c r="G90" s="16">
        <f t="shared" si="14"/>
        <v>0</v>
      </c>
      <c r="H90" s="16">
        <f t="shared" si="14"/>
        <v>0</v>
      </c>
      <c r="I90" s="16">
        <f t="shared" si="14"/>
        <v>0</v>
      </c>
      <c r="J90" s="16">
        <f t="shared" si="14"/>
        <v>0</v>
      </c>
      <c r="K90" s="16">
        <f t="shared" si="14"/>
        <v>0</v>
      </c>
      <c r="L90" s="84">
        <f t="shared" si="14"/>
        <v>0</v>
      </c>
      <c r="M90" s="86"/>
      <c r="N90" s="85"/>
      <c r="O90" s="85"/>
      <c r="P90" s="85"/>
      <c r="Q90" s="85"/>
      <c r="R90" s="85"/>
      <c r="S90" s="85"/>
      <c r="T90" s="85"/>
      <c r="U90" s="86"/>
    </row>
    <row r="91" spans="1:21" ht="12.75">
      <c r="A91" s="331"/>
      <c r="B91" s="333"/>
      <c r="C91" s="330"/>
      <c r="D91" s="15" t="s">
        <v>1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84">
        <v>0</v>
      </c>
      <c r="M91" s="86"/>
      <c r="N91" s="85"/>
      <c r="O91" s="85"/>
      <c r="P91" s="85"/>
      <c r="Q91" s="85"/>
      <c r="R91" s="85"/>
      <c r="S91" s="85"/>
      <c r="T91" s="85"/>
      <c r="U91" s="86"/>
    </row>
    <row r="92" spans="1:21" ht="12.75">
      <c r="A92" s="331"/>
      <c r="B92" s="333"/>
      <c r="C92" s="330"/>
      <c r="D92" s="15" t="s">
        <v>3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84">
        <v>0</v>
      </c>
      <c r="M92" s="86"/>
      <c r="N92" s="85"/>
      <c r="O92" s="85"/>
      <c r="P92" s="85"/>
      <c r="Q92" s="85"/>
      <c r="R92" s="85"/>
      <c r="S92" s="85"/>
      <c r="T92" s="85"/>
      <c r="U92" s="86"/>
    </row>
    <row r="93" spans="1:21" ht="12.75">
      <c r="A93" s="172" t="s">
        <v>181</v>
      </c>
      <c r="B93" s="335" t="s">
        <v>182</v>
      </c>
      <c r="C93" s="336" t="s">
        <v>164</v>
      </c>
      <c r="D93" s="13" t="s">
        <v>4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84">
        <v>0</v>
      </c>
      <c r="M93" s="86"/>
      <c r="N93" s="85"/>
      <c r="O93" s="85"/>
      <c r="P93" s="85"/>
      <c r="Q93" s="85"/>
      <c r="R93" s="85"/>
      <c r="S93" s="85"/>
      <c r="T93" s="85"/>
      <c r="U93" s="86"/>
    </row>
    <row r="94" spans="1:21" ht="12.75">
      <c r="A94" s="159"/>
      <c r="B94" s="188"/>
      <c r="C94" s="336"/>
      <c r="D94" s="180" t="s">
        <v>29</v>
      </c>
      <c r="E94" s="181"/>
      <c r="F94" s="181"/>
      <c r="G94" s="181"/>
      <c r="H94" s="181"/>
      <c r="I94" s="181"/>
      <c r="J94" s="181"/>
      <c r="K94" s="181"/>
      <c r="L94" s="182"/>
      <c r="M94" s="86"/>
      <c r="N94" s="85"/>
      <c r="O94" s="85"/>
      <c r="P94" s="85"/>
      <c r="Q94" s="85"/>
      <c r="R94" s="85"/>
      <c r="S94" s="85"/>
      <c r="T94" s="85"/>
      <c r="U94" s="86"/>
    </row>
    <row r="95" spans="1:21" ht="12.75">
      <c r="A95" s="159"/>
      <c r="B95" s="188"/>
      <c r="C95" s="336"/>
      <c r="D95" s="15" t="s">
        <v>2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84">
        <v>0</v>
      </c>
      <c r="M95" s="86"/>
      <c r="N95" s="85"/>
      <c r="O95" s="85"/>
      <c r="P95" s="85"/>
      <c r="Q95" s="85"/>
      <c r="R95" s="85"/>
      <c r="S95" s="85"/>
      <c r="T95" s="85"/>
      <c r="U95" s="167" t="s">
        <v>183</v>
      </c>
    </row>
    <row r="96" spans="1:21" ht="12.75">
      <c r="A96" s="159"/>
      <c r="B96" s="188"/>
      <c r="C96" s="336"/>
      <c r="D96" s="15" t="s">
        <v>0</v>
      </c>
      <c r="E96" s="16">
        <f aca="true" t="shared" si="15" ref="E96:L96">F96+G96+H96+I96+J96+K96+L96</f>
        <v>0</v>
      </c>
      <c r="F96" s="16">
        <f t="shared" si="15"/>
        <v>0</v>
      </c>
      <c r="G96" s="16">
        <f t="shared" si="15"/>
        <v>0</v>
      </c>
      <c r="H96" s="16">
        <f t="shared" si="15"/>
        <v>0</v>
      </c>
      <c r="I96" s="16">
        <f t="shared" si="15"/>
        <v>0</v>
      </c>
      <c r="J96" s="16">
        <f t="shared" si="15"/>
        <v>0</v>
      </c>
      <c r="K96" s="16">
        <f t="shared" si="15"/>
        <v>0</v>
      </c>
      <c r="L96" s="84">
        <f t="shared" si="15"/>
        <v>0</v>
      </c>
      <c r="M96" s="86"/>
      <c r="N96" s="85"/>
      <c r="O96" s="85"/>
      <c r="P96" s="85"/>
      <c r="Q96" s="85"/>
      <c r="R96" s="85"/>
      <c r="S96" s="85"/>
      <c r="T96" s="85"/>
      <c r="U96" s="165"/>
    </row>
    <row r="97" spans="1:21" ht="12.75">
      <c r="A97" s="159"/>
      <c r="B97" s="188"/>
      <c r="C97" s="336"/>
      <c r="D97" s="15" t="s">
        <v>1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84">
        <v>0</v>
      </c>
      <c r="M97" s="86"/>
      <c r="N97" s="85"/>
      <c r="O97" s="85"/>
      <c r="P97" s="85"/>
      <c r="Q97" s="85"/>
      <c r="R97" s="85"/>
      <c r="S97" s="85"/>
      <c r="T97" s="85"/>
      <c r="U97" s="165"/>
    </row>
    <row r="98" spans="1:21" ht="12.75">
      <c r="A98" s="159"/>
      <c r="B98" s="188"/>
      <c r="C98" s="336"/>
      <c r="D98" s="15" t="s">
        <v>3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84">
        <v>0</v>
      </c>
      <c r="M98" s="86"/>
      <c r="N98" s="85"/>
      <c r="O98" s="85"/>
      <c r="P98" s="85"/>
      <c r="Q98" s="85"/>
      <c r="R98" s="85"/>
      <c r="S98" s="85"/>
      <c r="T98" s="85"/>
      <c r="U98" s="165"/>
    </row>
    <row r="99" spans="1:21" ht="12.75">
      <c r="A99" s="192" t="s">
        <v>184</v>
      </c>
      <c r="B99" s="332" t="s">
        <v>185</v>
      </c>
      <c r="C99" s="330" t="s">
        <v>164</v>
      </c>
      <c r="D99" s="13" t="s">
        <v>4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84">
        <v>0</v>
      </c>
      <c r="M99" s="86"/>
      <c r="N99" s="85"/>
      <c r="O99" s="85"/>
      <c r="P99" s="85"/>
      <c r="Q99" s="85"/>
      <c r="R99" s="85"/>
      <c r="S99" s="85"/>
      <c r="T99" s="85"/>
      <c r="U99" s="165"/>
    </row>
    <row r="100" spans="1:21" ht="12.75">
      <c r="A100" s="331"/>
      <c r="B100" s="333"/>
      <c r="C100" s="330"/>
      <c r="D100" s="180" t="s">
        <v>29</v>
      </c>
      <c r="E100" s="181"/>
      <c r="F100" s="181"/>
      <c r="G100" s="181"/>
      <c r="H100" s="181"/>
      <c r="I100" s="181"/>
      <c r="J100" s="181"/>
      <c r="K100" s="181"/>
      <c r="L100" s="182"/>
      <c r="M100" s="86"/>
      <c r="N100" s="85"/>
      <c r="O100" s="85"/>
      <c r="P100" s="85"/>
      <c r="Q100" s="85"/>
      <c r="R100" s="85"/>
      <c r="S100" s="85"/>
      <c r="T100" s="85"/>
      <c r="U100" s="165"/>
    </row>
    <row r="101" spans="1:21" ht="12.75">
      <c r="A101" s="331"/>
      <c r="B101" s="333"/>
      <c r="C101" s="330"/>
      <c r="D101" s="15" t="s">
        <v>2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84">
        <v>0</v>
      </c>
      <c r="M101" s="86"/>
      <c r="N101" s="85"/>
      <c r="O101" s="85"/>
      <c r="P101" s="85"/>
      <c r="Q101" s="85"/>
      <c r="R101" s="85"/>
      <c r="S101" s="85"/>
      <c r="T101" s="85"/>
      <c r="U101" s="165"/>
    </row>
    <row r="102" spans="1:21" ht="12.75">
      <c r="A102" s="331"/>
      <c r="B102" s="333"/>
      <c r="C102" s="330"/>
      <c r="D102" s="15" t="s">
        <v>0</v>
      </c>
      <c r="E102" s="16">
        <f aca="true" t="shared" si="16" ref="E102:L102">F102+G102+H102+I102+J102+K102+L102</f>
        <v>0</v>
      </c>
      <c r="F102" s="16">
        <f t="shared" si="16"/>
        <v>0</v>
      </c>
      <c r="G102" s="16">
        <f t="shared" si="16"/>
        <v>0</v>
      </c>
      <c r="H102" s="16">
        <f t="shared" si="16"/>
        <v>0</v>
      </c>
      <c r="I102" s="16">
        <f t="shared" si="16"/>
        <v>0</v>
      </c>
      <c r="J102" s="16">
        <f t="shared" si="16"/>
        <v>0</v>
      </c>
      <c r="K102" s="16">
        <f t="shared" si="16"/>
        <v>0</v>
      </c>
      <c r="L102" s="84">
        <f t="shared" si="16"/>
        <v>0</v>
      </c>
      <c r="M102" s="86"/>
      <c r="N102" s="85"/>
      <c r="O102" s="85"/>
      <c r="P102" s="85"/>
      <c r="Q102" s="85"/>
      <c r="R102" s="85"/>
      <c r="S102" s="85"/>
      <c r="T102" s="85"/>
      <c r="U102" s="165"/>
    </row>
    <row r="103" spans="1:21" ht="12.75">
      <c r="A103" s="331"/>
      <c r="B103" s="333"/>
      <c r="C103" s="330"/>
      <c r="D103" s="15" t="s">
        <v>1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84">
        <v>0</v>
      </c>
      <c r="M103" s="86"/>
      <c r="N103" s="85"/>
      <c r="O103" s="85"/>
      <c r="P103" s="85"/>
      <c r="Q103" s="85"/>
      <c r="R103" s="85"/>
      <c r="S103" s="85"/>
      <c r="T103" s="85"/>
      <c r="U103" s="165"/>
    </row>
    <row r="104" spans="1:21" ht="12.75">
      <c r="A104" s="331"/>
      <c r="B104" s="333"/>
      <c r="C104" s="330"/>
      <c r="D104" s="15" t="s">
        <v>3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84">
        <v>0</v>
      </c>
      <c r="M104" s="86"/>
      <c r="N104" s="85"/>
      <c r="O104" s="85"/>
      <c r="P104" s="85"/>
      <c r="Q104" s="85"/>
      <c r="R104" s="85"/>
      <c r="S104" s="85"/>
      <c r="T104" s="85"/>
      <c r="U104" s="165"/>
    </row>
    <row r="105" spans="1:21" ht="12.75">
      <c r="A105" s="192" t="s">
        <v>186</v>
      </c>
      <c r="B105" s="332" t="s">
        <v>187</v>
      </c>
      <c r="C105" s="330" t="s">
        <v>168</v>
      </c>
      <c r="D105" s="13" t="s">
        <v>4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84">
        <v>0</v>
      </c>
      <c r="M105" s="86"/>
      <c r="N105" s="85"/>
      <c r="O105" s="85"/>
      <c r="P105" s="85"/>
      <c r="Q105" s="85"/>
      <c r="R105" s="85"/>
      <c r="S105" s="85"/>
      <c r="T105" s="85"/>
      <c r="U105" s="165"/>
    </row>
    <row r="106" spans="1:21" ht="12.75">
      <c r="A106" s="331"/>
      <c r="B106" s="333"/>
      <c r="C106" s="334"/>
      <c r="D106" s="180" t="s">
        <v>29</v>
      </c>
      <c r="E106" s="181"/>
      <c r="F106" s="181"/>
      <c r="G106" s="181"/>
      <c r="H106" s="181"/>
      <c r="I106" s="181"/>
      <c r="J106" s="181"/>
      <c r="K106" s="181"/>
      <c r="L106" s="182"/>
      <c r="M106" s="86"/>
      <c r="N106" s="85"/>
      <c r="O106" s="85"/>
      <c r="P106" s="85"/>
      <c r="Q106" s="85"/>
      <c r="R106" s="85"/>
      <c r="S106" s="85"/>
      <c r="T106" s="85"/>
      <c r="U106" s="165"/>
    </row>
    <row r="107" spans="1:21" ht="12.75">
      <c r="A107" s="331"/>
      <c r="B107" s="333"/>
      <c r="C107" s="334"/>
      <c r="D107" s="15" t="s">
        <v>2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84">
        <v>0</v>
      </c>
      <c r="M107" s="86"/>
      <c r="N107" s="85"/>
      <c r="O107" s="85"/>
      <c r="P107" s="85"/>
      <c r="Q107" s="85"/>
      <c r="R107" s="85"/>
      <c r="S107" s="85"/>
      <c r="T107" s="85"/>
      <c r="U107" s="165"/>
    </row>
    <row r="108" spans="1:21" ht="12.75">
      <c r="A108" s="331"/>
      <c r="B108" s="333"/>
      <c r="C108" s="334"/>
      <c r="D108" s="15" t="s">
        <v>0</v>
      </c>
      <c r="E108" s="16">
        <f aca="true" t="shared" si="17" ref="E108:L108">F108+G108+H108+I108+J108+K108+L108</f>
        <v>0</v>
      </c>
      <c r="F108" s="16">
        <f t="shared" si="17"/>
        <v>0</v>
      </c>
      <c r="G108" s="16">
        <f t="shared" si="17"/>
        <v>0</v>
      </c>
      <c r="H108" s="16">
        <f t="shared" si="17"/>
        <v>0</v>
      </c>
      <c r="I108" s="16">
        <f t="shared" si="17"/>
        <v>0</v>
      </c>
      <c r="J108" s="16">
        <f t="shared" si="17"/>
        <v>0</v>
      </c>
      <c r="K108" s="16">
        <f t="shared" si="17"/>
        <v>0</v>
      </c>
      <c r="L108" s="84">
        <f t="shared" si="17"/>
        <v>0</v>
      </c>
      <c r="M108" s="86"/>
      <c r="N108" s="85"/>
      <c r="O108" s="85"/>
      <c r="P108" s="85"/>
      <c r="Q108" s="85"/>
      <c r="R108" s="85"/>
      <c r="S108" s="85"/>
      <c r="T108" s="85"/>
      <c r="U108" s="86"/>
    </row>
    <row r="109" spans="1:21" ht="12.75">
      <c r="A109" s="331"/>
      <c r="B109" s="333"/>
      <c r="C109" s="334"/>
      <c r="D109" s="15" t="s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84">
        <v>0</v>
      </c>
      <c r="M109" s="86"/>
      <c r="N109" s="85"/>
      <c r="O109" s="85"/>
      <c r="P109" s="85"/>
      <c r="Q109" s="85"/>
      <c r="R109" s="85"/>
      <c r="S109" s="85"/>
      <c r="T109" s="85"/>
      <c r="U109" s="86"/>
    </row>
    <row r="110" spans="1:21" ht="12.75">
      <c r="A110" s="331"/>
      <c r="B110" s="333"/>
      <c r="C110" s="334"/>
      <c r="D110" s="15" t="s">
        <v>3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84">
        <v>0</v>
      </c>
      <c r="M110" s="86"/>
      <c r="N110" s="85"/>
      <c r="O110" s="85"/>
      <c r="P110" s="85"/>
      <c r="Q110" s="85"/>
      <c r="R110" s="85"/>
      <c r="S110" s="85"/>
      <c r="T110" s="85"/>
      <c r="U110" s="86"/>
    </row>
    <row r="111" spans="1:21" ht="12.75">
      <c r="A111" s="192" t="s">
        <v>188</v>
      </c>
      <c r="B111" s="332" t="s">
        <v>189</v>
      </c>
      <c r="C111" s="330" t="s">
        <v>9</v>
      </c>
      <c r="D111" s="13" t="s">
        <v>4</v>
      </c>
      <c r="E111" s="14">
        <f>E113</f>
        <v>14460</v>
      </c>
      <c r="F111" s="14">
        <f>F113</f>
        <v>14460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84">
        <v>0</v>
      </c>
      <c r="M111" s="86"/>
      <c r="N111" s="85"/>
      <c r="O111" s="85"/>
      <c r="P111" s="85"/>
      <c r="Q111" s="85"/>
      <c r="R111" s="85"/>
      <c r="S111" s="85"/>
      <c r="T111" s="85"/>
      <c r="U111" s="86"/>
    </row>
    <row r="112" spans="1:21" ht="12.75">
      <c r="A112" s="331"/>
      <c r="B112" s="333"/>
      <c r="C112" s="330"/>
      <c r="D112" s="180" t="s">
        <v>29</v>
      </c>
      <c r="E112" s="181"/>
      <c r="F112" s="181"/>
      <c r="G112" s="181"/>
      <c r="H112" s="181"/>
      <c r="I112" s="181"/>
      <c r="J112" s="181"/>
      <c r="K112" s="181"/>
      <c r="L112" s="182"/>
      <c r="M112" s="86"/>
      <c r="N112" s="85"/>
      <c r="O112" s="85"/>
      <c r="P112" s="85"/>
      <c r="Q112" s="85"/>
      <c r="R112" s="85"/>
      <c r="S112" s="85"/>
      <c r="T112" s="85"/>
      <c r="U112" s="86"/>
    </row>
    <row r="113" spans="1:21" ht="12.75">
      <c r="A113" s="331"/>
      <c r="B113" s="333"/>
      <c r="C113" s="330"/>
      <c r="D113" s="15" t="s">
        <v>2</v>
      </c>
      <c r="E113" s="16">
        <f>F113</f>
        <v>14460</v>
      </c>
      <c r="F113" s="16">
        <v>14460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84">
        <v>0</v>
      </c>
      <c r="M113" s="86"/>
      <c r="N113" s="85"/>
      <c r="O113" s="85"/>
      <c r="P113" s="85"/>
      <c r="Q113" s="85"/>
      <c r="R113" s="85"/>
      <c r="S113" s="85"/>
      <c r="T113" s="85"/>
      <c r="U113" s="86"/>
    </row>
    <row r="114" spans="1:21" ht="12.75">
      <c r="A114" s="331"/>
      <c r="B114" s="333"/>
      <c r="C114" s="330"/>
      <c r="D114" s="15" t="s">
        <v>0</v>
      </c>
      <c r="E114" s="16">
        <f aca="true" t="shared" si="18" ref="E114:L114">F114+G114+H114+I114+J114+K114+L114</f>
        <v>0</v>
      </c>
      <c r="F114" s="16">
        <f t="shared" si="18"/>
        <v>0</v>
      </c>
      <c r="G114" s="16">
        <f t="shared" si="18"/>
        <v>0</v>
      </c>
      <c r="H114" s="16">
        <f t="shared" si="18"/>
        <v>0</v>
      </c>
      <c r="I114" s="16">
        <f t="shared" si="18"/>
        <v>0</v>
      </c>
      <c r="J114" s="16">
        <f t="shared" si="18"/>
        <v>0</v>
      </c>
      <c r="K114" s="16">
        <f t="shared" si="18"/>
        <v>0</v>
      </c>
      <c r="L114" s="84">
        <f t="shared" si="18"/>
        <v>0</v>
      </c>
      <c r="M114" s="86"/>
      <c r="N114" s="85"/>
      <c r="O114" s="85"/>
      <c r="P114" s="85"/>
      <c r="Q114" s="85"/>
      <c r="R114" s="85"/>
      <c r="S114" s="85"/>
      <c r="T114" s="85"/>
      <c r="U114" s="86"/>
    </row>
    <row r="115" spans="1:21" ht="12.75">
      <c r="A115" s="331"/>
      <c r="B115" s="333"/>
      <c r="C115" s="330"/>
      <c r="D115" s="15" t="s">
        <v>1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84">
        <v>0</v>
      </c>
      <c r="M115" s="86"/>
      <c r="N115" s="85"/>
      <c r="O115" s="85"/>
      <c r="P115" s="85"/>
      <c r="Q115" s="85"/>
      <c r="R115" s="85"/>
      <c r="S115" s="85"/>
      <c r="T115" s="85"/>
      <c r="U115" s="86"/>
    </row>
    <row r="116" spans="1:21" ht="27" customHeight="1">
      <c r="A116" s="331"/>
      <c r="B116" s="333"/>
      <c r="C116" s="330"/>
      <c r="D116" s="15" t="s">
        <v>3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84">
        <v>0</v>
      </c>
      <c r="M116" s="86"/>
      <c r="N116" s="85"/>
      <c r="O116" s="85"/>
      <c r="P116" s="85"/>
      <c r="Q116" s="85"/>
      <c r="R116" s="85"/>
      <c r="S116" s="85"/>
      <c r="T116" s="85"/>
      <c r="U116" s="86"/>
    </row>
    <row r="117" spans="1:21" ht="12.75">
      <c r="A117" s="192" t="s">
        <v>190</v>
      </c>
      <c r="B117" s="332" t="s">
        <v>191</v>
      </c>
      <c r="C117" s="330" t="s">
        <v>192</v>
      </c>
      <c r="D117" s="13" t="s">
        <v>4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84">
        <v>0</v>
      </c>
      <c r="M117" s="86"/>
      <c r="N117" s="85"/>
      <c r="O117" s="85"/>
      <c r="P117" s="85"/>
      <c r="Q117" s="85"/>
      <c r="R117" s="85"/>
      <c r="S117" s="85"/>
      <c r="T117" s="85"/>
      <c r="U117" s="86"/>
    </row>
    <row r="118" spans="1:21" ht="12.75">
      <c r="A118" s="331"/>
      <c r="B118" s="333"/>
      <c r="C118" s="330"/>
      <c r="D118" s="180" t="s">
        <v>29</v>
      </c>
      <c r="E118" s="181"/>
      <c r="F118" s="181"/>
      <c r="G118" s="181"/>
      <c r="H118" s="181"/>
      <c r="I118" s="181"/>
      <c r="J118" s="181"/>
      <c r="K118" s="181"/>
      <c r="L118" s="182"/>
      <c r="M118" s="86"/>
      <c r="N118" s="85"/>
      <c r="O118" s="85"/>
      <c r="P118" s="85"/>
      <c r="Q118" s="85"/>
      <c r="R118" s="85"/>
      <c r="S118" s="85"/>
      <c r="T118" s="85"/>
      <c r="U118" s="86"/>
    </row>
    <row r="119" spans="1:21" ht="12.75">
      <c r="A119" s="331"/>
      <c r="B119" s="333"/>
      <c r="C119" s="330"/>
      <c r="D119" s="15" t="s">
        <v>2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84">
        <v>0</v>
      </c>
      <c r="M119" s="86"/>
      <c r="N119" s="85"/>
      <c r="O119" s="85"/>
      <c r="P119" s="85"/>
      <c r="Q119" s="85"/>
      <c r="R119" s="85"/>
      <c r="S119" s="85"/>
      <c r="T119" s="85"/>
      <c r="U119" s="86"/>
    </row>
    <row r="120" spans="1:21" ht="12.75">
      <c r="A120" s="331"/>
      <c r="B120" s="333"/>
      <c r="C120" s="330"/>
      <c r="D120" s="15" t="s">
        <v>0</v>
      </c>
      <c r="E120" s="16">
        <f aca="true" t="shared" si="19" ref="E120:L120">F120+G120+H120+I120+J120+K120+L120</f>
        <v>0</v>
      </c>
      <c r="F120" s="16">
        <f t="shared" si="19"/>
        <v>0</v>
      </c>
      <c r="G120" s="16">
        <f t="shared" si="19"/>
        <v>0</v>
      </c>
      <c r="H120" s="16">
        <f t="shared" si="19"/>
        <v>0</v>
      </c>
      <c r="I120" s="16">
        <f t="shared" si="19"/>
        <v>0</v>
      </c>
      <c r="J120" s="16">
        <f t="shared" si="19"/>
        <v>0</v>
      </c>
      <c r="K120" s="16">
        <f t="shared" si="19"/>
        <v>0</v>
      </c>
      <c r="L120" s="84">
        <f t="shared" si="19"/>
        <v>0</v>
      </c>
      <c r="M120" s="86"/>
      <c r="N120" s="85"/>
      <c r="O120" s="85"/>
      <c r="P120" s="85"/>
      <c r="Q120" s="85"/>
      <c r="R120" s="85"/>
      <c r="S120" s="85"/>
      <c r="T120" s="85"/>
      <c r="U120" s="86"/>
    </row>
    <row r="121" spans="1:21" ht="12.75">
      <c r="A121" s="331"/>
      <c r="B121" s="333"/>
      <c r="C121" s="330"/>
      <c r="D121" s="15" t="s">
        <v>1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84">
        <v>0</v>
      </c>
      <c r="M121" s="86"/>
      <c r="N121" s="85"/>
      <c r="O121" s="85"/>
      <c r="P121" s="85"/>
      <c r="Q121" s="85"/>
      <c r="R121" s="85"/>
      <c r="S121" s="85"/>
      <c r="T121" s="85"/>
      <c r="U121" s="86"/>
    </row>
    <row r="122" spans="1:21" ht="12.75">
      <c r="A122" s="331"/>
      <c r="B122" s="333"/>
      <c r="C122" s="330"/>
      <c r="D122" s="15" t="s">
        <v>3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84">
        <v>0</v>
      </c>
      <c r="M122" s="86"/>
      <c r="N122" s="85"/>
      <c r="O122" s="85"/>
      <c r="P122" s="85"/>
      <c r="Q122" s="85"/>
      <c r="R122" s="85"/>
      <c r="S122" s="85"/>
      <c r="T122" s="85"/>
      <c r="U122" s="86"/>
    </row>
    <row r="123" spans="1:21" ht="12.75">
      <c r="A123" s="192" t="s">
        <v>193</v>
      </c>
      <c r="B123" s="332" t="s">
        <v>194</v>
      </c>
      <c r="C123" s="330" t="s">
        <v>21</v>
      </c>
      <c r="D123" s="13" t="s">
        <v>4</v>
      </c>
      <c r="E123" s="14">
        <v>0</v>
      </c>
      <c r="F123" s="14">
        <v>0</v>
      </c>
      <c r="G123" s="14">
        <f>G125</f>
        <v>0</v>
      </c>
      <c r="H123" s="14">
        <v>0</v>
      </c>
      <c r="I123" s="14">
        <v>0</v>
      </c>
      <c r="J123" s="14">
        <v>0</v>
      </c>
      <c r="K123" s="14">
        <v>0</v>
      </c>
      <c r="L123" s="84">
        <v>0</v>
      </c>
      <c r="M123" s="86"/>
      <c r="N123" s="85"/>
      <c r="O123" s="85"/>
      <c r="P123" s="85"/>
      <c r="Q123" s="85"/>
      <c r="R123" s="85"/>
      <c r="S123" s="85"/>
      <c r="T123" s="85"/>
      <c r="U123" s="86"/>
    </row>
    <row r="124" spans="1:21" ht="12.75">
      <c r="A124" s="331"/>
      <c r="B124" s="333"/>
      <c r="C124" s="330"/>
      <c r="D124" s="180" t="s">
        <v>29</v>
      </c>
      <c r="E124" s="181"/>
      <c r="F124" s="181"/>
      <c r="G124" s="181"/>
      <c r="H124" s="181"/>
      <c r="I124" s="181"/>
      <c r="J124" s="181"/>
      <c r="K124" s="181"/>
      <c r="L124" s="182"/>
      <c r="M124" s="86"/>
      <c r="N124" s="85"/>
      <c r="O124" s="85"/>
      <c r="P124" s="85"/>
      <c r="Q124" s="85"/>
      <c r="R124" s="85"/>
      <c r="S124" s="85"/>
      <c r="T124" s="85"/>
      <c r="U124" s="86"/>
    </row>
    <row r="125" spans="1:21" ht="12.75">
      <c r="A125" s="331"/>
      <c r="B125" s="333"/>
      <c r="C125" s="330"/>
      <c r="D125" s="15" t="s">
        <v>2</v>
      </c>
      <c r="E125" s="16">
        <v>0</v>
      </c>
      <c r="F125" s="16">
        <v>0</v>
      </c>
      <c r="G125" s="16">
        <f>723582.01-650000-73582.01</f>
        <v>0</v>
      </c>
      <c r="H125" s="16">
        <v>0</v>
      </c>
      <c r="I125" s="16">
        <v>0</v>
      </c>
      <c r="J125" s="16">
        <v>0</v>
      </c>
      <c r="K125" s="16">
        <v>0</v>
      </c>
      <c r="L125" s="84">
        <v>0</v>
      </c>
      <c r="M125" s="86"/>
      <c r="N125" s="85"/>
      <c r="O125" s="85"/>
      <c r="P125" s="85"/>
      <c r="Q125" s="85"/>
      <c r="R125" s="85"/>
      <c r="S125" s="85"/>
      <c r="T125" s="85"/>
      <c r="U125" s="86"/>
    </row>
    <row r="126" spans="1:21" ht="12.75">
      <c r="A126" s="331"/>
      <c r="B126" s="333"/>
      <c r="C126" s="330"/>
      <c r="D126" s="15" t="s">
        <v>0</v>
      </c>
      <c r="E126" s="16">
        <f aca="true" t="shared" si="20" ref="E126:L126">F126+G126+H126+I126+J126+K126+L126</f>
        <v>0</v>
      </c>
      <c r="F126" s="16">
        <f t="shared" si="20"/>
        <v>0</v>
      </c>
      <c r="G126" s="16">
        <f t="shared" si="20"/>
        <v>0</v>
      </c>
      <c r="H126" s="16">
        <f t="shared" si="20"/>
        <v>0</v>
      </c>
      <c r="I126" s="16">
        <f t="shared" si="20"/>
        <v>0</v>
      </c>
      <c r="J126" s="16">
        <f t="shared" si="20"/>
        <v>0</v>
      </c>
      <c r="K126" s="16">
        <f t="shared" si="20"/>
        <v>0</v>
      </c>
      <c r="L126" s="84">
        <f t="shared" si="20"/>
        <v>0</v>
      </c>
      <c r="M126" s="86"/>
      <c r="N126" s="85"/>
      <c r="O126" s="85"/>
      <c r="P126" s="85"/>
      <c r="Q126" s="85"/>
      <c r="R126" s="85"/>
      <c r="S126" s="85"/>
      <c r="T126" s="85"/>
      <c r="U126" s="86"/>
    </row>
    <row r="127" spans="1:21" ht="12.75">
      <c r="A127" s="331"/>
      <c r="B127" s="333"/>
      <c r="C127" s="330"/>
      <c r="D127" s="15" t="s">
        <v>1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84">
        <v>0</v>
      </c>
      <c r="M127" s="86"/>
      <c r="N127" s="85"/>
      <c r="O127" s="85"/>
      <c r="P127" s="85"/>
      <c r="Q127" s="85"/>
      <c r="R127" s="85"/>
      <c r="S127" s="85"/>
      <c r="T127" s="85"/>
      <c r="U127" s="86"/>
    </row>
    <row r="128" spans="1:21" ht="12.75">
      <c r="A128" s="331"/>
      <c r="B128" s="333"/>
      <c r="C128" s="330"/>
      <c r="D128" s="15" t="s">
        <v>3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84">
        <v>0</v>
      </c>
      <c r="M128" s="86"/>
      <c r="N128" s="85"/>
      <c r="O128" s="85"/>
      <c r="P128" s="85"/>
      <c r="Q128" s="85"/>
      <c r="R128" s="85"/>
      <c r="S128" s="85"/>
      <c r="T128" s="85"/>
      <c r="U128" s="86"/>
    </row>
    <row r="129" spans="1:21" ht="12.75">
      <c r="A129" s="192" t="s">
        <v>195</v>
      </c>
      <c r="B129" s="332" t="s">
        <v>196</v>
      </c>
      <c r="C129" s="330" t="s">
        <v>21</v>
      </c>
      <c r="D129" s="13" t="s">
        <v>4</v>
      </c>
      <c r="E129" s="14">
        <v>0</v>
      </c>
      <c r="F129" s="14">
        <v>0</v>
      </c>
      <c r="G129" s="14">
        <f>G131</f>
        <v>142635.66</v>
      </c>
      <c r="H129" s="14">
        <v>0</v>
      </c>
      <c r="I129" s="14">
        <v>0</v>
      </c>
      <c r="J129" s="14">
        <v>0</v>
      </c>
      <c r="K129" s="14">
        <v>0</v>
      </c>
      <c r="L129" s="84">
        <v>0</v>
      </c>
      <c r="M129" s="86"/>
      <c r="N129" s="85"/>
      <c r="O129" s="85"/>
      <c r="P129" s="85"/>
      <c r="Q129" s="85"/>
      <c r="R129" s="85"/>
      <c r="S129" s="85"/>
      <c r="T129" s="85"/>
      <c r="U129" s="86"/>
    </row>
    <row r="130" spans="1:21" ht="12.75">
      <c r="A130" s="331"/>
      <c r="B130" s="333"/>
      <c r="C130" s="330"/>
      <c r="D130" s="180" t="s">
        <v>29</v>
      </c>
      <c r="E130" s="181"/>
      <c r="F130" s="181"/>
      <c r="G130" s="181"/>
      <c r="H130" s="181"/>
      <c r="I130" s="181"/>
      <c r="J130" s="181"/>
      <c r="K130" s="181"/>
      <c r="L130" s="182"/>
      <c r="M130" s="86"/>
      <c r="N130" s="85"/>
      <c r="O130" s="85"/>
      <c r="P130" s="85"/>
      <c r="Q130" s="85"/>
      <c r="R130" s="85"/>
      <c r="S130" s="85"/>
      <c r="T130" s="85"/>
      <c r="U130" s="86"/>
    </row>
    <row r="131" spans="1:21" ht="12.75">
      <c r="A131" s="331"/>
      <c r="B131" s="333"/>
      <c r="C131" s="330"/>
      <c r="D131" s="15" t="s">
        <v>2</v>
      </c>
      <c r="E131" s="16">
        <v>0</v>
      </c>
      <c r="F131" s="16">
        <v>0</v>
      </c>
      <c r="G131" s="16">
        <v>142635.66</v>
      </c>
      <c r="H131" s="16">
        <v>0</v>
      </c>
      <c r="I131" s="16">
        <v>0</v>
      </c>
      <c r="J131" s="16">
        <v>0</v>
      </c>
      <c r="K131" s="16">
        <v>0</v>
      </c>
      <c r="L131" s="84">
        <v>0</v>
      </c>
      <c r="M131" s="86"/>
      <c r="N131" s="85"/>
      <c r="O131" s="85"/>
      <c r="P131" s="85"/>
      <c r="Q131" s="85"/>
      <c r="R131" s="85"/>
      <c r="S131" s="85"/>
      <c r="T131" s="85"/>
      <c r="U131" s="86"/>
    </row>
    <row r="132" spans="1:21" ht="12.75">
      <c r="A132" s="331"/>
      <c r="B132" s="333"/>
      <c r="C132" s="330"/>
      <c r="D132" s="15" t="s">
        <v>0</v>
      </c>
      <c r="E132" s="16">
        <f aca="true" t="shared" si="21" ref="E132:L132">F132+G132+H132+I132+J132+K132+L132</f>
        <v>0</v>
      </c>
      <c r="F132" s="16">
        <f t="shared" si="21"/>
        <v>0</v>
      </c>
      <c r="G132" s="16">
        <f t="shared" si="21"/>
        <v>0</v>
      </c>
      <c r="H132" s="16">
        <f t="shared" si="21"/>
        <v>0</v>
      </c>
      <c r="I132" s="16">
        <f t="shared" si="21"/>
        <v>0</v>
      </c>
      <c r="J132" s="16">
        <f t="shared" si="21"/>
        <v>0</v>
      </c>
      <c r="K132" s="16">
        <f t="shared" si="21"/>
        <v>0</v>
      </c>
      <c r="L132" s="84">
        <f t="shared" si="21"/>
        <v>0</v>
      </c>
      <c r="M132" s="86"/>
      <c r="N132" s="85"/>
      <c r="O132" s="85"/>
      <c r="P132" s="85"/>
      <c r="Q132" s="85"/>
      <c r="R132" s="85"/>
      <c r="S132" s="85"/>
      <c r="T132" s="85"/>
      <c r="U132" s="86"/>
    </row>
    <row r="133" spans="1:21" ht="12.75">
      <c r="A133" s="331"/>
      <c r="B133" s="333"/>
      <c r="C133" s="330"/>
      <c r="D133" s="15" t="s">
        <v>1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84">
        <v>0</v>
      </c>
      <c r="M133" s="86"/>
      <c r="N133" s="85"/>
      <c r="O133" s="85"/>
      <c r="P133" s="85"/>
      <c r="Q133" s="85"/>
      <c r="R133" s="85"/>
      <c r="S133" s="85"/>
      <c r="T133" s="85"/>
      <c r="U133" s="86"/>
    </row>
    <row r="134" spans="1:21" ht="12.75">
      <c r="A134" s="331"/>
      <c r="B134" s="333"/>
      <c r="C134" s="330"/>
      <c r="D134" s="15" t="s">
        <v>3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84">
        <v>0</v>
      </c>
      <c r="M134" s="86"/>
      <c r="N134" s="85"/>
      <c r="O134" s="85"/>
      <c r="P134" s="85"/>
      <c r="Q134" s="85"/>
      <c r="R134" s="85"/>
      <c r="S134" s="85"/>
      <c r="T134" s="85"/>
      <c r="U134" s="86"/>
    </row>
    <row r="135" spans="1:21" ht="12.75">
      <c r="A135" s="192" t="s">
        <v>197</v>
      </c>
      <c r="B135" s="332" t="s">
        <v>198</v>
      </c>
      <c r="C135" s="330" t="s">
        <v>21</v>
      </c>
      <c r="D135" s="13" t="s">
        <v>4</v>
      </c>
      <c r="E135" s="14">
        <v>0</v>
      </c>
      <c r="F135" s="14">
        <v>0</v>
      </c>
      <c r="G135" s="14">
        <f>G137</f>
        <v>0</v>
      </c>
      <c r="H135" s="14">
        <v>0</v>
      </c>
      <c r="I135" s="14">
        <v>0</v>
      </c>
      <c r="J135" s="14">
        <v>0</v>
      </c>
      <c r="K135" s="14">
        <v>0</v>
      </c>
      <c r="L135" s="84">
        <v>0</v>
      </c>
      <c r="M135" s="86"/>
      <c r="N135" s="85"/>
      <c r="O135" s="85"/>
      <c r="P135" s="85"/>
      <c r="Q135" s="85"/>
      <c r="R135" s="85"/>
      <c r="S135" s="85"/>
      <c r="T135" s="85"/>
      <c r="U135" s="86"/>
    </row>
    <row r="136" spans="1:21" ht="12.75">
      <c r="A136" s="331"/>
      <c r="B136" s="333"/>
      <c r="C136" s="330"/>
      <c r="D136" s="180" t="s">
        <v>29</v>
      </c>
      <c r="E136" s="181"/>
      <c r="F136" s="181"/>
      <c r="G136" s="181"/>
      <c r="H136" s="181"/>
      <c r="I136" s="181"/>
      <c r="J136" s="181"/>
      <c r="K136" s="181"/>
      <c r="L136" s="182"/>
      <c r="M136" s="86"/>
      <c r="N136" s="85"/>
      <c r="O136" s="85"/>
      <c r="P136" s="85"/>
      <c r="Q136" s="85"/>
      <c r="R136" s="85"/>
      <c r="S136" s="85"/>
      <c r="T136" s="85"/>
      <c r="U136" s="86"/>
    </row>
    <row r="137" spans="1:21" ht="12.75">
      <c r="A137" s="331"/>
      <c r="B137" s="333"/>
      <c r="C137" s="330"/>
      <c r="D137" s="15" t="s">
        <v>2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84">
        <v>0</v>
      </c>
      <c r="M137" s="86"/>
      <c r="N137" s="85"/>
      <c r="O137" s="85"/>
      <c r="P137" s="85"/>
      <c r="Q137" s="85"/>
      <c r="R137" s="85"/>
      <c r="S137" s="85"/>
      <c r="T137" s="85"/>
      <c r="U137" s="86"/>
    </row>
    <row r="138" spans="1:21" ht="12.75">
      <c r="A138" s="331"/>
      <c r="B138" s="333"/>
      <c r="C138" s="330"/>
      <c r="D138" s="15" t="s">
        <v>0</v>
      </c>
      <c r="E138" s="16">
        <f aca="true" t="shared" si="22" ref="E138:L138">F138+G138+H138+I138+J138+K138+L138</f>
        <v>0</v>
      </c>
      <c r="F138" s="16">
        <f t="shared" si="22"/>
        <v>0</v>
      </c>
      <c r="G138" s="16">
        <f t="shared" si="22"/>
        <v>0</v>
      </c>
      <c r="H138" s="16">
        <f t="shared" si="22"/>
        <v>0</v>
      </c>
      <c r="I138" s="16">
        <f t="shared" si="22"/>
        <v>0</v>
      </c>
      <c r="J138" s="16">
        <f t="shared" si="22"/>
        <v>0</v>
      </c>
      <c r="K138" s="16">
        <f t="shared" si="22"/>
        <v>0</v>
      </c>
      <c r="L138" s="84">
        <f t="shared" si="22"/>
        <v>0</v>
      </c>
      <c r="M138" s="86"/>
      <c r="N138" s="85"/>
      <c r="O138" s="85"/>
      <c r="P138" s="85"/>
      <c r="Q138" s="85"/>
      <c r="R138" s="85"/>
      <c r="S138" s="85"/>
      <c r="T138" s="85"/>
      <c r="U138" s="86"/>
    </row>
    <row r="139" spans="1:21" ht="12.75">
      <c r="A139" s="331"/>
      <c r="B139" s="333"/>
      <c r="C139" s="330"/>
      <c r="D139" s="15" t="s">
        <v>1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84">
        <v>0</v>
      </c>
      <c r="M139" s="86"/>
      <c r="N139" s="85"/>
      <c r="O139" s="85"/>
      <c r="P139" s="85"/>
      <c r="Q139" s="85"/>
      <c r="R139" s="85"/>
      <c r="S139" s="85"/>
      <c r="T139" s="85"/>
      <c r="U139" s="86"/>
    </row>
    <row r="140" spans="1:21" ht="12.75">
      <c r="A140" s="331"/>
      <c r="B140" s="333"/>
      <c r="C140" s="330"/>
      <c r="D140" s="15" t="s">
        <v>3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84">
        <v>0</v>
      </c>
      <c r="M140" s="86"/>
      <c r="N140" s="85"/>
      <c r="O140" s="85"/>
      <c r="P140" s="85"/>
      <c r="Q140" s="85"/>
      <c r="R140" s="85"/>
      <c r="S140" s="85"/>
      <c r="T140" s="85"/>
      <c r="U140" s="86"/>
    </row>
    <row r="141" spans="1:21" ht="12.75">
      <c r="A141" s="186" t="s">
        <v>199</v>
      </c>
      <c r="B141" s="187" t="s">
        <v>200</v>
      </c>
      <c r="C141" s="330" t="s">
        <v>21</v>
      </c>
      <c r="D141" s="13" t="s">
        <v>4</v>
      </c>
      <c r="E141" s="14">
        <v>0</v>
      </c>
      <c r="F141" s="14">
        <v>0</v>
      </c>
      <c r="G141" s="14">
        <f>G143</f>
        <v>262964</v>
      </c>
      <c r="H141" s="14">
        <v>0</v>
      </c>
      <c r="I141" s="14">
        <v>0</v>
      </c>
      <c r="J141" s="14">
        <v>0</v>
      </c>
      <c r="K141" s="14">
        <v>0</v>
      </c>
      <c r="L141" s="84">
        <v>0</v>
      </c>
      <c r="M141" s="86"/>
      <c r="N141" s="85"/>
      <c r="O141" s="85"/>
      <c r="P141" s="85"/>
      <c r="Q141" s="85"/>
      <c r="R141" s="85"/>
      <c r="S141" s="85"/>
      <c r="T141" s="85"/>
      <c r="U141" s="86"/>
    </row>
    <row r="142" spans="1:21" ht="12.75" customHeight="1">
      <c r="A142" s="159"/>
      <c r="B142" s="188"/>
      <c r="C142" s="330"/>
      <c r="D142" s="180" t="s">
        <v>29</v>
      </c>
      <c r="E142" s="181"/>
      <c r="F142" s="181"/>
      <c r="G142" s="181"/>
      <c r="H142" s="181"/>
      <c r="I142" s="181"/>
      <c r="J142" s="181"/>
      <c r="K142" s="181"/>
      <c r="L142" s="182"/>
      <c r="M142" s="86"/>
      <c r="N142" s="85"/>
      <c r="O142" s="85"/>
      <c r="P142" s="85"/>
      <c r="Q142" s="85"/>
      <c r="R142" s="85"/>
      <c r="S142" s="85"/>
      <c r="T142" s="85"/>
      <c r="U142" s="86"/>
    </row>
    <row r="143" spans="1:21" ht="12.75" customHeight="1">
      <c r="A143" s="159"/>
      <c r="B143" s="188"/>
      <c r="C143" s="330"/>
      <c r="D143" s="15" t="s">
        <v>2</v>
      </c>
      <c r="E143" s="16">
        <v>0</v>
      </c>
      <c r="F143" s="16">
        <v>0</v>
      </c>
      <c r="G143" s="16">
        <v>262964</v>
      </c>
      <c r="H143" s="16">
        <v>0</v>
      </c>
      <c r="I143" s="16">
        <v>0</v>
      </c>
      <c r="J143" s="16">
        <v>0</v>
      </c>
      <c r="K143" s="16">
        <v>0</v>
      </c>
      <c r="L143" s="84">
        <v>0</v>
      </c>
      <c r="M143" s="86"/>
      <c r="N143" s="85"/>
      <c r="O143" s="85"/>
      <c r="P143" s="85"/>
      <c r="Q143" s="85"/>
      <c r="R143" s="85"/>
      <c r="S143" s="85"/>
      <c r="T143" s="85"/>
      <c r="U143" s="86"/>
    </row>
    <row r="144" spans="1:21" ht="12.75" customHeight="1">
      <c r="A144" s="159"/>
      <c r="B144" s="188"/>
      <c r="C144" s="330"/>
      <c r="D144" s="15" t="s">
        <v>0</v>
      </c>
      <c r="E144" s="16">
        <f aca="true" t="shared" si="23" ref="E144:L144">F144+G144+H144+I144+J144+K144+L144</f>
        <v>0</v>
      </c>
      <c r="F144" s="16">
        <f t="shared" si="23"/>
        <v>0</v>
      </c>
      <c r="G144" s="16">
        <f t="shared" si="23"/>
        <v>0</v>
      </c>
      <c r="H144" s="16">
        <f t="shared" si="23"/>
        <v>0</v>
      </c>
      <c r="I144" s="16">
        <f t="shared" si="23"/>
        <v>0</v>
      </c>
      <c r="J144" s="16">
        <f t="shared" si="23"/>
        <v>0</v>
      </c>
      <c r="K144" s="16">
        <f t="shared" si="23"/>
        <v>0</v>
      </c>
      <c r="L144" s="84">
        <f t="shared" si="23"/>
        <v>0</v>
      </c>
      <c r="M144" s="86"/>
      <c r="N144" s="85"/>
      <c r="O144" s="85"/>
      <c r="P144" s="85"/>
      <c r="Q144" s="85"/>
      <c r="R144" s="85"/>
      <c r="S144" s="85"/>
      <c r="T144" s="85"/>
      <c r="U144" s="86"/>
    </row>
    <row r="145" spans="1:21" ht="12.75" customHeight="1">
      <c r="A145" s="159"/>
      <c r="B145" s="188"/>
      <c r="C145" s="330"/>
      <c r="D145" s="15" t="s">
        <v>1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84">
        <v>0</v>
      </c>
      <c r="M145" s="86"/>
      <c r="N145" s="85"/>
      <c r="O145" s="85"/>
      <c r="P145" s="85"/>
      <c r="Q145" s="85"/>
      <c r="R145" s="85"/>
      <c r="S145" s="85"/>
      <c r="T145" s="85"/>
      <c r="U145" s="86"/>
    </row>
    <row r="146" spans="1:21" ht="12.75" customHeight="1">
      <c r="A146" s="128"/>
      <c r="B146" s="189"/>
      <c r="C146" s="330"/>
      <c r="D146" s="15" t="s">
        <v>3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84">
        <v>0</v>
      </c>
      <c r="M146" s="86"/>
      <c r="N146" s="85"/>
      <c r="O146" s="85"/>
      <c r="P146" s="85"/>
      <c r="Q146" s="85"/>
      <c r="R146" s="85"/>
      <c r="S146" s="85"/>
      <c r="T146" s="85"/>
      <c r="U146" s="86"/>
    </row>
    <row r="147" spans="1:21" ht="12.75" customHeight="1">
      <c r="A147" s="186" t="s">
        <v>201</v>
      </c>
      <c r="B147" s="187" t="s">
        <v>202</v>
      </c>
      <c r="C147" s="330" t="s">
        <v>21</v>
      </c>
      <c r="D147" s="13" t="s">
        <v>4</v>
      </c>
      <c r="E147" s="14">
        <v>0</v>
      </c>
      <c r="F147" s="14">
        <v>0</v>
      </c>
      <c r="G147" s="14">
        <f>G149</f>
        <v>650000</v>
      </c>
      <c r="H147" s="14">
        <v>0</v>
      </c>
      <c r="I147" s="14">
        <v>0</v>
      </c>
      <c r="J147" s="14">
        <v>0</v>
      </c>
      <c r="K147" s="14">
        <v>0</v>
      </c>
      <c r="L147" s="84">
        <v>0</v>
      </c>
      <c r="M147" s="86"/>
      <c r="N147" s="85"/>
      <c r="O147" s="85"/>
      <c r="P147" s="85"/>
      <c r="Q147" s="85"/>
      <c r="R147" s="85"/>
      <c r="S147" s="85"/>
      <c r="T147" s="85"/>
      <c r="U147" s="86"/>
    </row>
    <row r="148" spans="1:21" ht="12.75" customHeight="1">
      <c r="A148" s="159"/>
      <c r="B148" s="188"/>
      <c r="C148" s="330"/>
      <c r="D148" s="180" t="s">
        <v>29</v>
      </c>
      <c r="E148" s="181"/>
      <c r="F148" s="181"/>
      <c r="G148" s="181"/>
      <c r="H148" s="181"/>
      <c r="I148" s="181"/>
      <c r="J148" s="181"/>
      <c r="K148" s="181"/>
      <c r="L148" s="182"/>
      <c r="M148" s="86"/>
      <c r="N148" s="85"/>
      <c r="O148" s="85"/>
      <c r="P148" s="85"/>
      <c r="Q148" s="85"/>
      <c r="R148" s="85"/>
      <c r="S148" s="85"/>
      <c r="T148" s="85"/>
      <c r="U148" s="86"/>
    </row>
    <row r="149" spans="1:21" ht="12.75" customHeight="1">
      <c r="A149" s="159"/>
      <c r="B149" s="188"/>
      <c r="C149" s="330"/>
      <c r="D149" s="15" t="s">
        <v>2</v>
      </c>
      <c r="E149" s="16">
        <v>0</v>
      </c>
      <c r="F149" s="16">
        <v>0</v>
      </c>
      <c r="G149" s="16">
        <v>650000</v>
      </c>
      <c r="H149" s="16">
        <v>0</v>
      </c>
      <c r="I149" s="16">
        <v>0</v>
      </c>
      <c r="J149" s="16">
        <v>0</v>
      </c>
      <c r="K149" s="16">
        <v>0</v>
      </c>
      <c r="L149" s="84">
        <v>0</v>
      </c>
      <c r="M149" s="86"/>
      <c r="N149" s="85"/>
      <c r="O149" s="85"/>
      <c r="P149" s="85"/>
      <c r="Q149" s="85"/>
      <c r="R149" s="85"/>
      <c r="S149" s="85"/>
      <c r="T149" s="85"/>
      <c r="U149" s="86"/>
    </row>
    <row r="150" spans="1:21" ht="12.75" customHeight="1">
      <c r="A150" s="159"/>
      <c r="B150" s="188"/>
      <c r="C150" s="330"/>
      <c r="D150" s="15" t="s">
        <v>0</v>
      </c>
      <c r="E150" s="16">
        <f aca="true" t="shared" si="24" ref="E150:L150">F150+G150+H150+I150+J150+K150+L150</f>
        <v>0</v>
      </c>
      <c r="F150" s="16">
        <f t="shared" si="24"/>
        <v>0</v>
      </c>
      <c r="G150" s="16">
        <f t="shared" si="24"/>
        <v>0</v>
      </c>
      <c r="H150" s="16">
        <f t="shared" si="24"/>
        <v>0</v>
      </c>
      <c r="I150" s="16">
        <f t="shared" si="24"/>
        <v>0</v>
      </c>
      <c r="J150" s="16">
        <f t="shared" si="24"/>
        <v>0</v>
      </c>
      <c r="K150" s="16">
        <f t="shared" si="24"/>
        <v>0</v>
      </c>
      <c r="L150" s="84">
        <f t="shared" si="24"/>
        <v>0</v>
      </c>
      <c r="M150" s="86"/>
      <c r="N150" s="85"/>
      <c r="O150" s="85"/>
      <c r="P150" s="85"/>
      <c r="Q150" s="85"/>
      <c r="R150" s="85"/>
      <c r="S150" s="85"/>
      <c r="T150" s="85"/>
      <c r="U150" s="86"/>
    </row>
    <row r="151" spans="1:21" ht="12.75" customHeight="1">
      <c r="A151" s="159"/>
      <c r="B151" s="188"/>
      <c r="C151" s="330"/>
      <c r="D151" s="15" t="s">
        <v>1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84">
        <v>0</v>
      </c>
      <c r="M151" s="86"/>
      <c r="N151" s="85"/>
      <c r="O151" s="85"/>
      <c r="P151" s="85"/>
      <c r="Q151" s="85"/>
      <c r="R151" s="85"/>
      <c r="S151" s="85"/>
      <c r="T151" s="85"/>
      <c r="U151" s="86"/>
    </row>
    <row r="152" spans="1:21" ht="12.75" customHeight="1">
      <c r="A152" s="159"/>
      <c r="B152" s="188"/>
      <c r="C152" s="330"/>
      <c r="D152" s="15" t="s">
        <v>3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84">
        <v>0</v>
      </c>
      <c r="M152" s="86"/>
      <c r="N152" s="85"/>
      <c r="O152" s="85"/>
      <c r="P152" s="85"/>
      <c r="Q152" s="85"/>
      <c r="R152" s="85"/>
      <c r="S152" s="85"/>
      <c r="T152" s="85"/>
      <c r="U152" s="86"/>
    </row>
    <row r="153" spans="1:21" ht="12.75" customHeight="1">
      <c r="A153" s="186" t="s">
        <v>203</v>
      </c>
      <c r="B153" s="187" t="s">
        <v>204</v>
      </c>
      <c r="C153" s="330" t="s">
        <v>21</v>
      </c>
      <c r="D153" s="13" t="s">
        <v>4</v>
      </c>
      <c r="E153" s="14">
        <v>0</v>
      </c>
      <c r="F153" s="14">
        <v>0</v>
      </c>
      <c r="G153" s="14">
        <f>G155</f>
        <v>73582.01</v>
      </c>
      <c r="H153" s="14">
        <v>0</v>
      </c>
      <c r="I153" s="14">
        <v>0</v>
      </c>
      <c r="J153" s="14">
        <v>0</v>
      </c>
      <c r="K153" s="14">
        <v>0</v>
      </c>
      <c r="L153" s="84">
        <v>0</v>
      </c>
      <c r="M153" s="86"/>
      <c r="N153" s="85"/>
      <c r="O153" s="85"/>
      <c r="P153" s="85"/>
      <c r="Q153" s="85"/>
      <c r="R153" s="85"/>
      <c r="S153" s="85"/>
      <c r="T153" s="85"/>
      <c r="U153" s="86"/>
    </row>
    <row r="154" spans="1:21" ht="12.75" customHeight="1">
      <c r="A154" s="159"/>
      <c r="B154" s="188"/>
      <c r="C154" s="330"/>
      <c r="D154" s="180" t="s">
        <v>29</v>
      </c>
      <c r="E154" s="181"/>
      <c r="F154" s="181"/>
      <c r="G154" s="181"/>
      <c r="H154" s="181"/>
      <c r="I154" s="181"/>
      <c r="J154" s="181"/>
      <c r="K154" s="181"/>
      <c r="L154" s="182"/>
      <c r="M154" s="86"/>
      <c r="N154" s="85"/>
      <c r="O154" s="85"/>
      <c r="P154" s="85"/>
      <c r="Q154" s="85"/>
      <c r="R154" s="85"/>
      <c r="S154" s="85"/>
      <c r="T154" s="85"/>
      <c r="U154" s="86"/>
    </row>
    <row r="155" spans="1:21" ht="12.75" customHeight="1">
      <c r="A155" s="159"/>
      <c r="B155" s="188"/>
      <c r="C155" s="330"/>
      <c r="D155" s="15" t="s">
        <v>2</v>
      </c>
      <c r="E155" s="16">
        <v>0</v>
      </c>
      <c r="F155" s="16">
        <v>0</v>
      </c>
      <c r="G155" s="16">
        <v>73582.01</v>
      </c>
      <c r="H155" s="16">
        <v>0</v>
      </c>
      <c r="I155" s="16">
        <v>0</v>
      </c>
      <c r="J155" s="16">
        <v>0</v>
      </c>
      <c r="K155" s="16">
        <v>0</v>
      </c>
      <c r="L155" s="84">
        <v>0</v>
      </c>
      <c r="M155" s="86"/>
      <c r="N155" s="85"/>
      <c r="O155" s="85"/>
      <c r="P155" s="85"/>
      <c r="Q155" s="85"/>
      <c r="R155" s="85"/>
      <c r="S155" s="85"/>
      <c r="T155" s="85"/>
      <c r="U155" s="86"/>
    </row>
    <row r="156" spans="1:21" ht="12.75" customHeight="1">
      <c r="A156" s="159"/>
      <c r="B156" s="188"/>
      <c r="C156" s="330"/>
      <c r="D156" s="15" t="s">
        <v>0</v>
      </c>
      <c r="E156" s="16">
        <f aca="true" t="shared" si="25" ref="E156:L156">F156+G156+H156+I156+J156+K156+L156</f>
        <v>0</v>
      </c>
      <c r="F156" s="16">
        <f t="shared" si="25"/>
        <v>0</v>
      </c>
      <c r="G156" s="16">
        <f t="shared" si="25"/>
        <v>0</v>
      </c>
      <c r="H156" s="16">
        <f t="shared" si="25"/>
        <v>0</v>
      </c>
      <c r="I156" s="16">
        <f t="shared" si="25"/>
        <v>0</v>
      </c>
      <c r="J156" s="16">
        <f t="shared" si="25"/>
        <v>0</v>
      </c>
      <c r="K156" s="16">
        <f t="shared" si="25"/>
        <v>0</v>
      </c>
      <c r="L156" s="84">
        <f t="shared" si="25"/>
        <v>0</v>
      </c>
      <c r="M156" s="86"/>
      <c r="N156" s="85"/>
      <c r="O156" s="85"/>
      <c r="P156" s="85"/>
      <c r="Q156" s="85"/>
      <c r="R156" s="85"/>
      <c r="S156" s="85"/>
      <c r="T156" s="85"/>
      <c r="U156" s="86"/>
    </row>
    <row r="157" spans="1:21" ht="12.75" customHeight="1">
      <c r="A157" s="159"/>
      <c r="B157" s="188"/>
      <c r="C157" s="330"/>
      <c r="D157" s="15" t="s">
        <v>1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84">
        <v>0</v>
      </c>
      <c r="M157" s="86"/>
      <c r="N157" s="85"/>
      <c r="O157" s="85"/>
      <c r="P157" s="85"/>
      <c r="Q157" s="85"/>
      <c r="R157" s="85"/>
      <c r="S157" s="85"/>
      <c r="T157" s="85"/>
      <c r="U157" s="86"/>
    </row>
    <row r="158" spans="1:21" ht="12.75" customHeight="1">
      <c r="A158" s="159"/>
      <c r="B158" s="189"/>
      <c r="C158" s="330"/>
      <c r="D158" s="15" t="s">
        <v>3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84">
        <v>0</v>
      </c>
      <c r="M158" s="86"/>
      <c r="N158" s="85"/>
      <c r="O158" s="85"/>
      <c r="P158" s="85"/>
      <c r="Q158" s="85"/>
      <c r="R158" s="85"/>
      <c r="S158" s="85"/>
      <c r="T158" s="85"/>
      <c r="U158" s="86"/>
    </row>
    <row r="159" spans="1:21" ht="12.75">
      <c r="A159" s="171"/>
      <c r="B159" s="174" t="s">
        <v>101</v>
      </c>
      <c r="C159" s="323"/>
      <c r="D159" s="13" t="s">
        <v>4</v>
      </c>
      <c r="E159" s="14">
        <f>E161</f>
        <v>1820000</v>
      </c>
      <c r="F159" s="14">
        <f>F161</f>
        <v>1820000</v>
      </c>
      <c r="G159" s="14">
        <f aca="true" t="shared" si="26" ref="G159:L159">G161+G162+G163+G164</f>
        <v>1166717.59</v>
      </c>
      <c r="H159" s="14">
        <f t="shared" si="26"/>
        <v>107431</v>
      </c>
      <c r="I159" s="14">
        <f t="shared" si="26"/>
        <v>0</v>
      </c>
      <c r="J159" s="14">
        <f t="shared" si="26"/>
        <v>0</v>
      </c>
      <c r="K159" s="14">
        <f t="shared" si="26"/>
        <v>0</v>
      </c>
      <c r="L159" s="84">
        <f t="shared" si="26"/>
        <v>0</v>
      </c>
      <c r="M159" s="326" t="s">
        <v>205</v>
      </c>
      <c r="N159" s="239">
        <v>8</v>
      </c>
      <c r="O159" s="239"/>
      <c r="P159" s="239"/>
      <c r="Q159" s="239"/>
      <c r="R159" s="239"/>
      <c r="S159" s="239"/>
      <c r="T159" s="239"/>
      <c r="U159" s="166"/>
    </row>
    <row r="160" spans="1:21" ht="12.75">
      <c r="A160" s="159"/>
      <c r="B160" s="188"/>
      <c r="C160" s="324"/>
      <c r="D160" s="180" t="s">
        <v>29</v>
      </c>
      <c r="E160" s="181"/>
      <c r="F160" s="181"/>
      <c r="G160" s="181"/>
      <c r="H160" s="181"/>
      <c r="I160" s="181"/>
      <c r="J160" s="181"/>
      <c r="K160" s="181"/>
      <c r="L160" s="182"/>
      <c r="M160" s="327"/>
      <c r="N160" s="242"/>
      <c r="O160" s="242"/>
      <c r="P160" s="242"/>
      <c r="Q160" s="242"/>
      <c r="R160" s="242"/>
      <c r="S160" s="242"/>
      <c r="T160" s="242"/>
      <c r="U160" s="167"/>
    </row>
    <row r="161" spans="1:21" ht="12.75">
      <c r="A161" s="159"/>
      <c r="B161" s="188"/>
      <c r="C161" s="324"/>
      <c r="D161" s="15" t="s">
        <v>2</v>
      </c>
      <c r="E161" s="16">
        <f>F161</f>
        <v>1820000</v>
      </c>
      <c r="F161" s="16">
        <f>F27+F33+F39+F45+F51+F57+F63+F69+F75+F81+F87+F93+F99+F105+F111+F117</f>
        <v>1820000</v>
      </c>
      <c r="G161" s="16">
        <f>G125+G131+G137+G143+G149+G65+G155</f>
        <v>1166717.59</v>
      </c>
      <c r="H161" s="16">
        <f>H29+H35+H47</f>
        <v>107431</v>
      </c>
      <c r="I161" s="16">
        <f>I29+I35</f>
        <v>0</v>
      </c>
      <c r="J161" s="16">
        <f>J29+J35</f>
        <v>0</v>
      </c>
      <c r="K161" s="16">
        <f>K29+K35</f>
        <v>0</v>
      </c>
      <c r="L161" s="84">
        <f>L29+L35</f>
        <v>0</v>
      </c>
      <c r="M161" s="327"/>
      <c r="N161" s="242"/>
      <c r="O161" s="242"/>
      <c r="P161" s="242"/>
      <c r="Q161" s="242"/>
      <c r="R161" s="242"/>
      <c r="S161" s="242"/>
      <c r="T161" s="242"/>
      <c r="U161" s="167"/>
    </row>
    <row r="162" spans="1:21" ht="12.75">
      <c r="A162" s="159"/>
      <c r="B162" s="188"/>
      <c r="C162" s="324"/>
      <c r="D162" s="15" t="s">
        <v>0</v>
      </c>
      <c r="E162" s="16">
        <f>F162+G162+H162+I162+J162+K162+L162</f>
        <v>0</v>
      </c>
      <c r="F162" s="16">
        <v>0</v>
      </c>
      <c r="G162" s="16">
        <f>G30</f>
        <v>0</v>
      </c>
      <c r="H162" s="16">
        <v>0</v>
      </c>
      <c r="I162" s="16">
        <v>0</v>
      </c>
      <c r="J162" s="16">
        <v>0</v>
      </c>
      <c r="K162" s="16">
        <v>0</v>
      </c>
      <c r="L162" s="84">
        <v>0</v>
      </c>
      <c r="M162" s="327"/>
      <c r="N162" s="242"/>
      <c r="O162" s="242"/>
      <c r="P162" s="242"/>
      <c r="Q162" s="242"/>
      <c r="R162" s="242"/>
      <c r="S162" s="242"/>
      <c r="T162" s="242"/>
      <c r="U162" s="167"/>
    </row>
    <row r="163" spans="1:21" ht="12.75">
      <c r="A163" s="159"/>
      <c r="B163" s="188"/>
      <c r="C163" s="324"/>
      <c r="D163" s="15" t="s">
        <v>1</v>
      </c>
      <c r="E163" s="16">
        <f>F163+G163+H163+I163+J163+K163+L163</f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84">
        <v>0</v>
      </c>
      <c r="M163" s="327"/>
      <c r="N163" s="242"/>
      <c r="O163" s="242"/>
      <c r="P163" s="242"/>
      <c r="Q163" s="242"/>
      <c r="R163" s="242"/>
      <c r="S163" s="242"/>
      <c r="T163" s="242"/>
      <c r="U163" s="167"/>
    </row>
    <row r="164" spans="1:21" ht="39.75" customHeight="1">
      <c r="A164" s="159"/>
      <c r="B164" s="188"/>
      <c r="C164" s="324"/>
      <c r="D164" s="329" t="s">
        <v>3</v>
      </c>
      <c r="E164" s="320">
        <f>F164+G164+H164+I164+J164+K164+L164</f>
        <v>0</v>
      </c>
      <c r="F164" s="320">
        <f aca="true" t="shared" si="27" ref="F164:L164">F32+F38</f>
        <v>0</v>
      </c>
      <c r="G164" s="320">
        <f t="shared" si="27"/>
        <v>0</v>
      </c>
      <c r="H164" s="320">
        <f t="shared" si="27"/>
        <v>0</v>
      </c>
      <c r="I164" s="320">
        <f t="shared" si="27"/>
        <v>0</v>
      </c>
      <c r="J164" s="320">
        <f t="shared" si="27"/>
        <v>0</v>
      </c>
      <c r="K164" s="320">
        <f t="shared" si="27"/>
        <v>0</v>
      </c>
      <c r="L164" s="322">
        <f t="shared" si="27"/>
        <v>0</v>
      </c>
      <c r="M164" s="328"/>
      <c r="N164" s="243"/>
      <c r="O164" s="243"/>
      <c r="P164" s="243"/>
      <c r="Q164" s="243"/>
      <c r="R164" s="243"/>
      <c r="S164" s="243"/>
      <c r="T164" s="243"/>
      <c r="U164" s="167"/>
    </row>
    <row r="165" spans="1:21" ht="18.75" customHeight="1">
      <c r="A165" s="128"/>
      <c r="B165" s="189"/>
      <c r="C165" s="325"/>
      <c r="D165" s="321"/>
      <c r="E165" s="321"/>
      <c r="F165" s="321"/>
      <c r="G165" s="321"/>
      <c r="H165" s="321"/>
      <c r="I165" s="321"/>
      <c r="J165" s="321"/>
      <c r="K165" s="321"/>
      <c r="L165" s="321"/>
      <c r="M165" s="87" t="s">
        <v>206</v>
      </c>
      <c r="N165" s="88"/>
      <c r="O165" s="88">
        <v>100</v>
      </c>
      <c r="P165" s="88">
        <v>100</v>
      </c>
      <c r="Q165" s="88"/>
      <c r="R165" s="88"/>
      <c r="S165" s="88"/>
      <c r="T165" s="88"/>
      <c r="U165" s="128"/>
    </row>
    <row r="166" spans="1:21" ht="12.75">
      <c r="A166" s="37"/>
      <c r="B166" s="314" t="s">
        <v>207</v>
      </c>
      <c r="C166" s="315"/>
      <c r="D166" s="315"/>
      <c r="E166" s="315"/>
      <c r="F166" s="315"/>
      <c r="G166" s="315"/>
      <c r="H166" s="315"/>
      <c r="I166" s="315"/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5"/>
      <c r="U166" s="316"/>
    </row>
    <row r="167" spans="1:21" ht="12.75">
      <c r="A167" s="192"/>
      <c r="B167" s="174" t="s">
        <v>104</v>
      </c>
      <c r="C167" s="177" t="s">
        <v>192</v>
      </c>
      <c r="D167" s="13" t="s">
        <v>4</v>
      </c>
      <c r="E167" s="14">
        <f>E169+E170+E171+E172</f>
        <v>0</v>
      </c>
      <c r="F167" s="14">
        <f aca="true" t="shared" si="28" ref="F167:L167">F169+F170+F171+F172</f>
        <v>0</v>
      </c>
      <c r="G167" s="14">
        <f t="shared" si="28"/>
        <v>0</v>
      </c>
      <c r="H167" s="14">
        <f t="shared" si="28"/>
        <v>0</v>
      </c>
      <c r="I167" s="14">
        <f t="shared" si="28"/>
        <v>0</v>
      </c>
      <c r="J167" s="14">
        <f t="shared" si="28"/>
        <v>0</v>
      </c>
      <c r="K167" s="14">
        <f t="shared" si="28"/>
        <v>0</v>
      </c>
      <c r="L167" s="84">
        <f t="shared" si="28"/>
        <v>0</v>
      </c>
      <c r="M167" s="317" t="s">
        <v>208</v>
      </c>
      <c r="N167" s="239">
        <v>1</v>
      </c>
      <c r="O167" s="239"/>
      <c r="P167" s="239"/>
      <c r="Q167" s="239"/>
      <c r="R167" s="239"/>
      <c r="S167" s="239"/>
      <c r="T167" s="239"/>
      <c r="U167" s="166" t="s">
        <v>209</v>
      </c>
    </row>
    <row r="168" spans="1:21" ht="12.75">
      <c r="A168" s="192"/>
      <c r="B168" s="188"/>
      <c r="C168" s="178"/>
      <c r="D168" s="180" t="s">
        <v>210</v>
      </c>
      <c r="E168" s="181"/>
      <c r="F168" s="181"/>
      <c r="G168" s="181"/>
      <c r="H168" s="181"/>
      <c r="I168" s="181"/>
      <c r="J168" s="181"/>
      <c r="K168" s="181"/>
      <c r="L168" s="182"/>
      <c r="M168" s="318"/>
      <c r="N168" s="242"/>
      <c r="O168" s="242"/>
      <c r="P168" s="242"/>
      <c r="Q168" s="242"/>
      <c r="R168" s="242"/>
      <c r="S168" s="242"/>
      <c r="T168" s="242"/>
      <c r="U168" s="167"/>
    </row>
    <row r="169" spans="1:21" ht="12.75">
      <c r="A169" s="192"/>
      <c r="B169" s="188"/>
      <c r="C169" s="178"/>
      <c r="D169" s="15" t="s">
        <v>2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84">
        <v>0</v>
      </c>
      <c r="M169" s="318"/>
      <c r="N169" s="242"/>
      <c r="O169" s="242"/>
      <c r="P169" s="242"/>
      <c r="Q169" s="242"/>
      <c r="R169" s="242"/>
      <c r="S169" s="242"/>
      <c r="T169" s="242"/>
      <c r="U169" s="167"/>
    </row>
    <row r="170" spans="1:21" ht="12.75">
      <c r="A170" s="192"/>
      <c r="B170" s="188"/>
      <c r="C170" s="178"/>
      <c r="D170" s="15" t="s">
        <v>0</v>
      </c>
      <c r="E170" s="16">
        <f>F170+G170+H170+I170+J170+K170+L170</f>
        <v>0</v>
      </c>
      <c r="F170" s="16">
        <f aca="true" t="shared" si="29" ref="F170:L170">G170+H170+I170+J170+K170+L170+M170</f>
        <v>0</v>
      </c>
      <c r="G170" s="16">
        <f t="shared" si="29"/>
        <v>0</v>
      </c>
      <c r="H170" s="16">
        <f t="shared" si="29"/>
        <v>0</v>
      </c>
      <c r="I170" s="16">
        <f t="shared" si="29"/>
        <v>0</v>
      </c>
      <c r="J170" s="16">
        <f t="shared" si="29"/>
        <v>0</v>
      </c>
      <c r="K170" s="16">
        <f t="shared" si="29"/>
        <v>0</v>
      </c>
      <c r="L170" s="84">
        <f t="shared" si="29"/>
        <v>0</v>
      </c>
      <c r="M170" s="318"/>
      <c r="N170" s="242"/>
      <c r="O170" s="242"/>
      <c r="P170" s="242"/>
      <c r="Q170" s="242"/>
      <c r="R170" s="242"/>
      <c r="S170" s="242"/>
      <c r="T170" s="242"/>
      <c r="U170" s="167"/>
    </row>
    <row r="171" spans="1:21" ht="12.75">
      <c r="A171" s="192"/>
      <c r="B171" s="188"/>
      <c r="C171" s="178"/>
      <c r="D171" s="15" t="s">
        <v>1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84">
        <v>0</v>
      </c>
      <c r="M171" s="318"/>
      <c r="N171" s="242"/>
      <c r="O171" s="242"/>
      <c r="P171" s="242"/>
      <c r="Q171" s="242"/>
      <c r="R171" s="242"/>
      <c r="S171" s="242"/>
      <c r="T171" s="242"/>
      <c r="U171" s="167"/>
    </row>
    <row r="172" spans="1:21" ht="12.75">
      <c r="A172" s="192"/>
      <c r="B172" s="189"/>
      <c r="C172" s="179"/>
      <c r="D172" s="15" t="s">
        <v>3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84">
        <v>0</v>
      </c>
      <c r="M172" s="319"/>
      <c r="N172" s="243"/>
      <c r="O172" s="243"/>
      <c r="P172" s="243"/>
      <c r="Q172" s="243"/>
      <c r="R172" s="243"/>
      <c r="S172" s="243"/>
      <c r="T172" s="243"/>
      <c r="U172" s="168"/>
    </row>
    <row r="173" spans="1:21" ht="13.5">
      <c r="A173" s="305"/>
      <c r="B173" s="308" t="s">
        <v>211</v>
      </c>
      <c r="C173" s="204"/>
      <c r="D173" s="17" t="s">
        <v>4</v>
      </c>
      <c r="E173" s="18">
        <f aca="true" t="shared" si="30" ref="E173:L173">E175+E176+E177+E178</f>
        <v>3144148.59</v>
      </c>
      <c r="F173" s="18">
        <f t="shared" si="30"/>
        <v>1870000</v>
      </c>
      <c r="G173" s="18">
        <f t="shared" si="30"/>
        <v>1166717.59</v>
      </c>
      <c r="H173" s="18">
        <f t="shared" si="30"/>
        <v>107431</v>
      </c>
      <c r="I173" s="18">
        <f t="shared" si="30"/>
        <v>0</v>
      </c>
      <c r="J173" s="18">
        <f t="shared" si="30"/>
        <v>0</v>
      </c>
      <c r="K173" s="18">
        <f t="shared" si="30"/>
        <v>0</v>
      </c>
      <c r="L173" s="89">
        <f t="shared" si="30"/>
        <v>0</v>
      </c>
      <c r="M173" s="311"/>
      <c r="N173" s="259"/>
      <c r="O173" s="259"/>
      <c r="P173" s="259"/>
      <c r="Q173" s="259"/>
      <c r="R173" s="259"/>
      <c r="S173" s="259"/>
      <c r="T173" s="259"/>
      <c r="U173" s="198"/>
    </row>
    <row r="174" spans="1:21" ht="13.5" customHeight="1">
      <c r="A174" s="306"/>
      <c r="B174" s="309"/>
      <c r="C174" s="204"/>
      <c r="D174" s="208" t="s">
        <v>29</v>
      </c>
      <c r="E174" s="209"/>
      <c r="F174" s="209"/>
      <c r="G174" s="209"/>
      <c r="H174" s="209"/>
      <c r="I174" s="209"/>
      <c r="J174" s="209"/>
      <c r="K174" s="209"/>
      <c r="L174" s="210"/>
      <c r="M174" s="312"/>
      <c r="N174" s="260"/>
      <c r="O174" s="260"/>
      <c r="P174" s="260"/>
      <c r="Q174" s="260"/>
      <c r="R174" s="260"/>
      <c r="S174" s="260"/>
      <c r="T174" s="260"/>
      <c r="U174" s="199"/>
    </row>
    <row r="175" spans="1:21" ht="13.5">
      <c r="A175" s="306"/>
      <c r="B175" s="309"/>
      <c r="C175" s="204"/>
      <c r="D175" s="20" t="s">
        <v>2</v>
      </c>
      <c r="E175" s="18">
        <f>F175+G175+H175+I175+J175+K175+L175</f>
        <v>3144148.59</v>
      </c>
      <c r="F175" s="90">
        <f aca="true" t="shared" si="31" ref="F175:L175">F169+F161+F22</f>
        <v>1870000</v>
      </c>
      <c r="G175" s="90">
        <f t="shared" si="31"/>
        <v>1166717.59</v>
      </c>
      <c r="H175" s="90">
        <f t="shared" si="31"/>
        <v>107431</v>
      </c>
      <c r="I175" s="90">
        <f t="shared" si="31"/>
        <v>0</v>
      </c>
      <c r="J175" s="90">
        <f t="shared" si="31"/>
        <v>0</v>
      </c>
      <c r="K175" s="90">
        <f t="shared" si="31"/>
        <v>0</v>
      </c>
      <c r="L175" s="91">
        <f t="shared" si="31"/>
        <v>0</v>
      </c>
      <c r="M175" s="312"/>
      <c r="N175" s="260"/>
      <c r="O175" s="260"/>
      <c r="P175" s="260"/>
      <c r="Q175" s="260"/>
      <c r="R175" s="260"/>
      <c r="S175" s="260"/>
      <c r="T175" s="260"/>
      <c r="U175" s="199"/>
    </row>
    <row r="176" spans="1:21" ht="13.5">
      <c r="A176" s="306"/>
      <c r="B176" s="309"/>
      <c r="C176" s="204"/>
      <c r="D176" s="20" t="s">
        <v>0</v>
      </c>
      <c r="E176" s="18">
        <f>F176+G176+H176+I176+J176+K176+L176</f>
        <v>0</v>
      </c>
      <c r="F176" s="90">
        <f aca="true" t="shared" si="32" ref="F176:L176">F170+F162</f>
        <v>0</v>
      </c>
      <c r="G176" s="90">
        <f t="shared" si="32"/>
        <v>0</v>
      </c>
      <c r="H176" s="90">
        <f t="shared" si="32"/>
        <v>0</v>
      </c>
      <c r="I176" s="90">
        <f t="shared" si="32"/>
        <v>0</v>
      </c>
      <c r="J176" s="90">
        <f t="shared" si="32"/>
        <v>0</v>
      </c>
      <c r="K176" s="90">
        <f t="shared" si="32"/>
        <v>0</v>
      </c>
      <c r="L176" s="91">
        <f t="shared" si="32"/>
        <v>0</v>
      </c>
      <c r="M176" s="312"/>
      <c r="N176" s="260"/>
      <c r="O176" s="260"/>
      <c r="P176" s="260"/>
      <c r="Q176" s="260"/>
      <c r="R176" s="260"/>
      <c r="S176" s="260"/>
      <c r="T176" s="260"/>
      <c r="U176" s="199"/>
    </row>
    <row r="177" spans="1:21" ht="13.5">
      <c r="A177" s="306"/>
      <c r="B177" s="309"/>
      <c r="C177" s="204"/>
      <c r="D177" s="20" t="s">
        <v>1</v>
      </c>
      <c r="E177" s="18">
        <f>F177+G177+H177+I177+J177+K177+L177</f>
        <v>0</v>
      </c>
      <c r="F177" s="90">
        <v>0</v>
      </c>
      <c r="G177" s="90">
        <v>0</v>
      </c>
      <c r="H177" s="90">
        <v>0</v>
      </c>
      <c r="I177" s="90">
        <v>0</v>
      </c>
      <c r="J177" s="90">
        <v>0</v>
      </c>
      <c r="K177" s="90">
        <v>0</v>
      </c>
      <c r="L177" s="91">
        <v>0</v>
      </c>
      <c r="M177" s="312"/>
      <c r="N177" s="260"/>
      <c r="O177" s="260"/>
      <c r="P177" s="260"/>
      <c r="Q177" s="260"/>
      <c r="R177" s="260"/>
      <c r="S177" s="260"/>
      <c r="T177" s="260"/>
      <c r="U177" s="199"/>
    </row>
    <row r="178" spans="1:21" ht="13.5">
      <c r="A178" s="307"/>
      <c r="B178" s="310"/>
      <c r="C178" s="204"/>
      <c r="D178" s="20" t="s">
        <v>3</v>
      </c>
      <c r="E178" s="18">
        <f>F178+G178+H178+I178+J178+K178+L178</f>
        <v>0</v>
      </c>
      <c r="F178" s="90">
        <f aca="true" t="shared" si="33" ref="F178:L178">F172+F164</f>
        <v>0</v>
      </c>
      <c r="G178" s="90">
        <f t="shared" si="33"/>
        <v>0</v>
      </c>
      <c r="H178" s="90">
        <f t="shared" si="33"/>
        <v>0</v>
      </c>
      <c r="I178" s="90">
        <f t="shared" si="33"/>
        <v>0</v>
      </c>
      <c r="J178" s="90">
        <f t="shared" si="33"/>
        <v>0</v>
      </c>
      <c r="K178" s="90">
        <f t="shared" si="33"/>
        <v>0</v>
      </c>
      <c r="L178" s="91">
        <f t="shared" si="33"/>
        <v>0</v>
      </c>
      <c r="M178" s="313"/>
      <c r="N178" s="261"/>
      <c r="O178" s="261"/>
      <c r="P178" s="261"/>
      <c r="Q178" s="261"/>
      <c r="R178" s="261"/>
      <c r="S178" s="261"/>
      <c r="T178" s="261"/>
      <c r="U178" s="200"/>
    </row>
    <row r="187" ht="12.75">
      <c r="H187" s="22"/>
    </row>
    <row r="188" ht="12.75">
      <c r="H188" s="22"/>
    </row>
  </sheetData>
  <sheetProtection/>
  <mergeCells count="197"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D15:L15"/>
    <mergeCell ref="A20:A25"/>
    <mergeCell ref="B20:B25"/>
    <mergeCell ref="C20:C25"/>
    <mergeCell ref="M20:M25"/>
    <mergeCell ref="N20:N25"/>
    <mergeCell ref="O20:O25"/>
    <mergeCell ref="P20:P25"/>
    <mergeCell ref="Q20:Q25"/>
    <mergeCell ref="R20:R25"/>
    <mergeCell ref="S20:S25"/>
    <mergeCell ref="T20:T25"/>
    <mergeCell ref="U20:U25"/>
    <mergeCell ref="D21:L21"/>
    <mergeCell ref="B26:U26"/>
    <mergeCell ref="A27:A32"/>
    <mergeCell ref="B27:B32"/>
    <mergeCell ref="C27:C32"/>
    <mergeCell ref="M27:M40"/>
    <mergeCell ref="N27:N39"/>
    <mergeCell ref="O27:O39"/>
    <mergeCell ref="D28:L28"/>
    <mergeCell ref="A33:A38"/>
    <mergeCell ref="B33:B38"/>
    <mergeCell ref="C33:C38"/>
    <mergeCell ref="P27:P40"/>
    <mergeCell ref="Q27:Q39"/>
    <mergeCell ref="R27:R40"/>
    <mergeCell ref="S27:S39"/>
    <mergeCell ref="T27:T40"/>
    <mergeCell ref="U27:U41"/>
    <mergeCell ref="D34:L34"/>
    <mergeCell ref="A39:A44"/>
    <mergeCell ref="B39:B44"/>
    <mergeCell ref="C39:C44"/>
    <mergeCell ref="D40:L40"/>
    <mergeCell ref="A45:A50"/>
    <mergeCell ref="B45:B50"/>
    <mergeCell ref="C45:C50"/>
    <mergeCell ref="D46:L46"/>
    <mergeCell ref="A51:A56"/>
    <mergeCell ref="B51:B56"/>
    <mergeCell ref="C51:C56"/>
    <mergeCell ref="D52:L52"/>
    <mergeCell ref="A57:A62"/>
    <mergeCell ref="B57:B62"/>
    <mergeCell ref="C57:C62"/>
    <mergeCell ref="D58:L58"/>
    <mergeCell ref="A63:A68"/>
    <mergeCell ref="B63:B68"/>
    <mergeCell ref="C63:C68"/>
    <mergeCell ref="D64:L64"/>
    <mergeCell ref="A69:A74"/>
    <mergeCell ref="B69:B74"/>
    <mergeCell ref="C69:C74"/>
    <mergeCell ref="D70:L70"/>
    <mergeCell ref="A75:A80"/>
    <mergeCell ref="B75:B80"/>
    <mergeCell ref="C75:C80"/>
    <mergeCell ref="D76:L76"/>
    <mergeCell ref="A81:A86"/>
    <mergeCell ref="B81:B86"/>
    <mergeCell ref="C81:C86"/>
    <mergeCell ref="D82:L82"/>
    <mergeCell ref="A87:A92"/>
    <mergeCell ref="B87:B92"/>
    <mergeCell ref="C87:C92"/>
    <mergeCell ref="D88:L88"/>
    <mergeCell ref="A93:A98"/>
    <mergeCell ref="B93:B98"/>
    <mergeCell ref="C93:C98"/>
    <mergeCell ref="D94:L94"/>
    <mergeCell ref="U95:U107"/>
    <mergeCell ref="A99:A104"/>
    <mergeCell ref="B99:B104"/>
    <mergeCell ref="C99:C104"/>
    <mergeCell ref="D100:L100"/>
    <mergeCell ref="A105:A110"/>
    <mergeCell ref="B105:B110"/>
    <mergeCell ref="C105:C110"/>
    <mergeCell ref="D106:L106"/>
    <mergeCell ref="A111:A116"/>
    <mergeCell ref="B111:B116"/>
    <mergeCell ref="C111:C116"/>
    <mergeCell ref="D112:L112"/>
    <mergeCell ref="A117:A122"/>
    <mergeCell ref="B117:B122"/>
    <mergeCell ref="C117:C122"/>
    <mergeCell ref="D118:L118"/>
    <mergeCell ref="A123:A128"/>
    <mergeCell ref="B123:B128"/>
    <mergeCell ref="C123:C128"/>
    <mergeCell ref="D124:L124"/>
    <mergeCell ref="A129:A134"/>
    <mergeCell ref="B129:B134"/>
    <mergeCell ref="C129:C134"/>
    <mergeCell ref="D130:L130"/>
    <mergeCell ref="A135:A140"/>
    <mergeCell ref="B135:B140"/>
    <mergeCell ref="C135:C140"/>
    <mergeCell ref="D136:L136"/>
    <mergeCell ref="A141:A146"/>
    <mergeCell ref="B141:B146"/>
    <mergeCell ref="C141:C146"/>
    <mergeCell ref="D142:L142"/>
    <mergeCell ref="A147:A152"/>
    <mergeCell ref="B147:B152"/>
    <mergeCell ref="C147:C152"/>
    <mergeCell ref="D148:L148"/>
    <mergeCell ref="A153:A158"/>
    <mergeCell ref="B153:B158"/>
    <mergeCell ref="C153:C158"/>
    <mergeCell ref="D154:L154"/>
    <mergeCell ref="A159:A165"/>
    <mergeCell ref="B159:B165"/>
    <mergeCell ref="C159:C165"/>
    <mergeCell ref="M159:M164"/>
    <mergeCell ref="N159:N164"/>
    <mergeCell ref="O159:O164"/>
    <mergeCell ref="D160:L160"/>
    <mergeCell ref="D164:D165"/>
    <mergeCell ref="E164:E165"/>
    <mergeCell ref="F164:F165"/>
    <mergeCell ref="P159:P164"/>
    <mergeCell ref="Q159:Q164"/>
    <mergeCell ref="R159:R164"/>
    <mergeCell ref="S159:S164"/>
    <mergeCell ref="T159:T164"/>
    <mergeCell ref="U159:U165"/>
    <mergeCell ref="G164:G165"/>
    <mergeCell ref="H164:H165"/>
    <mergeCell ref="I164:I165"/>
    <mergeCell ref="J164:J165"/>
    <mergeCell ref="K164:K165"/>
    <mergeCell ref="L164:L165"/>
    <mergeCell ref="B166:U166"/>
    <mergeCell ref="A167:A172"/>
    <mergeCell ref="B167:B172"/>
    <mergeCell ref="C167:C172"/>
    <mergeCell ref="M167:M172"/>
    <mergeCell ref="N167:N172"/>
    <mergeCell ref="O167:O172"/>
    <mergeCell ref="P167:P172"/>
    <mergeCell ref="Q167:Q172"/>
    <mergeCell ref="R167:R172"/>
    <mergeCell ref="U173:U178"/>
    <mergeCell ref="S167:S172"/>
    <mergeCell ref="T167:T172"/>
    <mergeCell ref="U167:U172"/>
    <mergeCell ref="D168:L168"/>
    <mergeCell ref="A173:A178"/>
    <mergeCell ref="B173:B178"/>
    <mergeCell ref="C173:C178"/>
    <mergeCell ref="M173:M178"/>
    <mergeCell ref="N173:N178"/>
    <mergeCell ref="D174:L174"/>
    <mergeCell ref="P173:P178"/>
    <mergeCell ref="Q173:Q178"/>
    <mergeCell ref="R173:R178"/>
    <mergeCell ref="S173:S178"/>
    <mergeCell ref="T173:T178"/>
    <mergeCell ref="O173:O17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SheetLayoutView="115" zoomScalePageLayoutView="0" workbookViewId="0" topLeftCell="C16">
      <selection activeCell="B12" sqref="B12"/>
    </sheetView>
  </sheetViews>
  <sheetFormatPr defaultColWidth="9.140625" defaultRowHeight="15"/>
  <cols>
    <col min="1" max="1" width="22.28125" style="23" customWidth="1"/>
    <col min="2" max="2" width="16.28125" style="23" customWidth="1"/>
    <col min="3" max="3" width="13.8515625" style="23" customWidth="1"/>
    <col min="4" max="4" width="13.8515625" style="23" bestFit="1" customWidth="1"/>
    <col min="5" max="5" width="12.7109375" style="23" customWidth="1"/>
    <col min="6" max="6" width="14.57421875" style="23" customWidth="1"/>
    <col min="7" max="8" width="13.00390625" style="23" customWidth="1"/>
    <col min="9" max="9" width="14.7109375" style="23" customWidth="1"/>
    <col min="10" max="16384" width="9.140625" style="23" customWidth="1"/>
  </cols>
  <sheetData>
    <row r="1" spans="1:9" ht="15.75">
      <c r="A1" s="92"/>
      <c r="B1" s="92"/>
      <c r="C1" s="92"/>
      <c r="D1" s="92"/>
      <c r="E1" s="39"/>
      <c r="F1" s="92"/>
      <c r="G1" s="358" t="s">
        <v>212</v>
      </c>
      <c r="H1" s="358"/>
      <c r="I1" s="358"/>
    </row>
    <row r="2" spans="1:9" ht="15.75">
      <c r="A2" s="92"/>
      <c r="B2" s="92"/>
      <c r="C2" s="92"/>
      <c r="D2" s="92"/>
      <c r="E2" s="92"/>
      <c r="F2" s="92"/>
      <c r="G2" s="92"/>
      <c r="H2" s="92"/>
      <c r="I2" s="92"/>
    </row>
    <row r="3" spans="1:9" ht="31.5" customHeight="1">
      <c r="A3" s="359" t="s">
        <v>213</v>
      </c>
      <c r="B3" s="359"/>
      <c r="C3" s="359"/>
      <c r="D3" s="359"/>
      <c r="E3" s="359"/>
      <c r="F3" s="359"/>
      <c r="G3" s="359"/>
      <c r="H3" s="359"/>
      <c r="I3" s="359"/>
    </row>
    <row r="4" spans="1:9" ht="15.75">
      <c r="A4" s="92"/>
      <c r="B4" s="92"/>
      <c r="C4" s="92"/>
      <c r="D4" s="92"/>
      <c r="E4" s="92"/>
      <c r="F4" s="92"/>
      <c r="G4" s="92"/>
      <c r="H4" s="92"/>
      <c r="I4" s="92"/>
    </row>
    <row r="5" spans="1:9" ht="15.75">
      <c r="A5" s="360" t="s">
        <v>10</v>
      </c>
      <c r="B5" s="362" t="s">
        <v>11</v>
      </c>
      <c r="C5" s="364" t="s">
        <v>12</v>
      </c>
      <c r="D5" s="364"/>
      <c r="E5" s="364"/>
      <c r="F5" s="364"/>
      <c r="G5" s="364"/>
      <c r="H5" s="364"/>
      <c r="I5" s="364"/>
    </row>
    <row r="6" spans="1:9" ht="15.75">
      <c r="A6" s="361"/>
      <c r="B6" s="363"/>
      <c r="C6" s="95">
        <v>2014</v>
      </c>
      <c r="D6" s="95">
        <v>2015</v>
      </c>
      <c r="E6" s="95">
        <v>2016</v>
      </c>
      <c r="F6" s="95">
        <v>2017</v>
      </c>
      <c r="G6" s="95">
        <v>2018</v>
      </c>
      <c r="H6" s="95">
        <v>2019</v>
      </c>
      <c r="I6" s="96">
        <v>2020</v>
      </c>
    </row>
    <row r="7" spans="1:9" ht="15.75">
      <c r="A7" s="93">
        <v>1</v>
      </c>
      <c r="B7" s="94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6">
        <v>9</v>
      </c>
    </row>
    <row r="8" spans="1:9" ht="15.75">
      <c r="A8" s="97" t="s">
        <v>214</v>
      </c>
      <c r="B8" s="98">
        <f>B10+B11+B12+B13</f>
        <v>50632087.230000004</v>
      </c>
      <c r="C8" s="98">
        <f aca="true" t="shared" si="0" ref="C8:I8">C10+C11+C12+C13</f>
        <v>6425947.24</v>
      </c>
      <c r="D8" s="98">
        <f t="shared" si="0"/>
        <v>8655664.55</v>
      </c>
      <c r="E8" s="98">
        <f t="shared" si="0"/>
        <v>938357</v>
      </c>
      <c r="F8" s="98">
        <f t="shared" si="0"/>
        <v>20900918.44</v>
      </c>
      <c r="G8" s="98">
        <f t="shared" si="0"/>
        <v>13711200</v>
      </c>
      <c r="H8" s="98">
        <f t="shared" si="0"/>
        <v>0</v>
      </c>
      <c r="I8" s="98">
        <f t="shared" si="0"/>
        <v>0</v>
      </c>
    </row>
    <row r="9" spans="1:9" ht="15.75">
      <c r="A9" s="355" t="s">
        <v>13</v>
      </c>
      <c r="B9" s="356"/>
      <c r="C9" s="356"/>
      <c r="D9" s="356"/>
      <c r="E9" s="356"/>
      <c r="F9" s="356"/>
      <c r="G9" s="356"/>
      <c r="H9" s="356"/>
      <c r="I9" s="357"/>
    </row>
    <row r="10" spans="1:9" ht="17.25" customHeight="1">
      <c r="A10" s="99" t="s">
        <v>14</v>
      </c>
      <c r="B10" s="100">
        <f>C10+D10+E10+F10+G10+H10+I10</f>
        <v>39798487.230000004</v>
      </c>
      <c r="C10" s="101">
        <f>C17</f>
        <v>6425947.24</v>
      </c>
      <c r="D10" s="101">
        <f>D17</f>
        <v>7543264.55</v>
      </c>
      <c r="E10" s="101">
        <f>E17</f>
        <v>938357</v>
      </c>
      <c r="F10" s="101">
        <f>F17</f>
        <v>20900918.44</v>
      </c>
      <c r="G10" s="101">
        <f>G17</f>
        <v>3990000</v>
      </c>
      <c r="H10" s="101">
        <v>0</v>
      </c>
      <c r="I10" s="101">
        <v>0</v>
      </c>
    </row>
    <row r="11" spans="1:9" ht="30" customHeight="1">
      <c r="A11" s="99" t="s">
        <v>15</v>
      </c>
      <c r="B11" s="100">
        <f>C11+D11+E11+F11+G11+H11+I11</f>
        <v>9721200</v>
      </c>
      <c r="C11" s="101">
        <f>C18</f>
        <v>0</v>
      </c>
      <c r="D11" s="101">
        <f aca="true" t="shared" si="1" ref="D11:I12">D18</f>
        <v>0</v>
      </c>
      <c r="E11" s="101">
        <f t="shared" si="1"/>
        <v>0</v>
      </c>
      <c r="F11" s="101">
        <f t="shared" si="1"/>
        <v>0</v>
      </c>
      <c r="G11" s="101">
        <f t="shared" si="1"/>
        <v>9721200</v>
      </c>
      <c r="H11" s="101">
        <f t="shared" si="1"/>
        <v>0</v>
      </c>
      <c r="I11" s="101">
        <f t="shared" si="1"/>
        <v>0</v>
      </c>
    </row>
    <row r="12" spans="1:9" ht="30" customHeight="1">
      <c r="A12" s="99" t="s">
        <v>16</v>
      </c>
      <c r="B12" s="100">
        <f>C12+D12+E12+F12+G12+H12+I12</f>
        <v>1112400</v>
      </c>
      <c r="C12" s="101">
        <f>C19</f>
        <v>0</v>
      </c>
      <c r="D12" s="101">
        <f t="shared" si="1"/>
        <v>1112400</v>
      </c>
      <c r="E12" s="101">
        <f t="shared" si="1"/>
        <v>0</v>
      </c>
      <c r="F12" s="101">
        <f t="shared" si="1"/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</row>
    <row r="13" spans="1:9" ht="30" customHeight="1">
      <c r="A13" s="99" t="s">
        <v>17</v>
      </c>
      <c r="B13" s="100">
        <f>C13+D13+E13+F13+G13+H13+I13</f>
        <v>0</v>
      </c>
      <c r="C13" s="101">
        <f>+C20</f>
        <v>0</v>
      </c>
      <c r="D13" s="101">
        <f aca="true" t="shared" si="2" ref="D13:I13">+D20</f>
        <v>0</v>
      </c>
      <c r="E13" s="101">
        <f t="shared" si="2"/>
        <v>0</v>
      </c>
      <c r="F13" s="101">
        <f t="shared" si="2"/>
        <v>0</v>
      </c>
      <c r="G13" s="101">
        <f t="shared" si="2"/>
        <v>0</v>
      </c>
      <c r="H13" s="101">
        <f t="shared" si="2"/>
        <v>0</v>
      </c>
      <c r="I13" s="101">
        <f t="shared" si="2"/>
        <v>0</v>
      </c>
    </row>
    <row r="14" spans="1:9" ht="15.75">
      <c r="A14" s="352" t="s">
        <v>18</v>
      </c>
      <c r="B14" s="353"/>
      <c r="C14" s="353"/>
      <c r="D14" s="353"/>
      <c r="E14" s="353"/>
      <c r="F14" s="353"/>
      <c r="G14" s="353"/>
      <c r="H14" s="353"/>
      <c r="I14" s="354"/>
    </row>
    <row r="15" spans="1:9" ht="90" customHeight="1">
      <c r="A15" s="102" t="s">
        <v>30</v>
      </c>
      <c r="B15" s="98">
        <f>B17+B18+B19+B20</f>
        <v>50632087.230000004</v>
      </c>
      <c r="C15" s="98">
        <f aca="true" t="shared" si="3" ref="C15:I15">C17+C18+C19+C20</f>
        <v>6425947.24</v>
      </c>
      <c r="D15" s="98">
        <f t="shared" si="3"/>
        <v>8655664.55</v>
      </c>
      <c r="E15" s="98">
        <f t="shared" si="3"/>
        <v>938357</v>
      </c>
      <c r="F15" s="98">
        <f t="shared" si="3"/>
        <v>20900918.44</v>
      </c>
      <c r="G15" s="98">
        <f t="shared" si="3"/>
        <v>13711200</v>
      </c>
      <c r="H15" s="98">
        <f t="shared" si="3"/>
        <v>0</v>
      </c>
      <c r="I15" s="98">
        <f t="shared" si="3"/>
        <v>0</v>
      </c>
    </row>
    <row r="16" spans="1:9" ht="15.75">
      <c r="A16" s="355" t="s">
        <v>13</v>
      </c>
      <c r="B16" s="356"/>
      <c r="C16" s="356"/>
      <c r="D16" s="356"/>
      <c r="E16" s="356"/>
      <c r="F16" s="356"/>
      <c r="G16" s="356"/>
      <c r="H16" s="356"/>
      <c r="I16" s="357"/>
    </row>
    <row r="17" spans="1:9" ht="21.75" customHeight="1">
      <c r="A17" s="99" t="s">
        <v>14</v>
      </c>
      <c r="B17" s="100">
        <f>C17+D17+E17+F17+G17+H17+I17</f>
        <v>39798487.230000004</v>
      </c>
      <c r="C17" s="101">
        <f>'[4]табл.3'!F53</f>
        <v>6425947.24</v>
      </c>
      <c r="D17" s="101">
        <f>'[4]табл.3'!G53</f>
        <v>7543264.55</v>
      </c>
      <c r="E17" s="101">
        <f>'[4]табл.3'!H53</f>
        <v>938357</v>
      </c>
      <c r="F17" s="101">
        <f>'[4]табл.3'!I53</f>
        <v>20900918.44</v>
      </c>
      <c r="G17" s="101">
        <f>'табл.3 (5)'!J53</f>
        <v>3990000</v>
      </c>
      <c r="H17" s="101">
        <f>'[4]табл.3'!K53</f>
        <v>0</v>
      </c>
      <c r="I17" s="101">
        <f>'[4]табл.3'!L53</f>
        <v>0</v>
      </c>
    </row>
    <row r="18" spans="1:9" ht="26.25" customHeight="1">
      <c r="A18" s="99" t="s">
        <v>15</v>
      </c>
      <c r="B18" s="100">
        <f>C18+D18+E18+F18+G18+H18+I18</f>
        <v>9721200</v>
      </c>
      <c r="C18" s="101">
        <f>'[4]табл.3'!F54</f>
        <v>0</v>
      </c>
      <c r="D18" s="101">
        <f>'[4]табл.3'!G54</f>
        <v>0</v>
      </c>
      <c r="E18" s="101">
        <f>'[4]табл.3'!H54</f>
        <v>0</v>
      </c>
      <c r="F18" s="101">
        <f>'[4]табл.3'!I54</f>
        <v>0</v>
      </c>
      <c r="G18" s="101">
        <f>'табл.3 (5)'!J54</f>
        <v>9721200</v>
      </c>
      <c r="H18" s="101">
        <f>'[4]табл.3'!K54</f>
        <v>0</v>
      </c>
      <c r="I18" s="101">
        <f>'[4]табл.3'!L54</f>
        <v>0</v>
      </c>
    </row>
    <row r="19" spans="1:9" ht="42.75" customHeight="1">
      <c r="A19" s="99" t="s">
        <v>16</v>
      </c>
      <c r="B19" s="100">
        <f>C19+D19+E19+F19+G19+H19+I19</f>
        <v>1112400</v>
      </c>
      <c r="C19" s="101">
        <f>'[4]табл.3'!F55</f>
        <v>0</v>
      </c>
      <c r="D19" s="101">
        <f>'[4]табл.3'!G55</f>
        <v>1112400</v>
      </c>
      <c r="E19" s="101">
        <f>'[4]табл.3'!H55</f>
        <v>0</v>
      </c>
      <c r="F19" s="101">
        <f>'[4]табл.3'!I55</f>
        <v>0</v>
      </c>
      <c r="G19" s="101">
        <f>'[4]табл.3'!J55</f>
        <v>0</v>
      </c>
      <c r="H19" s="101">
        <f>'[4]табл.3'!K55</f>
        <v>0</v>
      </c>
      <c r="I19" s="101">
        <f>'[4]табл.3'!L55</f>
        <v>0</v>
      </c>
    </row>
    <row r="20" spans="1:9" ht="30" customHeight="1">
      <c r="A20" s="99" t="s">
        <v>17</v>
      </c>
      <c r="B20" s="100">
        <f>C20+D20+E20+F20+G20+H20+I20</f>
        <v>0</v>
      </c>
      <c r="C20" s="101">
        <f>'[4]табл.3'!F56</f>
        <v>0</v>
      </c>
      <c r="D20" s="101">
        <f>'[4]табл.3'!G56</f>
        <v>0</v>
      </c>
      <c r="E20" s="101">
        <f>'[4]табл.3'!H56</f>
        <v>0</v>
      </c>
      <c r="F20" s="101">
        <f>'[4]табл.3'!I56</f>
        <v>0</v>
      </c>
      <c r="G20" s="101">
        <f>'[4]табл.3'!J56</f>
        <v>0</v>
      </c>
      <c r="H20" s="101">
        <f>'[4]табл.3'!K56</f>
        <v>0</v>
      </c>
      <c r="I20" s="101">
        <f>'[4]табл.3'!L56</f>
        <v>0</v>
      </c>
    </row>
  </sheetData>
  <sheetProtection/>
  <mergeCells count="8">
    <mergeCell ref="A14:I14"/>
    <mergeCell ref="A16:I16"/>
    <mergeCell ref="G1:I1"/>
    <mergeCell ref="A3:I3"/>
    <mergeCell ref="A5:A6"/>
    <mergeCell ref="B5:B6"/>
    <mergeCell ref="C5:I5"/>
    <mergeCell ref="A9:I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84" zoomScaleNormal="84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55" sqref="J55"/>
    </sheetView>
  </sheetViews>
  <sheetFormatPr defaultColWidth="9.140625" defaultRowHeight="15"/>
  <cols>
    <col min="1" max="1" width="5.00390625" style="10" customWidth="1"/>
    <col min="2" max="2" width="48.421875" style="10" customWidth="1"/>
    <col min="3" max="3" width="10.8515625" style="10" customWidth="1"/>
    <col min="4" max="4" width="10.00390625" style="10" customWidth="1"/>
    <col min="5" max="5" width="13.7109375" style="10" customWidth="1"/>
    <col min="6" max="6" width="11.8515625" style="10" bestFit="1" customWidth="1"/>
    <col min="7" max="7" width="13.140625" style="10" customWidth="1"/>
    <col min="8" max="8" width="12.57421875" style="10" customWidth="1"/>
    <col min="9" max="9" width="14.7109375" style="10" customWidth="1"/>
    <col min="10" max="10" width="12.57421875" style="10" customWidth="1"/>
    <col min="11" max="12" width="7.421875" style="10" bestFit="1" customWidth="1"/>
    <col min="13" max="13" width="16.140625" style="10" customWidth="1"/>
    <col min="14" max="14" width="6.7109375" style="10" customWidth="1"/>
    <col min="15" max="15" width="7.421875" style="10" bestFit="1" customWidth="1"/>
    <col min="16" max="16" width="8.28125" style="10" customWidth="1"/>
    <col min="17" max="17" width="8.8515625" style="10" customWidth="1"/>
    <col min="18" max="18" width="8.57421875" style="10" customWidth="1"/>
    <col min="19" max="19" width="8.7109375" style="10" customWidth="1"/>
    <col min="20" max="20" width="7.421875" style="10" bestFit="1" customWidth="1"/>
    <col min="21" max="21" width="20.140625" style="10" customWidth="1"/>
    <col min="22" max="16384" width="9.140625" style="10" customWidth="1"/>
  </cols>
  <sheetData>
    <row r="1" ht="12.75">
      <c r="U1" s="103" t="s">
        <v>215</v>
      </c>
    </row>
    <row r="2" spans="1:21" ht="12.75">
      <c r="A2" s="377" t="s">
        <v>216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</row>
    <row r="3" spans="1:21" ht="40.5" customHeight="1">
      <c r="A3" s="216" t="s">
        <v>7</v>
      </c>
      <c r="B3" s="216" t="s">
        <v>19</v>
      </c>
      <c r="C3" s="216" t="s">
        <v>20</v>
      </c>
      <c r="D3" s="216" t="s">
        <v>10</v>
      </c>
      <c r="E3" s="216" t="s">
        <v>27</v>
      </c>
      <c r="F3" s="216"/>
      <c r="G3" s="216"/>
      <c r="H3" s="216"/>
      <c r="I3" s="216"/>
      <c r="J3" s="216"/>
      <c r="K3" s="216"/>
      <c r="L3" s="216"/>
      <c r="M3" s="216" t="s">
        <v>56</v>
      </c>
      <c r="N3" s="216"/>
      <c r="O3" s="216"/>
      <c r="P3" s="216"/>
      <c r="Q3" s="216"/>
      <c r="R3" s="216"/>
      <c r="S3" s="216"/>
      <c r="T3" s="216"/>
      <c r="U3" s="378" t="s">
        <v>28</v>
      </c>
    </row>
    <row r="4" spans="1:21" ht="26.25" customHeight="1">
      <c r="A4" s="216"/>
      <c r="B4" s="216"/>
      <c r="C4" s="216"/>
      <c r="D4" s="216"/>
      <c r="E4" s="11" t="s">
        <v>4</v>
      </c>
      <c r="F4" s="2" t="s">
        <v>9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8</v>
      </c>
      <c r="N4" s="2">
        <v>2014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379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314" t="s">
        <v>217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6"/>
    </row>
    <row r="7" spans="1:21" ht="12.75">
      <c r="A7" s="12">
        <v>1</v>
      </c>
      <c r="B7" s="314" t="s">
        <v>218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6"/>
    </row>
    <row r="8" spans="1:21" ht="12.75">
      <c r="A8" s="172" t="s">
        <v>5</v>
      </c>
      <c r="B8" s="375" t="s">
        <v>219</v>
      </c>
      <c r="C8" s="178" t="s">
        <v>220</v>
      </c>
      <c r="D8" s="104" t="s">
        <v>4</v>
      </c>
      <c r="E8" s="63">
        <f>E10+E11+E12+E13</f>
        <v>1032882.8300000001</v>
      </c>
      <c r="F8" s="63">
        <f aca="true" t="shared" si="0" ref="F8:L8">F10+F11+F12+F13</f>
        <v>988642.8300000001</v>
      </c>
      <c r="G8" s="63">
        <f t="shared" si="0"/>
        <v>9280</v>
      </c>
      <c r="H8" s="63">
        <f t="shared" si="0"/>
        <v>34960</v>
      </c>
      <c r="I8" s="63">
        <f t="shared" si="0"/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166" t="s">
        <v>221</v>
      </c>
      <c r="N8" s="239">
        <v>100</v>
      </c>
      <c r="O8" s="283">
        <v>100</v>
      </c>
      <c r="P8" s="283">
        <v>100</v>
      </c>
      <c r="Q8" s="283">
        <v>0</v>
      </c>
      <c r="R8" s="283">
        <v>0</v>
      </c>
      <c r="S8" s="283">
        <v>0</v>
      </c>
      <c r="T8" s="283">
        <v>0</v>
      </c>
      <c r="U8" s="166" t="s">
        <v>209</v>
      </c>
    </row>
    <row r="9" spans="1:21" ht="12.75">
      <c r="A9" s="371"/>
      <c r="B9" s="375"/>
      <c r="C9" s="371"/>
      <c r="D9" s="180" t="s">
        <v>29</v>
      </c>
      <c r="E9" s="181"/>
      <c r="F9" s="181"/>
      <c r="G9" s="181"/>
      <c r="H9" s="181"/>
      <c r="I9" s="181"/>
      <c r="J9" s="181"/>
      <c r="K9" s="181"/>
      <c r="L9" s="182"/>
      <c r="M9" s="159"/>
      <c r="N9" s="240"/>
      <c r="O9" s="240"/>
      <c r="P9" s="240"/>
      <c r="Q9" s="240"/>
      <c r="R9" s="240"/>
      <c r="S9" s="240"/>
      <c r="T9" s="240"/>
      <c r="U9" s="167"/>
    </row>
    <row r="10" spans="1:21" ht="12.75">
      <c r="A10" s="371"/>
      <c r="B10" s="375"/>
      <c r="C10" s="371"/>
      <c r="D10" s="15" t="s">
        <v>2</v>
      </c>
      <c r="E10" s="16">
        <f>F10+G10+H10+I10+J10+K10+L10</f>
        <v>1032882.8300000001</v>
      </c>
      <c r="F10" s="16">
        <f>371220.8+617422.03</f>
        <v>988642.8300000001</v>
      </c>
      <c r="G10" s="16">
        <v>9280</v>
      </c>
      <c r="H10" s="16">
        <v>34960</v>
      </c>
      <c r="I10" s="16">
        <v>0</v>
      </c>
      <c r="J10" s="16">
        <v>0</v>
      </c>
      <c r="K10" s="16">
        <v>0</v>
      </c>
      <c r="L10" s="16">
        <v>0</v>
      </c>
      <c r="M10" s="159"/>
      <c r="N10" s="240"/>
      <c r="O10" s="240"/>
      <c r="P10" s="240"/>
      <c r="Q10" s="240"/>
      <c r="R10" s="240"/>
      <c r="S10" s="240"/>
      <c r="T10" s="240"/>
      <c r="U10" s="167"/>
    </row>
    <row r="11" spans="1:21" ht="12.75">
      <c r="A11" s="371"/>
      <c r="B11" s="375"/>
      <c r="C11" s="371"/>
      <c r="D11" s="15" t="s">
        <v>0</v>
      </c>
      <c r="E11" s="16">
        <f>F11+G11+H11+I11+J11+K11+L11</f>
        <v>0</v>
      </c>
      <c r="F11" s="16"/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59"/>
      <c r="N11" s="240"/>
      <c r="O11" s="240"/>
      <c r="P11" s="240"/>
      <c r="Q11" s="240"/>
      <c r="R11" s="240"/>
      <c r="S11" s="240"/>
      <c r="T11" s="240"/>
      <c r="U11" s="167"/>
    </row>
    <row r="12" spans="1:21" ht="12.75">
      <c r="A12" s="371"/>
      <c r="B12" s="375"/>
      <c r="C12" s="371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59"/>
      <c r="N12" s="240"/>
      <c r="O12" s="240"/>
      <c r="P12" s="240"/>
      <c r="Q12" s="240"/>
      <c r="R12" s="240"/>
      <c r="S12" s="240"/>
      <c r="T12" s="240"/>
      <c r="U12" s="167"/>
    </row>
    <row r="13" spans="1:21" ht="48" customHeight="1">
      <c r="A13" s="372"/>
      <c r="B13" s="376"/>
      <c r="C13" s="372"/>
      <c r="D13" s="15" t="s">
        <v>3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28"/>
      <c r="N13" s="241"/>
      <c r="O13" s="241"/>
      <c r="P13" s="241"/>
      <c r="Q13" s="241"/>
      <c r="R13" s="241"/>
      <c r="S13" s="241"/>
      <c r="T13" s="241"/>
      <c r="U13" s="167"/>
    </row>
    <row r="14" spans="1:21" ht="12.75">
      <c r="A14" s="171" t="s">
        <v>89</v>
      </c>
      <c r="B14" s="374" t="s">
        <v>222</v>
      </c>
      <c r="C14" s="177" t="s">
        <v>220</v>
      </c>
      <c r="D14" s="15" t="s">
        <v>4</v>
      </c>
      <c r="E14" s="16">
        <f>E16+E17+E18+E19</f>
        <v>44850075.34</v>
      </c>
      <c r="F14" s="16">
        <f aca="true" t="shared" si="1" ref="F14:L14">F16+F17+F18+F19</f>
        <v>1591572.35</v>
      </c>
      <c r="G14" s="16">
        <f t="shared" si="1"/>
        <v>8646384.55</v>
      </c>
      <c r="H14" s="16">
        <f t="shared" si="1"/>
        <v>0</v>
      </c>
      <c r="I14" s="16">
        <f t="shared" si="1"/>
        <v>20900918.44</v>
      </c>
      <c r="J14" s="16">
        <f t="shared" si="1"/>
        <v>13711200</v>
      </c>
      <c r="K14" s="16">
        <f t="shared" si="1"/>
        <v>0</v>
      </c>
      <c r="L14" s="16">
        <f t="shared" si="1"/>
        <v>0</v>
      </c>
      <c r="M14" s="166" t="s">
        <v>221</v>
      </c>
      <c r="N14" s="239">
        <v>100</v>
      </c>
      <c r="O14" s="283">
        <v>100</v>
      </c>
      <c r="P14" s="283">
        <v>0</v>
      </c>
      <c r="Q14" s="283">
        <v>100</v>
      </c>
      <c r="R14" s="283">
        <v>100</v>
      </c>
      <c r="S14" s="283">
        <v>0</v>
      </c>
      <c r="T14" s="283">
        <v>0</v>
      </c>
      <c r="U14" s="167"/>
    </row>
    <row r="15" spans="1:21" ht="12.75">
      <c r="A15" s="371"/>
      <c r="B15" s="375"/>
      <c r="C15" s="371"/>
      <c r="D15" s="180" t="s">
        <v>29</v>
      </c>
      <c r="E15" s="181"/>
      <c r="F15" s="181"/>
      <c r="G15" s="181"/>
      <c r="H15" s="181"/>
      <c r="I15" s="181"/>
      <c r="J15" s="181"/>
      <c r="K15" s="181"/>
      <c r="L15" s="182"/>
      <c r="M15" s="159"/>
      <c r="N15" s="240"/>
      <c r="O15" s="240"/>
      <c r="P15" s="240"/>
      <c r="Q15" s="240"/>
      <c r="R15" s="240"/>
      <c r="S15" s="240"/>
      <c r="T15" s="240"/>
      <c r="U15" s="167"/>
    </row>
    <row r="16" spans="1:21" ht="12.75">
      <c r="A16" s="371"/>
      <c r="B16" s="375"/>
      <c r="C16" s="371"/>
      <c r="D16" s="15" t="s">
        <v>2</v>
      </c>
      <c r="E16" s="16">
        <f>F16+G16+H16+I16+J16+K16+L16</f>
        <v>34016475.34</v>
      </c>
      <c r="F16" s="16">
        <v>1591572.35</v>
      </c>
      <c r="G16" s="16">
        <v>7533984.55</v>
      </c>
      <c r="H16" s="16">
        <v>0</v>
      </c>
      <c r="I16" s="16">
        <f>1598226.92+16922443.08+2380248.44</f>
        <v>20900918.44</v>
      </c>
      <c r="J16" s="16">
        <v>3990000</v>
      </c>
      <c r="K16" s="16">
        <v>0</v>
      </c>
      <c r="L16" s="16">
        <v>0</v>
      </c>
      <c r="M16" s="159"/>
      <c r="N16" s="240"/>
      <c r="O16" s="240"/>
      <c r="P16" s="240"/>
      <c r="Q16" s="240"/>
      <c r="R16" s="240"/>
      <c r="S16" s="240"/>
      <c r="T16" s="240"/>
      <c r="U16" s="167"/>
    </row>
    <row r="17" spans="1:21" ht="12.75">
      <c r="A17" s="371"/>
      <c r="B17" s="375"/>
      <c r="C17" s="371"/>
      <c r="D17" s="15" t="s">
        <v>0</v>
      </c>
      <c r="E17" s="16">
        <f>F17+G17+H17+I17+J17+K17+L17</f>
        <v>9721200</v>
      </c>
      <c r="F17" s="16">
        <v>0</v>
      </c>
      <c r="G17" s="16">
        <v>0</v>
      </c>
      <c r="H17" s="16">
        <v>0</v>
      </c>
      <c r="I17" s="16">
        <v>0</v>
      </c>
      <c r="J17" s="16">
        <v>9721200</v>
      </c>
      <c r="K17" s="16">
        <v>0</v>
      </c>
      <c r="L17" s="16">
        <v>0</v>
      </c>
      <c r="M17" s="159"/>
      <c r="N17" s="240"/>
      <c r="O17" s="240"/>
      <c r="P17" s="240"/>
      <c r="Q17" s="240"/>
      <c r="R17" s="240"/>
      <c r="S17" s="240"/>
      <c r="T17" s="240"/>
      <c r="U17" s="167"/>
    </row>
    <row r="18" spans="1:21" ht="12.75">
      <c r="A18" s="371"/>
      <c r="B18" s="375"/>
      <c r="C18" s="371"/>
      <c r="D18" s="15" t="s">
        <v>1</v>
      </c>
      <c r="E18" s="16">
        <f>F18+G18+H18+I18+J18+K18+L18</f>
        <v>1112400</v>
      </c>
      <c r="F18" s="16">
        <v>0</v>
      </c>
      <c r="G18" s="16">
        <v>1112400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59"/>
      <c r="N18" s="240"/>
      <c r="O18" s="240"/>
      <c r="P18" s="240"/>
      <c r="Q18" s="240"/>
      <c r="R18" s="240"/>
      <c r="S18" s="240"/>
      <c r="T18" s="240"/>
      <c r="U18" s="167"/>
    </row>
    <row r="19" spans="1:21" ht="12.75">
      <c r="A19" s="372"/>
      <c r="B19" s="376"/>
      <c r="C19" s="372"/>
      <c r="D19" s="15" t="s">
        <v>3</v>
      </c>
      <c r="E19" s="16">
        <f>F19+G19+H19+I19+J19+K19+L19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28"/>
      <c r="N19" s="241"/>
      <c r="O19" s="241"/>
      <c r="P19" s="241"/>
      <c r="Q19" s="241"/>
      <c r="R19" s="241"/>
      <c r="S19" s="241"/>
      <c r="T19" s="241"/>
      <c r="U19" s="167"/>
    </row>
    <row r="20" spans="1:21" ht="12.75">
      <c r="A20" s="171" t="s">
        <v>121</v>
      </c>
      <c r="B20" s="374" t="s">
        <v>223</v>
      </c>
      <c r="C20" s="177" t="s">
        <v>220</v>
      </c>
      <c r="D20" s="15" t="s">
        <v>4</v>
      </c>
      <c r="E20" s="16">
        <f>E22+E23+E24+E25</f>
        <v>386704</v>
      </c>
      <c r="F20" s="16">
        <f aca="true" t="shared" si="2" ref="F20:L20">F22+F23+F24+F25</f>
        <v>386704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6" t="s">
        <v>221</v>
      </c>
      <c r="N20" s="239">
        <v>100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3">
        <v>0</v>
      </c>
      <c r="U20" s="167"/>
    </row>
    <row r="21" spans="1:21" ht="12.75">
      <c r="A21" s="371"/>
      <c r="B21" s="375"/>
      <c r="C21" s="371"/>
      <c r="D21" s="180" t="s">
        <v>29</v>
      </c>
      <c r="E21" s="181"/>
      <c r="F21" s="181"/>
      <c r="G21" s="181"/>
      <c r="H21" s="181"/>
      <c r="I21" s="181"/>
      <c r="J21" s="181"/>
      <c r="K21" s="181"/>
      <c r="L21" s="182"/>
      <c r="M21" s="159"/>
      <c r="N21" s="240"/>
      <c r="O21" s="240"/>
      <c r="P21" s="240"/>
      <c r="Q21" s="240"/>
      <c r="R21" s="240"/>
      <c r="S21" s="240"/>
      <c r="T21" s="240"/>
      <c r="U21" s="167"/>
    </row>
    <row r="22" spans="1:21" ht="12.75">
      <c r="A22" s="371"/>
      <c r="B22" s="375"/>
      <c r="C22" s="371"/>
      <c r="D22" s="15" t="s">
        <v>2</v>
      </c>
      <c r="E22" s="16">
        <f>F22+G22+H22+I22+J22+K22+L22</f>
        <v>386704</v>
      </c>
      <c r="F22" s="16">
        <v>386704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59"/>
      <c r="N22" s="240"/>
      <c r="O22" s="240"/>
      <c r="P22" s="240"/>
      <c r="Q22" s="240"/>
      <c r="R22" s="240"/>
      <c r="S22" s="240"/>
      <c r="T22" s="240"/>
      <c r="U22" s="167"/>
    </row>
    <row r="23" spans="1:21" ht="12.75">
      <c r="A23" s="371"/>
      <c r="B23" s="375"/>
      <c r="C23" s="371"/>
      <c r="D23" s="15" t="s">
        <v>0</v>
      </c>
      <c r="E23" s="16">
        <f>F23+G23+H23+I23+J23+K23+L23</f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59"/>
      <c r="N23" s="240"/>
      <c r="O23" s="240"/>
      <c r="P23" s="240"/>
      <c r="Q23" s="240"/>
      <c r="R23" s="240"/>
      <c r="S23" s="240"/>
      <c r="T23" s="240"/>
      <c r="U23" s="167"/>
    </row>
    <row r="24" spans="1:21" ht="12.75">
      <c r="A24" s="371"/>
      <c r="B24" s="375"/>
      <c r="C24" s="371"/>
      <c r="D24" s="15" t="s">
        <v>1</v>
      </c>
      <c r="E24" s="16">
        <f>F24+G24+H24+I24+J24+K24+L24</f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59"/>
      <c r="N24" s="240"/>
      <c r="O24" s="240"/>
      <c r="P24" s="240"/>
      <c r="Q24" s="240"/>
      <c r="R24" s="240"/>
      <c r="S24" s="240"/>
      <c r="T24" s="240"/>
      <c r="U24" s="167"/>
    </row>
    <row r="25" spans="1:21" ht="12.75">
      <c r="A25" s="372"/>
      <c r="B25" s="376"/>
      <c r="C25" s="372"/>
      <c r="D25" s="15" t="s">
        <v>3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28"/>
      <c r="N25" s="241"/>
      <c r="O25" s="241"/>
      <c r="P25" s="241"/>
      <c r="Q25" s="241"/>
      <c r="R25" s="241"/>
      <c r="S25" s="241"/>
      <c r="T25" s="241"/>
      <c r="U25" s="167"/>
    </row>
    <row r="26" spans="1:21" ht="12.75">
      <c r="A26" s="171" t="s">
        <v>224</v>
      </c>
      <c r="B26" s="374" t="s">
        <v>225</v>
      </c>
      <c r="C26" s="177" t="s">
        <v>220</v>
      </c>
      <c r="D26" s="15" t="s">
        <v>4</v>
      </c>
      <c r="E26" s="16">
        <f>E28+E29+E30+E31</f>
        <v>420111.06</v>
      </c>
      <c r="F26" s="16">
        <f aca="true" t="shared" si="3" ref="F26:L26">F28+F29+F30+F31</f>
        <v>420111.06</v>
      </c>
      <c r="G26" s="16">
        <f t="shared" si="3"/>
        <v>0</v>
      </c>
      <c r="H26" s="16">
        <f t="shared" si="3"/>
        <v>0</v>
      </c>
      <c r="I26" s="16">
        <f t="shared" si="3"/>
        <v>0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6" t="s">
        <v>221</v>
      </c>
      <c r="N26" s="239">
        <v>100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v>0</v>
      </c>
      <c r="U26" s="167"/>
    </row>
    <row r="27" spans="1:21" ht="12.75">
      <c r="A27" s="371"/>
      <c r="B27" s="375"/>
      <c r="C27" s="371"/>
      <c r="D27" s="180" t="s">
        <v>29</v>
      </c>
      <c r="E27" s="181"/>
      <c r="F27" s="181"/>
      <c r="G27" s="181"/>
      <c r="H27" s="181"/>
      <c r="I27" s="181"/>
      <c r="J27" s="181"/>
      <c r="K27" s="181"/>
      <c r="L27" s="182"/>
      <c r="M27" s="159"/>
      <c r="N27" s="240"/>
      <c r="O27" s="240"/>
      <c r="P27" s="240"/>
      <c r="Q27" s="240"/>
      <c r="R27" s="240"/>
      <c r="S27" s="240"/>
      <c r="T27" s="240"/>
      <c r="U27" s="167"/>
    </row>
    <row r="28" spans="1:21" ht="12.75">
      <c r="A28" s="371"/>
      <c r="B28" s="375"/>
      <c r="C28" s="371"/>
      <c r="D28" s="15" t="s">
        <v>2</v>
      </c>
      <c r="E28" s="16">
        <f>F28+G28+H28+I28+J28+K28+L28</f>
        <v>420111.06</v>
      </c>
      <c r="F28" s="16">
        <v>420111.06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59"/>
      <c r="N28" s="240"/>
      <c r="O28" s="240"/>
      <c r="P28" s="240"/>
      <c r="Q28" s="240"/>
      <c r="R28" s="240"/>
      <c r="S28" s="240"/>
      <c r="T28" s="240"/>
      <c r="U28" s="167"/>
    </row>
    <row r="29" spans="1:21" ht="12.75">
      <c r="A29" s="371"/>
      <c r="B29" s="375"/>
      <c r="C29" s="371"/>
      <c r="D29" s="15" t="s">
        <v>0</v>
      </c>
      <c r="E29" s="16">
        <f>F29+G29+H29+I29+J29+K29+L29</f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9"/>
      <c r="N29" s="240"/>
      <c r="O29" s="240"/>
      <c r="P29" s="240"/>
      <c r="Q29" s="240"/>
      <c r="R29" s="240"/>
      <c r="S29" s="240"/>
      <c r="T29" s="240"/>
      <c r="U29" s="167"/>
    </row>
    <row r="30" spans="1:21" ht="12.75">
      <c r="A30" s="371"/>
      <c r="B30" s="375"/>
      <c r="C30" s="371"/>
      <c r="D30" s="15" t="s">
        <v>1</v>
      </c>
      <c r="E30" s="16">
        <f>F30+G30+H30+I30+J30+K30+L30</f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9"/>
      <c r="N30" s="240"/>
      <c r="O30" s="240"/>
      <c r="P30" s="240"/>
      <c r="Q30" s="240"/>
      <c r="R30" s="240"/>
      <c r="S30" s="240"/>
      <c r="T30" s="240"/>
      <c r="U30" s="167"/>
    </row>
    <row r="31" spans="1:21" ht="18" customHeight="1">
      <c r="A31" s="372"/>
      <c r="B31" s="376"/>
      <c r="C31" s="372"/>
      <c r="D31" s="15" t="s">
        <v>3</v>
      </c>
      <c r="E31" s="16">
        <f>F31+G31+H31+I31+J31+K31+L31</f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28"/>
      <c r="N31" s="241"/>
      <c r="O31" s="241"/>
      <c r="P31" s="241"/>
      <c r="Q31" s="241"/>
      <c r="R31" s="241"/>
      <c r="S31" s="241"/>
      <c r="T31" s="241"/>
      <c r="U31" s="168"/>
    </row>
    <row r="32" spans="1:21" ht="12.75">
      <c r="A32" s="171"/>
      <c r="B32" s="366" t="s">
        <v>91</v>
      </c>
      <c r="C32" s="177"/>
      <c r="D32" s="15" t="s">
        <v>4</v>
      </c>
      <c r="E32" s="16">
        <f>E34+E35+E36+E37</f>
        <v>46689773.230000004</v>
      </c>
      <c r="F32" s="16">
        <f>F34</f>
        <v>3387030.24</v>
      </c>
      <c r="G32" s="16">
        <f aca="true" t="shared" si="4" ref="G32:L32">G34+G35+G36+G37</f>
        <v>8655664.55</v>
      </c>
      <c r="H32" s="16">
        <f t="shared" si="4"/>
        <v>34960</v>
      </c>
      <c r="I32" s="16">
        <f t="shared" si="4"/>
        <v>20900918.44</v>
      </c>
      <c r="J32" s="16">
        <f t="shared" si="4"/>
        <v>13711200</v>
      </c>
      <c r="K32" s="16">
        <f t="shared" si="4"/>
        <v>0</v>
      </c>
      <c r="L32" s="16">
        <f t="shared" si="4"/>
        <v>0</v>
      </c>
      <c r="M32" s="183"/>
      <c r="N32" s="244"/>
      <c r="O32" s="244"/>
      <c r="P32" s="244"/>
      <c r="Q32" s="244"/>
      <c r="R32" s="244"/>
      <c r="S32" s="244"/>
      <c r="T32" s="244"/>
      <c r="U32" s="184"/>
    </row>
    <row r="33" spans="1:21" ht="12.75">
      <c r="A33" s="371"/>
      <c r="B33" s="367"/>
      <c r="C33" s="371"/>
      <c r="D33" s="180" t="s">
        <v>29</v>
      </c>
      <c r="E33" s="181"/>
      <c r="F33" s="181"/>
      <c r="G33" s="181"/>
      <c r="H33" s="181"/>
      <c r="I33" s="181"/>
      <c r="J33" s="181"/>
      <c r="K33" s="181"/>
      <c r="L33" s="182"/>
      <c r="M33" s="184"/>
      <c r="N33" s="245"/>
      <c r="O33" s="245"/>
      <c r="P33" s="245"/>
      <c r="Q33" s="245"/>
      <c r="R33" s="245"/>
      <c r="S33" s="245"/>
      <c r="T33" s="245"/>
      <c r="U33" s="365"/>
    </row>
    <row r="34" spans="1:21" ht="12.75">
      <c r="A34" s="371"/>
      <c r="B34" s="367"/>
      <c r="C34" s="371"/>
      <c r="D34" s="15" t="s">
        <v>2</v>
      </c>
      <c r="E34" s="16">
        <f>F34+G34+H34+I34+J34+K34+L34</f>
        <v>35856173.230000004</v>
      </c>
      <c r="F34" s="16">
        <f>F10+F16+F22+F28</f>
        <v>3387030.24</v>
      </c>
      <c r="G34" s="16">
        <f>G10+G16+G22+G28</f>
        <v>7543264.55</v>
      </c>
      <c r="H34" s="16">
        <f>H10</f>
        <v>34960</v>
      </c>
      <c r="I34" s="16">
        <f>I14</f>
        <v>20900918.44</v>
      </c>
      <c r="J34" s="16">
        <f>J16</f>
        <v>3990000</v>
      </c>
      <c r="K34" s="16">
        <v>0</v>
      </c>
      <c r="L34" s="16">
        <v>0</v>
      </c>
      <c r="M34" s="184"/>
      <c r="N34" s="245"/>
      <c r="O34" s="245"/>
      <c r="P34" s="245"/>
      <c r="Q34" s="245"/>
      <c r="R34" s="245"/>
      <c r="S34" s="245"/>
      <c r="T34" s="245"/>
      <c r="U34" s="365"/>
    </row>
    <row r="35" spans="1:21" ht="12.75">
      <c r="A35" s="371"/>
      <c r="B35" s="367"/>
      <c r="C35" s="371"/>
      <c r="D35" s="15" t="s">
        <v>0</v>
      </c>
      <c r="E35" s="16">
        <f>F35+G35+H35+I35+J35+K35+L35</f>
        <v>9721200</v>
      </c>
      <c r="F35" s="16">
        <v>0</v>
      </c>
      <c r="G35" s="16">
        <f>0</f>
        <v>0</v>
      </c>
      <c r="H35" s="16">
        <v>0</v>
      </c>
      <c r="I35" s="16">
        <v>0</v>
      </c>
      <c r="J35" s="16">
        <f>J17</f>
        <v>9721200</v>
      </c>
      <c r="K35" s="16">
        <v>0</v>
      </c>
      <c r="L35" s="16">
        <v>0</v>
      </c>
      <c r="M35" s="184"/>
      <c r="N35" s="245"/>
      <c r="O35" s="245"/>
      <c r="P35" s="245"/>
      <c r="Q35" s="245"/>
      <c r="R35" s="245"/>
      <c r="S35" s="245"/>
      <c r="T35" s="245"/>
      <c r="U35" s="365"/>
    </row>
    <row r="36" spans="1:21" ht="12.75">
      <c r="A36" s="371"/>
      <c r="B36" s="367"/>
      <c r="C36" s="371"/>
      <c r="D36" s="15" t="s">
        <v>1</v>
      </c>
      <c r="E36" s="16">
        <f>F36+G36+H36+I36+J36+K36+L36</f>
        <v>1112400</v>
      </c>
      <c r="F36" s="16">
        <v>0</v>
      </c>
      <c r="G36" s="16">
        <f>G18</f>
        <v>1112400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84"/>
      <c r="N36" s="245"/>
      <c r="O36" s="245"/>
      <c r="P36" s="245"/>
      <c r="Q36" s="245"/>
      <c r="R36" s="245"/>
      <c r="S36" s="245"/>
      <c r="T36" s="245"/>
      <c r="U36" s="365"/>
    </row>
    <row r="37" spans="1:21" ht="12.75">
      <c r="A37" s="372"/>
      <c r="B37" s="368"/>
      <c r="C37" s="372"/>
      <c r="D37" s="15" t="s">
        <v>3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85"/>
      <c r="N37" s="246"/>
      <c r="O37" s="246"/>
      <c r="P37" s="246"/>
      <c r="Q37" s="246"/>
      <c r="R37" s="246"/>
      <c r="S37" s="246"/>
      <c r="T37" s="246"/>
      <c r="U37" s="373"/>
    </row>
    <row r="38" spans="1:21" ht="12.75">
      <c r="A38" s="12">
        <v>2</v>
      </c>
      <c r="B38" s="314" t="s">
        <v>226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6"/>
    </row>
    <row r="39" spans="1:21" ht="12.75" customHeight="1">
      <c r="A39" s="171" t="s">
        <v>6</v>
      </c>
      <c r="B39" s="174" t="s">
        <v>227</v>
      </c>
      <c r="C39" s="177" t="s">
        <v>9</v>
      </c>
      <c r="D39" s="15" t="s">
        <v>4</v>
      </c>
      <c r="E39" s="16">
        <f>E41+E42+E43+E44</f>
        <v>3942314</v>
      </c>
      <c r="F39" s="16">
        <f aca="true" t="shared" si="5" ref="F39:L39">F41+F42+F43+F44</f>
        <v>3038917</v>
      </c>
      <c r="G39" s="16">
        <f t="shared" si="5"/>
        <v>0</v>
      </c>
      <c r="H39" s="16">
        <f t="shared" si="5"/>
        <v>903397</v>
      </c>
      <c r="I39" s="16">
        <f t="shared" si="5"/>
        <v>0</v>
      </c>
      <c r="J39" s="16">
        <f t="shared" si="5"/>
        <v>0</v>
      </c>
      <c r="K39" s="16">
        <f t="shared" si="5"/>
        <v>0</v>
      </c>
      <c r="L39" s="16">
        <f t="shared" si="5"/>
        <v>0</v>
      </c>
      <c r="M39" s="166" t="s">
        <v>221</v>
      </c>
      <c r="N39" s="239">
        <v>100</v>
      </c>
      <c r="O39" s="239">
        <v>0</v>
      </c>
      <c r="P39" s="239">
        <v>100</v>
      </c>
      <c r="Q39" s="239">
        <v>0</v>
      </c>
      <c r="R39" s="239">
        <v>0</v>
      </c>
      <c r="S39" s="239">
        <v>0</v>
      </c>
      <c r="T39" s="239">
        <v>0</v>
      </c>
      <c r="U39" s="166" t="s">
        <v>209</v>
      </c>
    </row>
    <row r="40" spans="1:21" ht="12.75" customHeight="1">
      <c r="A40" s="371"/>
      <c r="B40" s="365"/>
      <c r="C40" s="371"/>
      <c r="D40" s="180" t="s">
        <v>29</v>
      </c>
      <c r="E40" s="181"/>
      <c r="F40" s="181"/>
      <c r="G40" s="181"/>
      <c r="H40" s="181"/>
      <c r="I40" s="181"/>
      <c r="J40" s="181"/>
      <c r="K40" s="181"/>
      <c r="L40" s="182"/>
      <c r="M40" s="159"/>
      <c r="N40" s="242"/>
      <c r="O40" s="242"/>
      <c r="P40" s="242"/>
      <c r="Q40" s="242"/>
      <c r="R40" s="242"/>
      <c r="S40" s="242"/>
      <c r="T40" s="242"/>
      <c r="U40" s="167"/>
    </row>
    <row r="41" spans="1:21" ht="12.75" customHeight="1">
      <c r="A41" s="371"/>
      <c r="B41" s="365"/>
      <c r="C41" s="371"/>
      <c r="D41" s="15" t="s">
        <v>2</v>
      </c>
      <c r="E41" s="16">
        <f>F41+G41+H41+I41+J41+K41+L41</f>
        <v>3942314</v>
      </c>
      <c r="F41" s="16">
        <v>3038917</v>
      </c>
      <c r="G41" s="16">
        <v>0</v>
      </c>
      <c r="H41" s="16">
        <v>903397</v>
      </c>
      <c r="I41" s="16">
        <v>0</v>
      </c>
      <c r="J41" s="16">
        <v>0</v>
      </c>
      <c r="K41" s="16">
        <v>0</v>
      </c>
      <c r="L41" s="16">
        <v>0</v>
      </c>
      <c r="M41" s="159"/>
      <c r="N41" s="242"/>
      <c r="O41" s="242"/>
      <c r="P41" s="242"/>
      <c r="Q41" s="242"/>
      <c r="R41" s="242"/>
      <c r="S41" s="242"/>
      <c r="T41" s="242"/>
      <c r="U41" s="167"/>
    </row>
    <row r="42" spans="1:21" ht="12.75" customHeight="1">
      <c r="A42" s="371"/>
      <c r="B42" s="365"/>
      <c r="C42" s="371"/>
      <c r="D42" s="15" t="s">
        <v>0</v>
      </c>
      <c r="E42" s="16">
        <f>F42+G42+H42+I42+J42+K42+L42</f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59"/>
      <c r="N42" s="242"/>
      <c r="O42" s="242"/>
      <c r="P42" s="242"/>
      <c r="Q42" s="242"/>
      <c r="R42" s="242"/>
      <c r="S42" s="242"/>
      <c r="T42" s="242"/>
      <c r="U42" s="167"/>
    </row>
    <row r="43" spans="1:21" ht="12.75" customHeight="1">
      <c r="A43" s="371"/>
      <c r="B43" s="365"/>
      <c r="C43" s="371"/>
      <c r="D43" s="15" t="s">
        <v>1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59"/>
      <c r="N43" s="242"/>
      <c r="O43" s="242"/>
      <c r="P43" s="242"/>
      <c r="Q43" s="242"/>
      <c r="R43" s="242"/>
      <c r="S43" s="242"/>
      <c r="T43" s="242"/>
      <c r="U43" s="167"/>
    </row>
    <row r="44" spans="1:21" ht="12.75" customHeight="1">
      <c r="A44" s="372"/>
      <c r="B44" s="373"/>
      <c r="C44" s="372"/>
      <c r="D44" s="15" t="s">
        <v>3</v>
      </c>
      <c r="E44" s="16">
        <f>F44+G44+H44+I44+J44+K44+L44</f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28"/>
      <c r="N44" s="242"/>
      <c r="O44" s="242"/>
      <c r="P44" s="242"/>
      <c r="Q44" s="242"/>
      <c r="R44" s="242"/>
      <c r="S44" s="242"/>
      <c r="T44" s="242"/>
      <c r="U44" s="167"/>
    </row>
    <row r="45" spans="1:21" ht="12.75" customHeight="1">
      <c r="A45" s="171"/>
      <c r="B45" s="366" t="s">
        <v>101</v>
      </c>
      <c r="C45" s="177"/>
      <c r="D45" s="15" t="s">
        <v>4</v>
      </c>
      <c r="E45" s="16">
        <f>F45+G45+H45+I45+J45+K45+L45</f>
        <v>3942314</v>
      </c>
      <c r="F45" s="16">
        <f>F47</f>
        <v>3038917</v>
      </c>
      <c r="G45" s="16">
        <f aca="true" t="shared" si="6" ref="G45:L45">G47</f>
        <v>0</v>
      </c>
      <c r="H45" s="16">
        <f t="shared" si="6"/>
        <v>903397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L45" s="16">
        <f t="shared" si="6"/>
        <v>0</v>
      </c>
      <c r="M45" s="164"/>
      <c r="N45" s="244"/>
      <c r="O45" s="244"/>
      <c r="P45" s="244"/>
      <c r="Q45" s="244"/>
      <c r="R45" s="244"/>
      <c r="S45" s="244"/>
      <c r="T45" s="244"/>
      <c r="U45" s="167"/>
    </row>
    <row r="46" spans="1:21" ht="12.75" customHeight="1">
      <c r="A46" s="371"/>
      <c r="B46" s="367"/>
      <c r="C46" s="371"/>
      <c r="D46" s="180" t="s">
        <v>29</v>
      </c>
      <c r="E46" s="181"/>
      <c r="F46" s="181"/>
      <c r="G46" s="181"/>
      <c r="H46" s="181"/>
      <c r="I46" s="181"/>
      <c r="J46" s="181"/>
      <c r="K46" s="181"/>
      <c r="L46" s="182"/>
      <c r="M46" s="369"/>
      <c r="N46" s="245"/>
      <c r="O46" s="245"/>
      <c r="P46" s="245"/>
      <c r="Q46" s="245"/>
      <c r="R46" s="245"/>
      <c r="S46" s="245"/>
      <c r="T46" s="245"/>
      <c r="U46" s="371"/>
    </row>
    <row r="47" spans="1:21" ht="12.75" customHeight="1">
      <c r="A47" s="371"/>
      <c r="B47" s="367"/>
      <c r="C47" s="371"/>
      <c r="D47" s="15" t="s">
        <v>2</v>
      </c>
      <c r="E47" s="16">
        <f>F47+G47+H47+I47+J47+K47+L47</f>
        <v>3942314</v>
      </c>
      <c r="F47" s="16">
        <f>F41</f>
        <v>3038917</v>
      </c>
      <c r="G47" s="16">
        <f aca="true" t="shared" si="7" ref="G47:L47">G41</f>
        <v>0</v>
      </c>
      <c r="H47" s="16">
        <f t="shared" si="7"/>
        <v>903397</v>
      </c>
      <c r="I47" s="16">
        <f t="shared" si="7"/>
        <v>0</v>
      </c>
      <c r="J47" s="16">
        <f t="shared" si="7"/>
        <v>0</v>
      </c>
      <c r="K47" s="16">
        <f t="shared" si="7"/>
        <v>0</v>
      </c>
      <c r="L47" s="16">
        <f t="shared" si="7"/>
        <v>0</v>
      </c>
      <c r="M47" s="369"/>
      <c r="N47" s="245"/>
      <c r="O47" s="245"/>
      <c r="P47" s="245"/>
      <c r="Q47" s="245"/>
      <c r="R47" s="245"/>
      <c r="S47" s="245"/>
      <c r="T47" s="245"/>
      <c r="U47" s="371"/>
    </row>
    <row r="48" spans="1:21" ht="12.75" customHeight="1">
      <c r="A48" s="371"/>
      <c r="B48" s="367"/>
      <c r="C48" s="371"/>
      <c r="D48" s="15" t="s">
        <v>0</v>
      </c>
      <c r="E48" s="16">
        <f>F48+G48+H48+I48+J48+K48+L48</f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69"/>
      <c r="N48" s="245"/>
      <c r="O48" s="245"/>
      <c r="P48" s="245"/>
      <c r="Q48" s="245"/>
      <c r="R48" s="245"/>
      <c r="S48" s="245"/>
      <c r="T48" s="245"/>
      <c r="U48" s="371"/>
    </row>
    <row r="49" spans="1:21" ht="12.75" customHeight="1">
      <c r="A49" s="371"/>
      <c r="B49" s="367"/>
      <c r="C49" s="371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69"/>
      <c r="N49" s="245"/>
      <c r="O49" s="245"/>
      <c r="P49" s="245"/>
      <c r="Q49" s="245"/>
      <c r="R49" s="245"/>
      <c r="S49" s="245"/>
      <c r="T49" s="245"/>
      <c r="U49" s="371"/>
    </row>
    <row r="50" spans="1:21" ht="12.75" customHeight="1">
      <c r="A50" s="372"/>
      <c r="B50" s="368"/>
      <c r="C50" s="372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69"/>
      <c r="N50" s="246"/>
      <c r="O50" s="246"/>
      <c r="P50" s="246"/>
      <c r="Q50" s="246"/>
      <c r="R50" s="246"/>
      <c r="S50" s="246"/>
      <c r="T50" s="246"/>
      <c r="U50" s="372"/>
    </row>
    <row r="51" spans="1:21" ht="12.75">
      <c r="A51" s="192"/>
      <c r="B51" s="366" t="s">
        <v>228</v>
      </c>
      <c r="C51" s="177"/>
      <c r="D51" s="15" t="s">
        <v>4</v>
      </c>
      <c r="E51" s="16">
        <f>E53+E54+E55+E56</f>
        <v>50632087.230000004</v>
      </c>
      <c r="F51" s="16">
        <f aca="true" t="shared" si="8" ref="F51:L51">F53+F54+F55+F56</f>
        <v>6425947.24</v>
      </c>
      <c r="G51" s="16">
        <f t="shared" si="8"/>
        <v>8655664.55</v>
      </c>
      <c r="H51" s="16">
        <f t="shared" si="8"/>
        <v>938357</v>
      </c>
      <c r="I51" s="16">
        <f t="shared" si="8"/>
        <v>20900918.44</v>
      </c>
      <c r="J51" s="16">
        <f t="shared" si="8"/>
        <v>13711200</v>
      </c>
      <c r="K51" s="16">
        <f t="shared" si="8"/>
        <v>0</v>
      </c>
      <c r="L51" s="16">
        <f t="shared" si="8"/>
        <v>0</v>
      </c>
      <c r="M51" s="164"/>
      <c r="N51" s="244"/>
      <c r="O51" s="244"/>
      <c r="P51" s="244"/>
      <c r="Q51" s="244"/>
      <c r="R51" s="244"/>
      <c r="S51" s="244"/>
      <c r="T51" s="244"/>
      <c r="U51" s="184"/>
    </row>
    <row r="52" spans="1:21" ht="12.75">
      <c r="A52" s="192"/>
      <c r="B52" s="367"/>
      <c r="C52" s="178"/>
      <c r="D52" s="180" t="s">
        <v>29</v>
      </c>
      <c r="E52" s="181"/>
      <c r="F52" s="181"/>
      <c r="G52" s="181"/>
      <c r="H52" s="181"/>
      <c r="I52" s="181"/>
      <c r="J52" s="181"/>
      <c r="K52" s="181"/>
      <c r="L52" s="182"/>
      <c r="M52" s="369"/>
      <c r="N52" s="245"/>
      <c r="O52" s="245"/>
      <c r="P52" s="245"/>
      <c r="Q52" s="245"/>
      <c r="R52" s="245"/>
      <c r="S52" s="245"/>
      <c r="T52" s="245"/>
      <c r="U52" s="365"/>
    </row>
    <row r="53" spans="1:21" ht="12.75">
      <c r="A53" s="192"/>
      <c r="B53" s="367"/>
      <c r="C53" s="178"/>
      <c r="D53" s="15" t="s">
        <v>2</v>
      </c>
      <c r="E53" s="16">
        <f>F53+G53+H53+I53+J53+K53+L53</f>
        <v>39798487.230000004</v>
      </c>
      <c r="F53" s="16">
        <f>F34+F47</f>
        <v>6425947.24</v>
      </c>
      <c r="G53" s="16">
        <f>G34+G47</f>
        <v>7543264.55</v>
      </c>
      <c r="H53" s="16">
        <f>H34+H47</f>
        <v>938357</v>
      </c>
      <c r="I53" s="16">
        <f>I34</f>
        <v>20900918.44</v>
      </c>
      <c r="J53" s="16">
        <f>J34</f>
        <v>3990000</v>
      </c>
      <c r="K53" s="16">
        <v>0</v>
      </c>
      <c r="L53" s="16">
        <v>0</v>
      </c>
      <c r="M53" s="369"/>
      <c r="N53" s="245"/>
      <c r="O53" s="245"/>
      <c r="P53" s="245"/>
      <c r="Q53" s="245"/>
      <c r="R53" s="245"/>
      <c r="S53" s="245"/>
      <c r="T53" s="245"/>
      <c r="U53" s="365"/>
    </row>
    <row r="54" spans="1:21" ht="12.75">
      <c r="A54" s="192"/>
      <c r="B54" s="367"/>
      <c r="C54" s="178"/>
      <c r="D54" s="15" t="s">
        <v>0</v>
      </c>
      <c r="E54" s="16">
        <f>F54+G54+H54+I54+J54+K54+L54</f>
        <v>9721200</v>
      </c>
      <c r="F54" s="16">
        <v>0</v>
      </c>
      <c r="G54" s="16">
        <v>0</v>
      </c>
      <c r="H54" s="16">
        <v>0</v>
      </c>
      <c r="I54" s="16">
        <v>0</v>
      </c>
      <c r="J54" s="16">
        <f>J35</f>
        <v>9721200</v>
      </c>
      <c r="K54" s="16">
        <v>0</v>
      </c>
      <c r="L54" s="16">
        <v>0</v>
      </c>
      <c r="M54" s="369"/>
      <c r="N54" s="245"/>
      <c r="O54" s="245"/>
      <c r="P54" s="245"/>
      <c r="Q54" s="245"/>
      <c r="R54" s="245"/>
      <c r="S54" s="245"/>
      <c r="T54" s="245"/>
      <c r="U54" s="365"/>
    </row>
    <row r="55" spans="1:21" ht="12.75">
      <c r="A55" s="192"/>
      <c r="B55" s="367"/>
      <c r="C55" s="178"/>
      <c r="D55" s="15" t="s">
        <v>1</v>
      </c>
      <c r="E55" s="16">
        <f>F55+G55+H55+I55+J55+K55+L55</f>
        <v>1112400</v>
      </c>
      <c r="F55" s="16">
        <v>0</v>
      </c>
      <c r="G55" s="16">
        <f>G36</f>
        <v>1112400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69"/>
      <c r="N55" s="245"/>
      <c r="O55" s="245"/>
      <c r="P55" s="245"/>
      <c r="Q55" s="245"/>
      <c r="R55" s="245"/>
      <c r="S55" s="245"/>
      <c r="T55" s="245"/>
      <c r="U55" s="365"/>
    </row>
    <row r="56" spans="1:21" ht="12.75">
      <c r="A56" s="192"/>
      <c r="B56" s="368"/>
      <c r="C56" s="179"/>
      <c r="D56" s="15" t="s">
        <v>3</v>
      </c>
      <c r="E56" s="16">
        <f>F56+G56+H56+I56+J56+K56+L56</f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0"/>
      <c r="N56" s="246"/>
      <c r="O56" s="246"/>
      <c r="P56" s="246"/>
      <c r="Q56" s="246"/>
      <c r="R56" s="246"/>
      <c r="S56" s="246"/>
      <c r="T56" s="246"/>
      <c r="U56" s="365"/>
    </row>
  </sheetData>
  <sheetProtection/>
  <mergeCells count="112"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31"/>
    <mergeCell ref="D9:L9"/>
    <mergeCell ref="A14:A19"/>
    <mergeCell ref="B14:B19"/>
    <mergeCell ref="C14:C19"/>
    <mergeCell ref="M14:M19"/>
    <mergeCell ref="N14:N19"/>
    <mergeCell ref="O14:O19"/>
    <mergeCell ref="P14:P19"/>
    <mergeCell ref="Q14:Q19"/>
    <mergeCell ref="R14:R19"/>
    <mergeCell ref="S14:S19"/>
    <mergeCell ref="T14:T19"/>
    <mergeCell ref="D15:L15"/>
    <mergeCell ref="A20:A25"/>
    <mergeCell ref="B20:B25"/>
    <mergeCell ref="C20:C25"/>
    <mergeCell ref="M20:M25"/>
    <mergeCell ref="N20:N25"/>
    <mergeCell ref="D21:L21"/>
    <mergeCell ref="O20:O25"/>
    <mergeCell ref="P20:P25"/>
    <mergeCell ref="Q20:Q25"/>
    <mergeCell ref="R20:R25"/>
    <mergeCell ref="S20:S25"/>
    <mergeCell ref="T20:T25"/>
    <mergeCell ref="A26:A31"/>
    <mergeCell ref="B26:B31"/>
    <mergeCell ref="C26:C31"/>
    <mergeCell ref="M26:M31"/>
    <mergeCell ref="N26:N31"/>
    <mergeCell ref="O26:O31"/>
    <mergeCell ref="P26:P31"/>
    <mergeCell ref="Q26:Q31"/>
    <mergeCell ref="R26:R31"/>
    <mergeCell ref="S26:S31"/>
    <mergeCell ref="T26:T31"/>
    <mergeCell ref="D27:L27"/>
    <mergeCell ref="A32:A37"/>
    <mergeCell ref="B32:B37"/>
    <mergeCell ref="C32:C37"/>
    <mergeCell ref="M32:M37"/>
    <mergeCell ref="N32:N37"/>
    <mergeCell ref="O32:O37"/>
    <mergeCell ref="D33:L33"/>
    <mergeCell ref="P32:P37"/>
    <mergeCell ref="Q32:Q37"/>
    <mergeCell ref="R32:R37"/>
    <mergeCell ref="S32:S37"/>
    <mergeCell ref="T32:T37"/>
    <mergeCell ref="U32:U37"/>
    <mergeCell ref="B38:U38"/>
    <mergeCell ref="A39:A44"/>
    <mergeCell ref="B39:B44"/>
    <mergeCell ref="C39:C44"/>
    <mergeCell ref="M39:M44"/>
    <mergeCell ref="N39:N44"/>
    <mergeCell ref="O39:O44"/>
    <mergeCell ref="P39:P44"/>
    <mergeCell ref="Q39:Q44"/>
    <mergeCell ref="R39:R44"/>
    <mergeCell ref="S39:S44"/>
    <mergeCell ref="T39:T44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51:U56"/>
    <mergeCell ref="D52:L52"/>
    <mergeCell ref="O51:O56"/>
    <mergeCell ref="P51:P56"/>
    <mergeCell ref="Q51:Q56"/>
    <mergeCell ref="R51:R56"/>
    <mergeCell ref="S51:S56"/>
    <mergeCell ref="T51:T56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view="pageBreakPreview" zoomScale="115" zoomScaleSheetLayoutView="115" zoomScalePageLayoutView="0" workbookViewId="0" topLeftCell="E1">
      <selection activeCell="B8" sqref="B8:L8"/>
    </sheetView>
  </sheetViews>
  <sheetFormatPr defaultColWidth="9.140625" defaultRowHeight="15"/>
  <cols>
    <col min="1" max="1" width="5.57421875" style="23" customWidth="1"/>
    <col min="2" max="2" width="18.421875" style="23" customWidth="1"/>
    <col min="3" max="3" width="13.57421875" style="23" customWidth="1"/>
    <col min="4" max="4" width="13.28125" style="23" customWidth="1"/>
    <col min="5" max="6" width="13.421875" style="23" customWidth="1"/>
    <col min="7" max="7" width="13.140625" style="23" customWidth="1"/>
    <col min="8" max="8" width="13.57421875" style="23" customWidth="1"/>
    <col min="9" max="9" width="11.421875" style="23" customWidth="1"/>
    <col min="10" max="16384" width="9.140625" style="23" customWidth="1"/>
  </cols>
  <sheetData>
    <row r="1" spans="1:12" ht="15" customHeight="1">
      <c r="A1" s="105"/>
      <c r="B1" s="8"/>
      <c r="C1" s="8"/>
      <c r="D1" s="8"/>
      <c r="E1" s="8"/>
      <c r="F1" s="8"/>
      <c r="G1" s="8"/>
      <c r="H1" s="8"/>
      <c r="I1" s="129" t="s">
        <v>259</v>
      </c>
      <c r="J1" s="129"/>
      <c r="K1" s="129"/>
      <c r="L1" s="129"/>
    </row>
    <row r="2" spans="1:12" ht="23.25" customHeight="1">
      <c r="A2" s="130" t="s">
        <v>235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.75">
      <c r="A4" s="131" t="s">
        <v>236</v>
      </c>
      <c r="B4" s="131" t="s">
        <v>237</v>
      </c>
      <c r="C4" s="131" t="s">
        <v>238</v>
      </c>
      <c r="D4" s="133" t="s">
        <v>239</v>
      </c>
      <c r="E4" s="134"/>
      <c r="F4" s="134"/>
      <c r="G4" s="134"/>
      <c r="H4" s="134"/>
      <c r="I4" s="134"/>
      <c r="J4" s="134"/>
      <c r="K4" s="134"/>
      <c r="L4" s="135"/>
    </row>
    <row r="5" spans="1:12" ht="15" customHeight="1">
      <c r="A5" s="131"/>
      <c r="B5" s="131"/>
      <c r="C5" s="131"/>
      <c r="D5" s="108" t="s">
        <v>240</v>
      </c>
      <c r="E5" s="109" t="s">
        <v>241</v>
      </c>
      <c r="F5" s="136" t="s">
        <v>242</v>
      </c>
      <c r="G5" s="137"/>
      <c r="H5" s="137"/>
      <c r="I5" s="137"/>
      <c r="J5" s="137"/>
      <c r="K5" s="137"/>
      <c r="L5" s="138"/>
    </row>
    <row r="6" spans="1:12" ht="15.75">
      <c r="A6" s="132"/>
      <c r="B6" s="131"/>
      <c r="C6" s="132"/>
      <c r="D6" s="110">
        <v>2012</v>
      </c>
      <c r="E6" s="110">
        <v>2013</v>
      </c>
      <c r="F6" s="110">
        <v>2014</v>
      </c>
      <c r="G6" s="110">
        <v>2015</v>
      </c>
      <c r="H6" s="110">
        <v>2016</v>
      </c>
      <c r="I6" s="110">
        <v>2017</v>
      </c>
      <c r="J6" s="110">
        <v>2018</v>
      </c>
      <c r="K6" s="110">
        <v>2019</v>
      </c>
      <c r="L6" s="110">
        <v>2020</v>
      </c>
    </row>
    <row r="7" spans="1:12" ht="15.75">
      <c r="A7" s="111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</row>
    <row r="8" spans="1:12" ht="30" customHeight="1">
      <c r="A8" s="108"/>
      <c r="B8" s="139" t="s">
        <v>243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ht="30" customHeight="1">
      <c r="A9" s="108"/>
      <c r="B9" s="140" t="s">
        <v>244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99" customHeight="1">
      <c r="A10" s="112" t="s">
        <v>5</v>
      </c>
      <c r="B10" s="113" t="s">
        <v>245</v>
      </c>
      <c r="C10" s="114" t="s">
        <v>246</v>
      </c>
      <c r="D10" s="115">
        <v>100</v>
      </c>
      <c r="E10" s="115">
        <v>100</v>
      </c>
      <c r="F10" s="115" t="s">
        <v>33</v>
      </c>
      <c r="G10" s="115" t="s">
        <v>33</v>
      </c>
      <c r="H10" s="115" t="s">
        <v>33</v>
      </c>
      <c r="I10" s="115" t="s">
        <v>33</v>
      </c>
      <c r="J10" s="115" t="s">
        <v>33</v>
      </c>
      <c r="K10" s="115" t="s">
        <v>33</v>
      </c>
      <c r="L10" s="115" t="s">
        <v>33</v>
      </c>
    </row>
    <row r="11" spans="1:12" ht="30" customHeight="1">
      <c r="A11" s="112"/>
      <c r="B11" s="142" t="s">
        <v>247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12" ht="89.25" customHeight="1">
      <c r="A12" s="112" t="s">
        <v>6</v>
      </c>
      <c r="B12" s="113" t="s">
        <v>248</v>
      </c>
      <c r="C12" s="114" t="s">
        <v>249</v>
      </c>
      <c r="D12" s="115">
        <v>625</v>
      </c>
      <c r="E12" s="115">
        <v>670</v>
      </c>
      <c r="F12" s="115">
        <v>711</v>
      </c>
      <c r="G12" s="115">
        <v>815</v>
      </c>
      <c r="H12" s="115">
        <v>825</v>
      </c>
      <c r="I12" s="116">
        <v>0</v>
      </c>
      <c r="J12" s="116">
        <v>0</v>
      </c>
      <c r="K12" s="116">
        <v>0</v>
      </c>
      <c r="L12" s="116">
        <v>0</v>
      </c>
    </row>
    <row r="13" spans="1:12" ht="140.25" customHeight="1">
      <c r="A13" s="127" t="s">
        <v>41</v>
      </c>
      <c r="B13" s="113" t="s">
        <v>250</v>
      </c>
      <c r="C13" s="114" t="s">
        <v>246</v>
      </c>
      <c r="D13" s="115" t="s">
        <v>77</v>
      </c>
      <c r="E13" s="115" t="s">
        <v>77</v>
      </c>
      <c r="F13" s="115" t="s">
        <v>77</v>
      </c>
      <c r="G13" s="115" t="s">
        <v>77</v>
      </c>
      <c r="H13" s="115" t="s">
        <v>77</v>
      </c>
      <c r="I13" s="116">
        <v>0</v>
      </c>
      <c r="J13" s="116">
        <v>0</v>
      </c>
      <c r="K13" s="116">
        <v>0</v>
      </c>
      <c r="L13" s="116">
        <v>0</v>
      </c>
    </row>
    <row r="14" spans="1:12" ht="30" customHeight="1">
      <c r="A14" s="128"/>
      <c r="B14" s="113" t="s">
        <v>251</v>
      </c>
      <c r="C14" s="114" t="s">
        <v>252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161</v>
      </c>
      <c r="J14" s="115">
        <v>167</v>
      </c>
      <c r="K14" s="115">
        <v>173</v>
      </c>
      <c r="L14" s="115">
        <v>173</v>
      </c>
    </row>
    <row r="15" spans="1:12" ht="63" customHeight="1">
      <c r="A15" s="112" t="s">
        <v>57</v>
      </c>
      <c r="B15" s="113" t="s">
        <v>253</v>
      </c>
      <c r="C15" s="114" t="s">
        <v>254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7">
        <v>45118</v>
      </c>
      <c r="J15" s="117">
        <v>36261</v>
      </c>
      <c r="K15" s="117">
        <v>33005</v>
      </c>
      <c r="L15" s="117">
        <v>30827</v>
      </c>
    </row>
    <row r="16" spans="1:12" ht="30" customHeight="1">
      <c r="A16" s="112" t="s">
        <v>58</v>
      </c>
      <c r="B16" s="113" t="s">
        <v>253</v>
      </c>
      <c r="C16" s="114" t="s">
        <v>254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7">
        <v>21930</v>
      </c>
      <c r="J16" s="117">
        <v>34689</v>
      </c>
      <c r="K16" s="117">
        <v>37885</v>
      </c>
      <c r="L16" s="117">
        <v>38923</v>
      </c>
    </row>
    <row r="17" spans="1:12" ht="30" customHeight="1">
      <c r="A17" s="112"/>
      <c r="B17" s="113" t="s">
        <v>255</v>
      </c>
      <c r="C17" s="114" t="s">
        <v>249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6">
        <v>76</v>
      </c>
      <c r="J17" s="116">
        <v>72</v>
      </c>
      <c r="K17" s="116">
        <v>81</v>
      </c>
      <c r="L17" s="116">
        <v>81</v>
      </c>
    </row>
    <row r="18" spans="1:12" ht="30" customHeight="1">
      <c r="A18" s="112"/>
      <c r="B18" s="142" t="s">
        <v>34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4"/>
    </row>
    <row r="19" spans="1:12" ht="30" customHeight="1">
      <c r="A19" s="112" t="s">
        <v>32</v>
      </c>
      <c r="B19" s="113" t="s">
        <v>256</v>
      </c>
      <c r="C19" s="114" t="s">
        <v>252</v>
      </c>
      <c r="D19" s="115">
        <v>130</v>
      </c>
      <c r="E19" s="115">
        <v>130</v>
      </c>
      <c r="F19" s="115">
        <v>132</v>
      </c>
      <c r="G19" s="115">
        <v>140</v>
      </c>
      <c r="H19" s="115">
        <v>142</v>
      </c>
      <c r="I19" s="115">
        <v>133</v>
      </c>
      <c r="J19" s="115">
        <v>133</v>
      </c>
      <c r="K19" s="115">
        <v>134</v>
      </c>
      <c r="L19" s="115">
        <v>134</v>
      </c>
    </row>
    <row r="20" spans="1:12" ht="87" customHeight="1">
      <c r="A20" s="127" t="s">
        <v>43</v>
      </c>
      <c r="B20" s="113" t="s">
        <v>257</v>
      </c>
      <c r="C20" s="114" t="s">
        <v>246</v>
      </c>
      <c r="D20" s="115" t="s">
        <v>258</v>
      </c>
      <c r="E20" s="115" t="s">
        <v>258</v>
      </c>
      <c r="F20" s="115" t="s">
        <v>258</v>
      </c>
      <c r="G20" s="115" t="s">
        <v>258</v>
      </c>
      <c r="H20" s="115" t="s">
        <v>258</v>
      </c>
      <c r="I20" s="115">
        <v>0</v>
      </c>
      <c r="J20" s="115">
        <v>0</v>
      </c>
      <c r="K20" s="115">
        <v>0</v>
      </c>
      <c r="L20" s="115">
        <v>0</v>
      </c>
    </row>
    <row r="21" spans="1:12" ht="25.5">
      <c r="A21" s="128"/>
      <c r="B21" s="113" t="s">
        <v>251</v>
      </c>
      <c r="C21" s="114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932</v>
      </c>
      <c r="J21" s="115">
        <v>932</v>
      </c>
      <c r="K21" s="115">
        <v>954</v>
      </c>
      <c r="L21" s="115">
        <v>954</v>
      </c>
    </row>
    <row r="22" spans="1:12" ht="25.5">
      <c r="A22" s="118" t="s">
        <v>72</v>
      </c>
      <c r="B22" s="113" t="s">
        <v>255</v>
      </c>
      <c r="C22" s="114" t="s">
        <v>249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85</v>
      </c>
      <c r="J22" s="115">
        <v>90</v>
      </c>
      <c r="K22" s="115">
        <v>85</v>
      </c>
      <c r="L22" s="115">
        <v>85</v>
      </c>
    </row>
    <row r="23" ht="15.75">
      <c r="A23" s="36"/>
    </row>
  </sheetData>
  <sheetProtection/>
  <mergeCells count="13">
    <mergeCell ref="B11:L11"/>
    <mergeCell ref="A13:A14"/>
    <mergeCell ref="B18:L18"/>
    <mergeCell ref="A20:A21"/>
    <mergeCell ref="I1:L1"/>
    <mergeCell ref="A2:L2"/>
    <mergeCell ref="A4:A6"/>
    <mergeCell ref="B4:B6"/>
    <mergeCell ref="C4:C6"/>
    <mergeCell ref="D4:L4"/>
    <mergeCell ref="F5:L5"/>
    <mergeCell ref="B8:L8"/>
    <mergeCell ref="B9:L9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115" zoomScaleSheetLayoutView="115" zoomScalePageLayoutView="0" workbookViewId="0" topLeftCell="D1">
      <selection activeCell="F12" sqref="F12"/>
    </sheetView>
  </sheetViews>
  <sheetFormatPr defaultColWidth="9.140625" defaultRowHeight="15"/>
  <cols>
    <col min="1" max="1" width="32.57421875" style="23" customWidth="1"/>
    <col min="2" max="2" width="18.421875" style="23" customWidth="1"/>
    <col min="3" max="8" width="15.421875" style="23" customWidth="1"/>
    <col min="9" max="9" width="15.140625" style="23" customWidth="1"/>
    <col min="10" max="16384" width="9.140625" style="23" customWidth="1"/>
  </cols>
  <sheetData>
    <row r="1" spans="5:10" ht="15.75">
      <c r="E1" s="24"/>
      <c r="G1" s="151" t="s">
        <v>108</v>
      </c>
      <c r="H1" s="151"/>
      <c r="I1" s="151"/>
      <c r="J1" s="25"/>
    </row>
    <row r="3" spans="1:9" ht="15.75">
      <c r="A3" s="152" t="s">
        <v>53</v>
      </c>
      <c r="B3" s="152"/>
      <c r="C3" s="152"/>
      <c r="D3" s="152"/>
      <c r="E3" s="152"/>
      <c r="F3" s="152"/>
      <c r="G3" s="152"/>
      <c r="H3" s="152"/>
      <c r="I3" s="152"/>
    </row>
    <row r="5" spans="1:9" ht="15.75">
      <c r="A5" s="153" t="s">
        <v>10</v>
      </c>
      <c r="B5" s="155" t="s">
        <v>11</v>
      </c>
      <c r="C5" s="157" t="s">
        <v>12</v>
      </c>
      <c r="D5" s="157"/>
      <c r="E5" s="157"/>
      <c r="F5" s="157"/>
      <c r="G5" s="157"/>
      <c r="H5" s="157"/>
      <c r="I5" s="157"/>
    </row>
    <row r="6" spans="1:9" ht="15.75">
      <c r="A6" s="154"/>
      <c r="B6" s="156"/>
      <c r="C6" s="28">
        <v>2014</v>
      </c>
      <c r="D6" s="28">
        <v>2015</v>
      </c>
      <c r="E6" s="28">
        <v>2016</v>
      </c>
      <c r="F6" s="28">
        <v>2017</v>
      </c>
      <c r="G6" s="28">
        <v>2018</v>
      </c>
      <c r="H6" s="28">
        <v>2019</v>
      </c>
      <c r="I6" s="29">
        <v>2020</v>
      </c>
    </row>
    <row r="7" spans="1:9" ht="15.75">
      <c r="A7" s="26">
        <v>1</v>
      </c>
      <c r="B7" s="27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9">
        <v>9</v>
      </c>
    </row>
    <row r="8" spans="1:9" ht="30" customHeight="1">
      <c r="A8" s="30" t="s">
        <v>36</v>
      </c>
      <c r="B8" s="31">
        <f>B10+B11+B12+B13</f>
        <v>1311927883.96</v>
      </c>
      <c r="C8" s="31">
        <f aca="true" t="shared" si="0" ref="C8:I8">C10+C11+C12+C13</f>
        <v>169671123.63000003</v>
      </c>
      <c r="D8" s="31">
        <f t="shared" si="0"/>
        <v>166832058.4</v>
      </c>
      <c r="E8" s="31">
        <f t="shared" si="0"/>
        <v>178151552.88</v>
      </c>
      <c r="F8" s="31">
        <f t="shared" si="0"/>
        <v>198987080.75</v>
      </c>
      <c r="G8" s="31">
        <f t="shared" si="0"/>
        <v>201768778.64000002</v>
      </c>
      <c r="H8" s="31">
        <f t="shared" si="0"/>
        <v>195855660.48000002</v>
      </c>
      <c r="I8" s="31">
        <f t="shared" si="0"/>
        <v>200661629.18</v>
      </c>
    </row>
    <row r="9" spans="1:9" ht="30" customHeight="1">
      <c r="A9" s="145" t="s">
        <v>13</v>
      </c>
      <c r="B9" s="146"/>
      <c r="C9" s="146"/>
      <c r="D9" s="146"/>
      <c r="E9" s="146"/>
      <c r="F9" s="146"/>
      <c r="G9" s="146"/>
      <c r="H9" s="146"/>
      <c r="I9" s="147"/>
    </row>
    <row r="10" spans="1:9" ht="30" customHeight="1">
      <c r="A10" s="32" t="s">
        <v>14</v>
      </c>
      <c r="B10" s="31">
        <f>C10+D10+E10+F10+G10+H10+I10</f>
        <v>1188921747.26</v>
      </c>
      <c r="C10" s="33">
        <f>C17</f>
        <v>160117960.24</v>
      </c>
      <c r="D10" s="33">
        <f aca="true" t="shared" si="1" ref="D10:I10">D17</f>
        <v>154661265.49</v>
      </c>
      <c r="E10" s="33">
        <f t="shared" si="1"/>
        <v>163350077.13</v>
      </c>
      <c r="F10" s="33">
        <f t="shared" si="1"/>
        <v>174960211.45</v>
      </c>
      <c r="G10" s="33">
        <f t="shared" si="1"/>
        <v>181653796.93</v>
      </c>
      <c r="H10" s="33">
        <f t="shared" si="1"/>
        <v>175008121.14000002</v>
      </c>
      <c r="I10" s="33">
        <f t="shared" si="1"/>
        <v>179170314.88</v>
      </c>
    </row>
    <row r="11" spans="1:9" ht="30" customHeight="1">
      <c r="A11" s="32" t="s">
        <v>15</v>
      </c>
      <c r="B11" s="31">
        <f>C11+D11+E11+F11+G11+H11+I11</f>
        <v>73039364.07000001</v>
      </c>
      <c r="C11" s="33">
        <f>C18</f>
        <v>4344894.3100000005</v>
      </c>
      <c r="D11" s="33">
        <f aca="true" t="shared" si="2" ref="D11:I11">D18</f>
        <v>5597215</v>
      </c>
      <c r="E11" s="33">
        <f t="shared" si="2"/>
        <v>6483560.13</v>
      </c>
      <c r="F11" s="33">
        <f t="shared" si="2"/>
        <v>13056679.280000001</v>
      </c>
      <c r="G11" s="33">
        <f t="shared" si="2"/>
        <v>13829381.709999999</v>
      </c>
      <c r="H11" s="33">
        <f t="shared" si="2"/>
        <v>14541929.340000002</v>
      </c>
      <c r="I11" s="33">
        <f t="shared" si="2"/>
        <v>15185704.299999999</v>
      </c>
    </row>
    <row r="12" spans="1:9" ht="30" customHeight="1">
      <c r="A12" s="32" t="s">
        <v>16</v>
      </c>
      <c r="B12" s="31">
        <f>C12+D12+E12+F12+G12+H12+I12</f>
        <v>50000</v>
      </c>
      <c r="C12" s="33">
        <f>C19</f>
        <v>0</v>
      </c>
      <c r="D12" s="33">
        <f aca="true" t="shared" si="3" ref="D12:I12">D19</f>
        <v>0</v>
      </c>
      <c r="E12" s="33">
        <f t="shared" si="3"/>
        <v>0</v>
      </c>
      <c r="F12" s="33">
        <f t="shared" si="3"/>
        <v>50000</v>
      </c>
      <c r="G12" s="33">
        <f t="shared" si="3"/>
        <v>0</v>
      </c>
      <c r="H12" s="33">
        <f t="shared" si="3"/>
        <v>0</v>
      </c>
      <c r="I12" s="33">
        <f t="shared" si="3"/>
        <v>0</v>
      </c>
    </row>
    <row r="13" spans="1:9" ht="30" customHeight="1">
      <c r="A13" s="32" t="s">
        <v>17</v>
      </c>
      <c r="B13" s="31">
        <f>C13+D13+E13+F13+G13+H13+I13</f>
        <v>49916772.629999995</v>
      </c>
      <c r="C13" s="33">
        <f>C20</f>
        <v>5208269.08</v>
      </c>
      <c r="D13" s="33">
        <f aca="true" t="shared" si="4" ref="D13:I13">D20</f>
        <v>6573577.91</v>
      </c>
      <c r="E13" s="33">
        <f t="shared" si="4"/>
        <v>8317915.62</v>
      </c>
      <c r="F13" s="33">
        <f t="shared" si="4"/>
        <v>10920190.02</v>
      </c>
      <c r="G13" s="33">
        <f t="shared" si="4"/>
        <v>6285600</v>
      </c>
      <c r="H13" s="33">
        <f t="shared" si="4"/>
        <v>6305610</v>
      </c>
      <c r="I13" s="33">
        <f t="shared" si="4"/>
        <v>6305610</v>
      </c>
    </row>
    <row r="14" spans="1:9" ht="30" customHeight="1">
      <c r="A14" s="148" t="s">
        <v>18</v>
      </c>
      <c r="B14" s="149"/>
      <c r="C14" s="149"/>
      <c r="D14" s="149"/>
      <c r="E14" s="149"/>
      <c r="F14" s="149"/>
      <c r="G14" s="149"/>
      <c r="H14" s="149"/>
      <c r="I14" s="150"/>
    </row>
    <row r="15" spans="1:9" ht="63" customHeight="1">
      <c r="A15" s="34" t="s">
        <v>30</v>
      </c>
      <c r="B15" s="31">
        <f>B17+B18+B19+B20</f>
        <v>1311927883.96</v>
      </c>
      <c r="C15" s="31">
        <f aca="true" t="shared" si="5" ref="C15:I15">C17+C18+C19+C20</f>
        <v>169671123.63000003</v>
      </c>
      <c r="D15" s="31">
        <f t="shared" si="5"/>
        <v>166832058.4</v>
      </c>
      <c r="E15" s="31">
        <f t="shared" si="5"/>
        <v>178151552.88</v>
      </c>
      <c r="F15" s="31">
        <f t="shared" si="5"/>
        <v>198987080.75</v>
      </c>
      <c r="G15" s="31">
        <f t="shared" si="5"/>
        <v>201768778.64000002</v>
      </c>
      <c r="H15" s="31">
        <f t="shared" si="5"/>
        <v>195855660.48000002</v>
      </c>
      <c r="I15" s="31">
        <f t="shared" si="5"/>
        <v>200661629.18</v>
      </c>
    </row>
    <row r="16" spans="1:9" ht="30" customHeight="1">
      <c r="A16" s="145" t="s">
        <v>13</v>
      </c>
      <c r="B16" s="146"/>
      <c r="C16" s="146"/>
      <c r="D16" s="146"/>
      <c r="E16" s="146"/>
      <c r="F16" s="146"/>
      <c r="G16" s="146"/>
      <c r="H16" s="146"/>
      <c r="I16" s="147"/>
    </row>
    <row r="17" spans="1:9" ht="30" customHeight="1">
      <c r="A17" s="32" t="s">
        <v>14</v>
      </c>
      <c r="B17" s="31">
        <f>C17+D17+E17+F17+G17+H17+I17</f>
        <v>1188921747.26</v>
      </c>
      <c r="C17" s="33">
        <f>'табл.3(1)'!F84</f>
        <v>160117960.24</v>
      </c>
      <c r="D17" s="33">
        <f>'табл.3(1)'!G84</f>
        <v>154661265.49</v>
      </c>
      <c r="E17" s="33">
        <f>'табл.3(1)'!H84</f>
        <v>163350077.13</v>
      </c>
      <c r="F17" s="33">
        <f>'табл.3(1)'!I84</f>
        <v>174960211.45</v>
      </c>
      <c r="G17" s="33">
        <f>'табл.3(1)'!J84</f>
        <v>181653796.93</v>
      </c>
      <c r="H17" s="33">
        <f>'табл.3(1)'!K84</f>
        <v>175008121.14000002</v>
      </c>
      <c r="I17" s="33">
        <f>'табл.3(1)'!L84</f>
        <v>179170314.88</v>
      </c>
    </row>
    <row r="18" spans="1:9" ht="30" customHeight="1">
      <c r="A18" s="32" t="s">
        <v>15</v>
      </c>
      <c r="B18" s="31">
        <f>C18+D18+E18+F18+G18+H18+I18</f>
        <v>73039364.07000001</v>
      </c>
      <c r="C18" s="33">
        <f>'табл.3(1)'!F85</f>
        <v>4344894.3100000005</v>
      </c>
      <c r="D18" s="33">
        <f>'табл.3(1)'!G85</f>
        <v>5597215</v>
      </c>
      <c r="E18" s="33">
        <f>'табл.3(1)'!H85</f>
        <v>6483560.13</v>
      </c>
      <c r="F18" s="33">
        <f>'табл.3(1)'!I85</f>
        <v>13056679.280000001</v>
      </c>
      <c r="G18" s="33">
        <f>'табл.3(1)'!J85</f>
        <v>13829381.709999999</v>
      </c>
      <c r="H18" s="33">
        <f>'табл.3(1)'!K85</f>
        <v>14541929.340000002</v>
      </c>
      <c r="I18" s="33">
        <f>'табл.3(1)'!L85</f>
        <v>15185704.299999999</v>
      </c>
    </row>
    <row r="19" spans="1:9" ht="30" customHeight="1">
      <c r="A19" s="32" t="s">
        <v>16</v>
      </c>
      <c r="B19" s="31">
        <f>C19+D19+E19+F19+G19+H19+I19</f>
        <v>50000</v>
      </c>
      <c r="C19" s="33">
        <v>0</v>
      </c>
      <c r="D19" s="33">
        <v>0</v>
      </c>
      <c r="E19" s="33">
        <v>0</v>
      </c>
      <c r="F19" s="33">
        <f>'табл.3(1)'!I86</f>
        <v>50000</v>
      </c>
      <c r="G19" s="33">
        <v>0</v>
      </c>
      <c r="H19" s="33">
        <v>0</v>
      </c>
      <c r="I19" s="33">
        <v>0</v>
      </c>
    </row>
    <row r="20" spans="1:9" ht="30" customHeight="1">
      <c r="A20" s="32" t="s">
        <v>17</v>
      </c>
      <c r="B20" s="31">
        <f>C20+D20+E20+F20+G20+H20+I20</f>
        <v>49916772.629999995</v>
      </c>
      <c r="C20" s="33">
        <f>'табл.3(1)'!F87</f>
        <v>5208269.08</v>
      </c>
      <c r="D20" s="33">
        <f>'табл.3(1)'!G87</f>
        <v>6573577.91</v>
      </c>
      <c r="E20" s="33">
        <f>'табл.3(1)'!H87</f>
        <v>8317915.62</v>
      </c>
      <c r="F20" s="33">
        <f>'табл.3(1)'!I87</f>
        <v>10920190.02</v>
      </c>
      <c r="G20" s="33">
        <f>'табл.3(1)'!J87</f>
        <v>6285600</v>
      </c>
      <c r="H20" s="33">
        <f>'табл.3(1)'!K87</f>
        <v>6305610</v>
      </c>
      <c r="I20" s="33">
        <f>'табл.3(1)'!L87</f>
        <v>6305610</v>
      </c>
    </row>
    <row r="22" ht="15.75">
      <c r="A22" s="35"/>
    </row>
    <row r="23" ht="15.75">
      <c r="A23" s="36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SheetLayoutView="115" zoomScalePageLayoutView="0" workbookViewId="0" topLeftCell="J1">
      <pane ySplit="1" topLeftCell="A2" activePane="bottomLeft" state="frozen"/>
      <selection pane="topLeft" activeCell="J1" sqref="J1"/>
      <selection pane="bottomLeft" activeCell="I70" sqref="I70"/>
    </sheetView>
  </sheetViews>
  <sheetFormatPr defaultColWidth="9.140625" defaultRowHeight="15"/>
  <cols>
    <col min="1" max="1" width="9.140625" style="10" customWidth="1"/>
    <col min="2" max="2" width="36.140625" style="10" customWidth="1"/>
    <col min="3" max="3" width="10.8515625" style="10" customWidth="1"/>
    <col min="4" max="4" width="10.00390625" style="10" customWidth="1"/>
    <col min="5" max="5" width="15.421875" style="10" bestFit="1" customWidth="1"/>
    <col min="6" max="12" width="14.00390625" style="10" bestFit="1" customWidth="1"/>
    <col min="13" max="13" width="25.421875" style="10" customWidth="1"/>
    <col min="14" max="14" width="8.8515625" style="10" customWidth="1"/>
    <col min="15" max="15" width="8.57421875" style="10" customWidth="1"/>
    <col min="16" max="17" width="8.421875" style="10" customWidth="1"/>
    <col min="18" max="18" width="8.57421875" style="10" customWidth="1"/>
    <col min="19" max="19" width="8.421875" style="10" customWidth="1"/>
    <col min="20" max="20" width="8.8515625" style="10" customWidth="1"/>
    <col min="21" max="21" width="24.421875" style="10" customWidth="1"/>
    <col min="22" max="16384" width="9.140625" style="10" customWidth="1"/>
  </cols>
  <sheetData>
    <row r="1" s="8" customFormat="1" ht="14.25" customHeight="1">
      <c r="U1" s="9" t="s">
        <v>109</v>
      </c>
    </row>
    <row r="2" spans="1:21" s="8" customFormat="1" ht="12.75">
      <c r="A2" s="130" t="s">
        <v>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31.5" customHeight="1">
      <c r="A3" s="216" t="s">
        <v>7</v>
      </c>
      <c r="B3" s="211" t="s">
        <v>19</v>
      </c>
      <c r="C3" s="211" t="s">
        <v>20</v>
      </c>
      <c r="D3" s="211" t="s">
        <v>10</v>
      </c>
      <c r="E3" s="211" t="s">
        <v>27</v>
      </c>
      <c r="F3" s="211"/>
      <c r="G3" s="211"/>
      <c r="H3" s="211"/>
      <c r="I3" s="211"/>
      <c r="J3" s="211"/>
      <c r="K3" s="211"/>
      <c r="L3" s="211"/>
      <c r="M3" s="216" t="s">
        <v>56</v>
      </c>
      <c r="N3" s="216"/>
      <c r="O3" s="216"/>
      <c r="P3" s="216"/>
      <c r="Q3" s="216"/>
      <c r="R3" s="216"/>
      <c r="S3" s="216"/>
      <c r="T3" s="216"/>
      <c r="U3" s="220" t="s">
        <v>28</v>
      </c>
    </row>
    <row r="4" spans="1:21" ht="21" customHeight="1">
      <c r="A4" s="216"/>
      <c r="B4" s="211"/>
      <c r="C4" s="211"/>
      <c r="D4" s="211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221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217" t="s">
        <v>37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9"/>
    </row>
    <row r="7" spans="1:21" ht="12.75">
      <c r="A7" s="12">
        <v>1</v>
      </c>
      <c r="B7" s="222" t="s">
        <v>38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4"/>
    </row>
    <row r="8" spans="1:21" ht="12.75">
      <c r="A8" s="192" t="s">
        <v>5</v>
      </c>
      <c r="B8" s="212" t="s">
        <v>51</v>
      </c>
      <c r="C8" s="177" t="s">
        <v>55</v>
      </c>
      <c r="D8" s="13" t="s">
        <v>4</v>
      </c>
      <c r="E8" s="14">
        <f>E10+E11+E12+E13</f>
        <v>19693555.07</v>
      </c>
      <c r="F8" s="14">
        <f aca="true" t="shared" si="0" ref="F8:L8">F10+F11+F12+F13</f>
        <v>1729980</v>
      </c>
      <c r="G8" s="14">
        <f t="shared" si="0"/>
        <v>1670815.07</v>
      </c>
      <c r="H8" s="14">
        <f t="shared" si="0"/>
        <v>2299220</v>
      </c>
      <c r="I8" s="14">
        <f t="shared" si="0"/>
        <v>4923720</v>
      </c>
      <c r="J8" s="14">
        <f t="shared" si="0"/>
        <v>2808000</v>
      </c>
      <c r="K8" s="14">
        <f t="shared" si="0"/>
        <v>2727600</v>
      </c>
      <c r="L8" s="14">
        <f t="shared" si="0"/>
        <v>3534220</v>
      </c>
      <c r="M8" s="183" t="s">
        <v>47</v>
      </c>
      <c r="N8" s="158" t="s">
        <v>33</v>
      </c>
      <c r="O8" s="158" t="s">
        <v>33</v>
      </c>
      <c r="P8" s="158" t="s">
        <v>33</v>
      </c>
      <c r="Q8" s="158" t="s">
        <v>33</v>
      </c>
      <c r="R8" s="158" t="s">
        <v>33</v>
      </c>
      <c r="S8" s="158" t="s">
        <v>33</v>
      </c>
      <c r="T8" s="158" t="s">
        <v>33</v>
      </c>
      <c r="U8" s="166" t="s">
        <v>31</v>
      </c>
    </row>
    <row r="9" spans="1:21" ht="12.75">
      <c r="A9" s="192"/>
      <c r="B9" s="212"/>
      <c r="C9" s="178"/>
      <c r="D9" s="180" t="s">
        <v>29</v>
      </c>
      <c r="E9" s="181"/>
      <c r="F9" s="181"/>
      <c r="G9" s="181"/>
      <c r="H9" s="181"/>
      <c r="I9" s="181"/>
      <c r="J9" s="181"/>
      <c r="K9" s="181"/>
      <c r="L9" s="182"/>
      <c r="M9" s="184"/>
      <c r="N9" s="169"/>
      <c r="O9" s="169"/>
      <c r="P9" s="169"/>
      <c r="Q9" s="169"/>
      <c r="R9" s="169"/>
      <c r="S9" s="169"/>
      <c r="T9" s="169"/>
      <c r="U9" s="167"/>
    </row>
    <row r="10" spans="1:21" ht="12.75">
      <c r="A10" s="192"/>
      <c r="B10" s="212"/>
      <c r="C10" s="178"/>
      <c r="D10" s="15" t="s">
        <v>2</v>
      </c>
      <c r="E10" s="16">
        <f>SUM(F10:L10)</f>
        <v>19693555.07</v>
      </c>
      <c r="F10" s="16">
        <v>1729980</v>
      </c>
      <c r="G10" s="16">
        <v>1670815.07</v>
      </c>
      <c r="H10" s="16">
        <v>2299220</v>
      </c>
      <c r="I10" s="16">
        <f>4866720+57000</f>
        <v>4923720</v>
      </c>
      <c r="J10" s="16">
        <v>2808000</v>
      </c>
      <c r="K10" s="16">
        <v>2727600</v>
      </c>
      <c r="L10" s="16">
        <v>3534220</v>
      </c>
      <c r="M10" s="184"/>
      <c r="N10" s="169"/>
      <c r="O10" s="169"/>
      <c r="P10" s="169"/>
      <c r="Q10" s="169"/>
      <c r="R10" s="169"/>
      <c r="S10" s="169"/>
      <c r="T10" s="169"/>
      <c r="U10" s="167"/>
    </row>
    <row r="11" spans="1:21" ht="12.75">
      <c r="A11" s="192"/>
      <c r="B11" s="212"/>
      <c r="C11" s="178"/>
      <c r="D11" s="15" t="s">
        <v>0</v>
      </c>
      <c r="E11" s="16">
        <f>SUM(F11:L11)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84"/>
      <c r="N11" s="169"/>
      <c r="O11" s="169"/>
      <c r="P11" s="169"/>
      <c r="Q11" s="169"/>
      <c r="R11" s="169"/>
      <c r="S11" s="169"/>
      <c r="T11" s="169"/>
      <c r="U11" s="167"/>
    </row>
    <row r="12" spans="1:21" ht="12.75">
      <c r="A12" s="192"/>
      <c r="B12" s="212"/>
      <c r="C12" s="178"/>
      <c r="D12" s="15" t="s">
        <v>1</v>
      </c>
      <c r="E12" s="16">
        <f>SUM(F12:L12)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84"/>
      <c r="N12" s="169"/>
      <c r="O12" s="169"/>
      <c r="P12" s="169"/>
      <c r="Q12" s="169"/>
      <c r="R12" s="169"/>
      <c r="S12" s="169"/>
      <c r="T12" s="169"/>
      <c r="U12" s="167"/>
    </row>
    <row r="13" spans="1:21" ht="12.75">
      <c r="A13" s="192"/>
      <c r="B13" s="212"/>
      <c r="C13" s="179"/>
      <c r="D13" s="15" t="s">
        <v>3</v>
      </c>
      <c r="E13" s="16">
        <f>SUM(F13:L13)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85"/>
      <c r="N13" s="170"/>
      <c r="O13" s="170"/>
      <c r="P13" s="170"/>
      <c r="Q13" s="170"/>
      <c r="R13" s="170"/>
      <c r="S13" s="170"/>
      <c r="T13" s="170"/>
      <c r="U13" s="168"/>
    </row>
    <row r="14" spans="1:21" ht="12.75">
      <c r="A14" s="171"/>
      <c r="B14" s="193" t="s">
        <v>39</v>
      </c>
      <c r="C14" s="177"/>
      <c r="D14" s="13" t="s">
        <v>4</v>
      </c>
      <c r="E14" s="14">
        <f>E16+E17+E18+E19</f>
        <v>19693555.07</v>
      </c>
      <c r="F14" s="14">
        <f aca="true" t="shared" si="1" ref="F14:L14">F16+F17+F18+F19</f>
        <v>1729980</v>
      </c>
      <c r="G14" s="14">
        <f t="shared" si="1"/>
        <v>1670815.07</v>
      </c>
      <c r="H14" s="14">
        <f t="shared" si="1"/>
        <v>2299220</v>
      </c>
      <c r="I14" s="14">
        <f t="shared" si="1"/>
        <v>4923720</v>
      </c>
      <c r="J14" s="14">
        <f t="shared" si="1"/>
        <v>2808000</v>
      </c>
      <c r="K14" s="14">
        <f t="shared" si="1"/>
        <v>2727600</v>
      </c>
      <c r="L14" s="14">
        <f t="shared" si="1"/>
        <v>3534220</v>
      </c>
      <c r="M14" s="183"/>
      <c r="N14" s="158"/>
      <c r="O14" s="158"/>
      <c r="P14" s="158"/>
      <c r="Q14" s="158"/>
      <c r="R14" s="158"/>
      <c r="S14" s="158"/>
      <c r="T14" s="158"/>
      <c r="U14" s="166"/>
    </row>
    <row r="15" spans="1:21" ht="12.75">
      <c r="A15" s="172"/>
      <c r="B15" s="194"/>
      <c r="C15" s="178"/>
      <c r="D15" s="180" t="s">
        <v>29</v>
      </c>
      <c r="E15" s="181"/>
      <c r="F15" s="181"/>
      <c r="G15" s="181"/>
      <c r="H15" s="181"/>
      <c r="I15" s="181"/>
      <c r="J15" s="181"/>
      <c r="K15" s="181"/>
      <c r="L15" s="182"/>
      <c r="M15" s="188"/>
      <c r="N15" s="159"/>
      <c r="O15" s="159"/>
      <c r="P15" s="159"/>
      <c r="Q15" s="159"/>
      <c r="R15" s="159"/>
      <c r="S15" s="159"/>
      <c r="T15" s="159"/>
      <c r="U15" s="159"/>
    </row>
    <row r="16" spans="1:21" ht="12.75">
      <c r="A16" s="172"/>
      <c r="B16" s="194"/>
      <c r="C16" s="178"/>
      <c r="D16" s="15" t="s">
        <v>2</v>
      </c>
      <c r="E16" s="16">
        <f>SUM(F16:L16)</f>
        <v>19693555.07</v>
      </c>
      <c r="F16" s="16">
        <f aca="true" t="shared" si="2" ref="F16:K16">F10</f>
        <v>1729980</v>
      </c>
      <c r="G16" s="16">
        <f t="shared" si="2"/>
        <v>1670815.07</v>
      </c>
      <c r="H16" s="16">
        <f t="shared" si="2"/>
        <v>2299220</v>
      </c>
      <c r="I16" s="16">
        <f t="shared" si="2"/>
        <v>4923720</v>
      </c>
      <c r="J16" s="16">
        <f t="shared" si="2"/>
        <v>2808000</v>
      </c>
      <c r="K16" s="16">
        <f t="shared" si="2"/>
        <v>2727600</v>
      </c>
      <c r="L16" s="16">
        <f>L10</f>
        <v>3534220</v>
      </c>
      <c r="M16" s="188"/>
      <c r="N16" s="159"/>
      <c r="O16" s="159"/>
      <c r="P16" s="159"/>
      <c r="Q16" s="159"/>
      <c r="R16" s="159"/>
      <c r="S16" s="159"/>
      <c r="T16" s="159"/>
      <c r="U16" s="159"/>
    </row>
    <row r="17" spans="1:21" ht="12.75">
      <c r="A17" s="172"/>
      <c r="B17" s="194"/>
      <c r="C17" s="178"/>
      <c r="D17" s="15" t="s">
        <v>0</v>
      </c>
      <c r="E17" s="16">
        <f>SUM(F17:L17)</f>
        <v>0</v>
      </c>
      <c r="F17" s="16">
        <f aca="true" t="shared" si="3" ref="F17:L19">F11</f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88"/>
      <c r="N17" s="159"/>
      <c r="O17" s="159"/>
      <c r="P17" s="159"/>
      <c r="Q17" s="159"/>
      <c r="R17" s="159"/>
      <c r="S17" s="159"/>
      <c r="T17" s="159"/>
      <c r="U17" s="159"/>
    </row>
    <row r="18" spans="1:21" ht="12.75">
      <c r="A18" s="172"/>
      <c r="B18" s="194"/>
      <c r="C18" s="178"/>
      <c r="D18" s="15" t="s">
        <v>1</v>
      </c>
      <c r="E18" s="16">
        <f>SUM(F18:L18)</f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88"/>
      <c r="N18" s="159"/>
      <c r="O18" s="159"/>
      <c r="P18" s="159"/>
      <c r="Q18" s="159"/>
      <c r="R18" s="159"/>
      <c r="S18" s="159"/>
      <c r="T18" s="159"/>
      <c r="U18" s="159"/>
    </row>
    <row r="19" spans="1:21" ht="12.75">
      <c r="A19" s="173"/>
      <c r="B19" s="195"/>
      <c r="C19" s="179"/>
      <c r="D19" s="15" t="s">
        <v>3</v>
      </c>
      <c r="E19" s="16">
        <f>SUM(F19:L19)</f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88"/>
      <c r="N19" s="159"/>
      <c r="O19" s="159"/>
      <c r="P19" s="159"/>
      <c r="Q19" s="159"/>
      <c r="R19" s="159"/>
      <c r="S19" s="159"/>
      <c r="T19" s="159"/>
      <c r="U19" s="159"/>
    </row>
    <row r="20" spans="1:21" ht="15">
      <c r="A20" s="3">
        <v>2</v>
      </c>
      <c r="B20" s="213" t="s">
        <v>40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5"/>
      <c r="M20" s="189"/>
      <c r="N20" s="128"/>
      <c r="O20" s="128"/>
      <c r="P20" s="128"/>
      <c r="Q20" s="128"/>
      <c r="R20" s="128"/>
      <c r="S20" s="128"/>
      <c r="T20" s="128"/>
      <c r="U20" s="128"/>
    </row>
    <row r="21" spans="1:21" ht="12.75">
      <c r="A21" s="171" t="s">
        <v>6</v>
      </c>
      <c r="B21" s="174" t="s">
        <v>52</v>
      </c>
      <c r="C21" s="177" t="s">
        <v>61</v>
      </c>
      <c r="D21" s="13" t="s">
        <v>4</v>
      </c>
      <c r="E21" s="14">
        <f>E23+E24+E25+E26</f>
        <v>189525217.22000003</v>
      </c>
      <c r="F21" s="14">
        <f aca="true" t="shared" si="4" ref="F21:L21">F23+F24+F25+F26</f>
        <v>65942807.34</v>
      </c>
      <c r="G21" s="14">
        <f t="shared" si="4"/>
        <v>61212738.510000005</v>
      </c>
      <c r="H21" s="14">
        <f t="shared" si="4"/>
        <v>62369671.37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64" t="s">
        <v>46</v>
      </c>
      <c r="N21" s="169">
        <v>711</v>
      </c>
      <c r="O21" s="169">
        <v>815</v>
      </c>
      <c r="P21" s="169">
        <v>825</v>
      </c>
      <c r="Q21" s="169">
        <v>0</v>
      </c>
      <c r="R21" s="169">
        <v>0</v>
      </c>
      <c r="S21" s="169">
        <v>0</v>
      </c>
      <c r="T21" s="169">
        <v>0</v>
      </c>
      <c r="U21" s="166" t="s">
        <v>48</v>
      </c>
    </row>
    <row r="22" spans="1:21" ht="12.75" customHeight="1">
      <c r="A22" s="159"/>
      <c r="B22" s="188"/>
      <c r="C22" s="178"/>
      <c r="D22" s="180" t="s">
        <v>29</v>
      </c>
      <c r="E22" s="181"/>
      <c r="F22" s="181"/>
      <c r="G22" s="181"/>
      <c r="H22" s="181"/>
      <c r="I22" s="181"/>
      <c r="J22" s="181"/>
      <c r="K22" s="181"/>
      <c r="L22" s="182"/>
      <c r="M22" s="165"/>
      <c r="N22" s="159"/>
      <c r="O22" s="159"/>
      <c r="P22" s="159"/>
      <c r="Q22" s="159"/>
      <c r="R22" s="159"/>
      <c r="S22" s="159"/>
      <c r="T22" s="159"/>
      <c r="U22" s="159"/>
    </row>
    <row r="23" spans="1:21" ht="12.75" customHeight="1">
      <c r="A23" s="159"/>
      <c r="B23" s="188"/>
      <c r="C23" s="178"/>
      <c r="D23" s="15" t="s">
        <v>2</v>
      </c>
      <c r="E23" s="16">
        <f>SUM(F23:L23)</f>
        <v>181498372.92000002</v>
      </c>
      <c r="F23" s="16">
        <v>63783452.34</v>
      </c>
      <c r="G23" s="16">
        <f>56914601.34+480455.57+994511.6</f>
        <v>58389568.510000005</v>
      </c>
      <c r="H23" s="16">
        <f>59193848.25+131503.82</f>
        <v>59325352.07</v>
      </c>
      <c r="I23" s="16"/>
      <c r="J23" s="16"/>
      <c r="K23" s="16"/>
      <c r="L23" s="16"/>
      <c r="M23" s="165"/>
      <c r="N23" s="159"/>
      <c r="O23" s="159"/>
      <c r="P23" s="159"/>
      <c r="Q23" s="159"/>
      <c r="R23" s="159"/>
      <c r="S23" s="159"/>
      <c r="T23" s="159"/>
      <c r="U23" s="159"/>
    </row>
    <row r="24" spans="1:21" ht="12.75" customHeight="1">
      <c r="A24" s="159"/>
      <c r="B24" s="188"/>
      <c r="C24" s="178"/>
      <c r="D24" s="15" t="s">
        <v>0</v>
      </c>
      <c r="E24" s="16">
        <f>SUM(F24:L24)</f>
        <v>699944</v>
      </c>
      <c r="F24" s="16">
        <v>222820</v>
      </c>
      <c r="G24" s="16">
        <v>212870</v>
      </c>
      <c r="H24" s="16">
        <v>264254</v>
      </c>
      <c r="I24" s="16">
        <v>0</v>
      </c>
      <c r="J24" s="16">
        <v>0</v>
      </c>
      <c r="K24" s="16">
        <v>0</v>
      </c>
      <c r="L24" s="16">
        <v>0</v>
      </c>
      <c r="M24" s="165"/>
      <c r="N24" s="159"/>
      <c r="O24" s="159"/>
      <c r="P24" s="159"/>
      <c r="Q24" s="159"/>
      <c r="R24" s="159"/>
      <c r="S24" s="159"/>
      <c r="T24" s="159"/>
      <c r="U24" s="159"/>
    </row>
    <row r="25" spans="1:21" ht="12.75" customHeight="1">
      <c r="A25" s="159"/>
      <c r="B25" s="188"/>
      <c r="C25" s="178"/>
      <c r="D25" s="15" t="s">
        <v>1</v>
      </c>
      <c r="E25" s="16">
        <f>SUM(F25:L25)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5"/>
      <c r="N25" s="159"/>
      <c r="O25" s="159"/>
      <c r="P25" s="159"/>
      <c r="Q25" s="159"/>
      <c r="R25" s="159"/>
      <c r="S25" s="159"/>
      <c r="T25" s="159"/>
      <c r="U25" s="159"/>
    </row>
    <row r="26" spans="1:21" ht="12.75" customHeight="1">
      <c r="A26" s="128"/>
      <c r="B26" s="189"/>
      <c r="C26" s="179"/>
      <c r="D26" s="15" t="s">
        <v>3</v>
      </c>
      <c r="E26" s="16">
        <f>SUM(F26:L26)</f>
        <v>7326900.3</v>
      </c>
      <c r="F26" s="16">
        <v>1936535</v>
      </c>
      <c r="G26" s="16">
        <f>2240260+250040+120000</f>
        <v>2610300</v>
      </c>
      <c r="H26" s="16">
        <f>2498800+166540+114725.3</f>
        <v>2780065.3</v>
      </c>
      <c r="I26" s="16"/>
      <c r="J26" s="16"/>
      <c r="K26" s="16"/>
      <c r="L26" s="16"/>
      <c r="M26" s="165"/>
      <c r="N26" s="159"/>
      <c r="O26" s="159"/>
      <c r="P26" s="159"/>
      <c r="Q26" s="159"/>
      <c r="R26" s="159"/>
      <c r="S26" s="159"/>
      <c r="T26" s="159"/>
      <c r="U26" s="128"/>
    </row>
    <row r="27" spans="1:21" ht="12.75" customHeight="1">
      <c r="A27" s="171" t="s">
        <v>41</v>
      </c>
      <c r="B27" s="174" t="s">
        <v>62</v>
      </c>
      <c r="C27" s="177" t="s">
        <v>63</v>
      </c>
      <c r="D27" s="13" t="s">
        <v>4</v>
      </c>
      <c r="E27" s="14">
        <f>E29+E30+E31+E32</f>
        <v>3750796.88</v>
      </c>
      <c r="F27" s="14">
        <f aca="true" t="shared" si="5" ref="F27:L27">F29+F30+F31+F32</f>
        <v>782555</v>
      </c>
      <c r="G27" s="14">
        <f t="shared" si="5"/>
        <v>553116.88</v>
      </c>
      <c r="H27" s="14">
        <f t="shared" si="5"/>
        <v>505125</v>
      </c>
      <c r="I27" s="14">
        <f t="shared" si="5"/>
        <v>470000</v>
      </c>
      <c r="J27" s="14">
        <f t="shared" si="5"/>
        <v>480000</v>
      </c>
      <c r="K27" s="14">
        <f t="shared" si="5"/>
        <v>480000</v>
      </c>
      <c r="L27" s="14">
        <f t="shared" si="5"/>
        <v>480000</v>
      </c>
      <c r="M27" s="162" t="s">
        <v>78</v>
      </c>
      <c r="N27" s="158" t="s">
        <v>77</v>
      </c>
      <c r="O27" s="158" t="s">
        <v>77</v>
      </c>
      <c r="P27" s="158" t="s">
        <v>77</v>
      </c>
      <c r="Q27" s="158">
        <v>0</v>
      </c>
      <c r="R27" s="158">
        <v>0</v>
      </c>
      <c r="S27" s="158">
        <v>0</v>
      </c>
      <c r="T27" s="158">
        <v>0</v>
      </c>
      <c r="U27" s="166" t="s">
        <v>48</v>
      </c>
    </row>
    <row r="28" spans="1:21" ht="12.75" customHeight="1">
      <c r="A28" s="159"/>
      <c r="B28" s="188"/>
      <c r="C28" s="178"/>
      <c r="D28" s="180" t="s">
        <v>29</v>
      </c>
      <c r="E28" s="181"/>
      <c r="F28" s="181"/>
      <c r="G28" s="181"/>
      <c r="H28" s="181"/>
      <c r="I28" s="181"/>
      <c r="J28" s="181"/>
      <c r="K28" s="181"/>
      <c r="L28" s="182"/>
      <c r="M28" s="163"/>
      <c r="N28" s="159"/>
      <c r="O28" s="159"/>
      <c r="P28" s="159"/>
      <c r="Q28" s="159"/>
      <c r="R28" s="159"/>
      <c r="S28" s="159"/>
      <c r="T28" s="159"/>
      <c r="U28" s="159"/>
    </row>
    <row r="29" spans="1:21" ht="44.25" customHeight="1">
      <c r="A29" s="159"/>
      <c r="B29" s="188"/>
      <c r="C29" s="178"/>
      <c r="D29" s="15" t="s">
        <v>2</v>
      </c>
      <c r="E29" s="16">
        <f>SUM(F29:L29)</f>
        <v>273581.88</v>
      </c>
      <c r="F29" s="16">
        <v>203040</v>
      </c>
      <c r="G29" s="16">
        <v>25416.88</v>
      </c>
      <c r="H29" s="16">
        <v>45125</v>
      </c>
      <c r="I29" s="16">
        <v>0</v>
      </c>
      <c r="J29" s="16">
        <v>0</v>
      </c>
      <c r="K29" s="16">
        <v>0</v>
      </c>
      <c r="L29" s="16">
        <v>0</v>
      </c>
      <c r="M29" s="163"/>
      <c r="N29" s="159"/>
      <c r="O29" s="159"/>
      <c r="P29" s="159"/>
      <c r="Q29" s="159"/>
      <c r="R29" s="159"/>
      <c r="S29" s="159"/>
      <c r="T29" s="159"/>
      <c r="U29" s="159"/>
    </row>
    <row r="30" spans="1:21" ht="12.75" customHeight="1">
      <c r="A30" s="159"/>
      <c r="B30" s="188"/>
      <c r="C30" s="178"/>
      <c r="D30" s="15" t="s">
        <v>0</v>
      </c>
      <c r="E30" s="16">
        <f>SUM(F30:L30)</f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4" t="s">
        <v>65</v>
      </c>
      <c r="N30" s="158">
        <v>0</v>
      </c>
      <c r="O30" s="158">
        <v>0</v>
      </c>
      <c r="P30" s="158">
        <v>0</v>
      </c>
      <c r="Q30" s="158">
        <v>161</v>
      </c>
      <c r="R30" s="158">
        <v>167</v>
      </c>
      <c r="S30" s="158">
        <v>173</v>
      </c>
      <c r="T30" s="158">
        <v>173</v>
      </c>
      <c r="U30" s="159"/>
    </row>
    <row r="31" spans="1:21" ht="12.75" customHeight="1">
      <c r="A31" s="159"/>
      <c r="B31" s="188"/>
      <c r="C31" s="178"/>
      <c r="D31" s="15" t="s">
        <v>1</v>
      </c>
      <c r="E31" s="16">
        <f>SUM(F31:L31)</f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5"/>
      <c r="N31" s="159"/>
      <c r="O31" s="159"/>
      <c r="P31" s="159"/>
      <c r="Q31" s="159"/>
      <c r="R31" s="159"/>
      <c r="S31" s="159"/>
      <c r="T31" s="159"/>
      <c r="U31" s="159"/>
    </row>
    <row r="32" spans="1:21" ht="12.75" customHeight="1">
      <c r="A32" s="128"/>
      <c r="B32" s="189"/>
      <c r="C32" s="179"/>
      <c r="D32" s="15" t="s">
        <v>3</v>
      </c>
      <c r="E32" s="16">
        <f>SUM(F32:L32)</f>
        <v>3477215</v>
      </c>
      <c r="F32" s="16">
        <v>579515</v>
      </c>
      <c r="G32" s="16">
        <v>527700</v>
      </c>
      <c r="H32" s="16">
        <v>460000</v>
      </c>
      <c r="I32" s="16">
        <v>470000</v>
      </c>
      <c r="J32" s="16">
        <v>480000</v>
      </c>
      <c r="K32" s="16">
        <v>480000</v>
      </c>
      <c r="L32" s="16">
        <v>480000</v>
      </c>
      <c r="M32" s="165"/>
      <c r="N32" s="159"/>
      <c r="O32" s="159"/>
      <c r="P32" s="159"/>
      <c r="Q32" s="159"/>
      <c r="R32" s="159"/>
      <c r="S32" s="159"/>
      <c r="T32" s="159"/>
      <c r="U32" s="128"/>
    </row>
    <row r="33" spans="1:21" ht="12.75" customHeight="1">
      <c r="A33" s="171" t="s">
        <v>57</v>
      </c>
      <c r="B33" s="174" t="s">
        <v>64</v>
      </c>
      <c r="C33" s="177" t="s">
        <v>60</v>
      </c>
      <c r="D33" s="13" t="s">
        <v>4</v>
      </c>
      <c r="E33" s="14">
        <f>E35+E36+E37+E38</f>
        <v>144769025.97</v>
      </c>
      <c r="F33" s="14">
        <f aca="true" t="shared" si="6" ref="F33:L33">F35+F36+F37+F38</f>
        <v>0</v>
      </c>
      <c r="G33" s="14">
        <f t="shared" si="6"/>
        <v>0</v>
      </c>
      <c r="H33" s="14">
        <f t="shared" si="6"/>
        <v>0</v>
      </c>
      <c r="I33" s="14">
        <f t="shared" si="6"/>
        <v>45634244.37</v>
      </c>
      <c r="J33" s="14">
        <f t="shared" si="6"/>
        <v>36525676.04</v>
      </c>
      <c r="K33" s="14">
        <f t="shared" si="6"/>
        <v>32010360.84</v>
      </c>
      <c r="L33" s="14">
        <f t="shared" si="6"/>
        <v>30598744.72</v>
      </c>
      <c r="M33" s="164" t="s">
        <v>66</v>
      </c>
      <c r="N33" s="158">
        <v>0</v>
      </c>
      <c r="O33" s="158">
        <v>0</v>
      </c>
      <c r="P33" s="158">
        <v>0</v>
      </c>
      <c r="Q33" s="127" t="s">
        <v>74</v>
      </c>
      <c r="R33" s="127" t="s">
        <v>229</v>
      </c>
      <c r="S33" s="127" t="s">
        <v>230</v>
      </c>
      <c r="T33" s="127" t="s">
        <v>231</v>
      </c>
      <c r="U33" s="166" t="s">
        <v>48</v>
      </c>
    </row>
    <row r="34" spans="1:21" ht="12.75" customHeight="1">
      <c r="A34" s="159"/>
      <c r="B34" s="188"/>
      <c r="C34" s="178"/>
      <c r="D34" s="180" t="s">
        <v>29</v>
      </c>
      <c r="E34" s="181"/>
      <c r="F34" s="181"/>
      <c r="G34" s="181"/>
      <c r="H34" s="181"/>
      <c r="I34" s="181"/>
      <c r="J34" s="181"/>
      <c r="K34" s="181"/>
      <c r="L34" s="182"/>
      <c r="M34" s="165"/>
      <c r="N34" s="159"/>
      <c r="O34" s="159"/>
      <c r="P34" s="159"/>
      <c r="Q34" s="160"/>
      <c r="R34" s="160"/>
      <c r="S34" s="160"/>
      <c r="T34" s="160"/>
      <c r="U34" s="159"/>
    </row>
    <row r="35" spans="1:21" ht="12.75" customHeight="1">
      <c r="A35" s="159"/>
      <c r="B35" s="188"/>
      <c r="C35" s="178"/>
      <c r="D35" s="15" t="s">
        <v>2</v>
      </c>
      <c r="E35" s="16">
        <f>SUM(F35:L35)</f>
        <v>134876860.88</v>
      </c>
      <c r="F35" s="16">
        <v>0</v>
      </c>
      <c r="G35" s="16">
        <v>0</v>
      </c>
      <c r="H35" s="16">
        <v>0</v>
      </c>
      <c r="I35" s="16">
        <v>42755613.08</v>
      </c>
      <c r="J35" s="16">
        <v>34183467.04</v>
      </c>
      <c r="K35" s="16">
        <v>29673094.76</v>
      </c>
      <c r="L35" s="16">
        <v>28264686</v>
      </c>
      <c r="M35" s="165"/>
      <c r="N35" s="159"/>
      <c r="O35" s="159"/>
      <c r="P35" s="159"/>
      <c r="Q35" s="160"/>
      <c r="R35" s="160"/>
      <c r="S35" s="160"/>
      <c r="T35" s="160"/>
      <c r="U35" s="159"/>
    </row>
    <row r="36" spans="1:21" ht="12.75" customHeight="1">
      <c r="A36" s="159"/>
      <c r="B36" s="188"/>
      <c r="C36" s="178"/>
      <c r="D36" s="15" t="s">
        <v>0</v>
      </c>
      <c r="E36" s="16">
        <f>SUM(F36:L36)</f>
        <v>2076488.09</v>
      </c>
      <c r="F36" s="16">
        <v>0</v>
      </c>
      <c r="G36" s="16">
        <v>0</v>
      </c>
      <c r="H36" s="16">
        <v>0</v>
      </c>
      <c r="I36" s="16">
        <f>544827.14+239271.15</f>
        <v>784098.29</v>
      </c>
      <c r="J36" s="16">
        <v>443161</v>
      </c>
      <c r="K36" s="16">
        <v>426218.08</v>
      </c>
      <c r="L36" s="16">
        <v>423010.72</v>
      </c>
      <c r="M36" s="165"/>
      <c r="N36" s="159"/>
      <c r="O36" s="159"/>
      <c r="P36" s="159"/>
      <c r="Q36" s="160"/>
      <c r="R36" s="160"/>
      <c r="S36" s="160"/>
      <c r="T36" s="160"/>
      <c r="U36" s="159"/>
    </row>
    <row r="37" spans="1:21" ht="12.75" customHeight="1">
      <c r="A37" s="159"/>
      <c r="B37" s="188"/>
      <c r="C37" s="178"/>
      <c r="D37" s="15" t="s">
        <v>1</v>
      </c>
      <c r="E37" s="16">
        <f>SUM(F37:L37)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5"/>
      <c r="N37" s="159"/>
      <c r="O37" s="159"/>
      <c r="P37" s="159"/>
      <c r="Q37" s="160"/>
      <c r="R37" s="160"/>
      <c r="S37" s="160"/>
      <c r="T37" s="160"/>
      <c r="U37" s="159"/>
    </row>
    <row r="38" spans="1:21" ht="12.75" customHeight="1">
      <c r="A38" s="128"/>
      <c r="B38" s="189"/>
      <c r="C38" s="179"/>
      <c r="D38" s="15" t="s">
        <v>3</v>
      </c>
      <c r="E38" s="16">
        <f>SUM(F38:L38)</f>
        <v>7815677</v>
      </c>
      <c r="F38" s="16">
        <v>0</v>
      </c>
      <c r="G38" s="16">
        <v>0</v>
      </c>
      <c r="H38" s="16">
        <v>0</v>
      </c>
      <c r="I38" s="16">
        <f>1888048+62085+144400</f>
        <v>2094533</v>
      </c>
      <c r="J38" s="16">
        <v>1899048</v>
      </c>
      <c r="K38" s="16">
        <v>1911048</v>
      </c>
      <c r="L38" s="16">
        <v>1911048</v>
      </c>
      <c r="M38" s="165"/>
      <c r="N38" s="128"/>
      <c r="O38" s="128"/>
      <c r="P38" s="128"/>
      <c r="Q38" s="161"/>
      <c r="R38" s="161"/>
      <c r="S38" s="161"/>
      <c r="T38" s="161"/>
      <c r="U38" s="128"/>
    </row>
    <row r="39" spans="1:21" ht="12.75" customHeight="1">
      <c r="A39" s="171" t="s">
        <v>58</v>
      </c>
      <c r="B39" s="174" t="s">
        <v>76</v>
      </c>
      <c r="C39" s="177" t="s">
        <v>60</v>
      </c>
      <c r="D39" s="13" t="s">
        <v>4</v>
      </c>
      <c r="E39" s="14">
        <f>E41+E42+E43+E44</f>
        <v>127742795.80000001</v>
      </c>
      <c r="F39" s="14">
        <f aca="true" t="shared" si="7" ref="F39:L39">F41+F42+F43+F44</f>
        <v>0</v>
      </c>
      <c r="G39" s="14">
        <f t="shared" si="7"/>
        <v>0</v>
      </c>
      <c r="H39" s="14">
        <f t="shared" si="7"/>
        <v>0</v>
      </c>
      <c r="I39" s="14">
        <f t="shared" si="7"/>
        <v>21201865.91</v>
      </c>
      <c r="J39" s="14">
        <f t="shared" si="7"/>
        <v>34009188.8</v>
      </c>
      <c r="K39" s="14">
        <f t="shared" si="7"/>
        <v>35432603.730000004</v>
      </c>
      <c r="L39" s="14">
        <f t="shared" si="7"/>
        <v>37099137.36</v>
      </c>
      <c r="M39" s="164" t="s">
        <v>66</v>
      </c>
      <c r="N39" s="158">
        <v>0</v>
      </c>
      <c r="O39" s="158">
        <v>0</v>
      </c>
      <c r="P39" s="158">
        <v>0</v>
      </c>
      <c r="Q39" s="127" t="s">
        <v>75</v>
      </c>
      <c r="R39" s="127" t="s">
        <v>232</v>
      </c>
      <c r="S39" s="127" t="s">
        <v>233</v>
      </c>
      <c r="T39" s="127" t="s">
        <v>234</v>
      </c>
      <c r="U39" s="166" t="s">
        <v>48</v>
      </c>
    </row>
    <row r="40" spans="1:21" ht="12.75" customHeight="1">
      <c r="A40" s="159"/>
      <c r="B40" s="188"/>
      <c r="C40" s="178"/>
      <c r="D40" s="180" t="s">
        <v>29</v>
      </c>
      <c r="E40" s="181"/>
      <c r="F40" s="181"/>
      <c r="G40" s="181"/>
      <c r="H40" s="181"/>
      <c r="I40" s="181"/>
      <c r="J40" s="181"/>
      <c r="K40" s="181"/>
      <c r="L40" s="182"/>
      <c r="M40" s="165"/>
      <c r="N40" s="159"/>
      <c r="O40" s="159"/>
      <c r="P40" s="159"/>
      <c r="Q40" s="160"/>
      <c r="R40" s="160"/>
      <c r="S40" s="160"/>
      <c r="T40" s="160"/>
      <c r="U40" s="159"/>
    </row>
    <row r="41" spans="1:21" ht="12.75" customHeight="1">
      <c r="A41" s="159"/>
      <c r="B41" s="188"/>
      <c r="C41" s="178"/>
      <c r="D41" s="15" t="s">
        <v>2</v>
      </c>
      <c r="E41" s="16">
        <f>SUM(F41:L41)</f>
        <v>122156569.58000001</v>
      </c>
      <c r="F41" s="16">
        <v>0</v>
      </c>
      <c r="G41" s="16">
        <v>0</v>
      </c>
      <c r="H41" s="16">
        <v>0</v>
      </c>
      <c r="I41" s="16">
        <v>19798606.49</v>
      </c>
      <c r="J41" s="16">
        <v>32678687.87</v>
      </c>
      <c r="K41" s="16">
        <v>34028804.59</v>
      </c>
      <c r="L41" s="16">
        <v>35650470.63</v>
      </c>
      <c r="M41" s="165"/>
      <c r="N41" s="159"/>
      <c r="O41" s="159"/>
      <c r="P41" s="159"/>
      <c r="Q41" s="160"/>
      <c r="R41" s="160"/>
      <c r="S41" s="160"/>
      <c r="T41" s="160"/>
      <c r="U41" s="159"/>
    </row>
    <row r="42" spans="1:21" ht="12.75" customHeight="1">
      <c r="A42" s="159"/>
      <c r="B42" s="188"/>
      <c r="C42" s="178"/>
      <c r="D42" s="15" t="s">
        <v>0</v>
      </c>
      <c r="E42" s="16">
        <f>SUM(F42:L42)</f>
        <v>1692068.22</v>
      </c>
      <c r="F42" s="16">
        <v>0</v>
      </c>
      <c r="G42" s="16">
        <v>0</v>
      </c>
      <c r="H42" s="16">
        <v>0</v>
      </c>
      <c r="I42" s="16">
        <v>244777.42</v>
      </c>
      <c r="J42" s="16">
        <v>423948.93</v>
      </c>
      <c r="K42" s="16">
        <v>489237.14</v>
      </c>
      <c r="L42" s="16">
        <v>534104.73</v>
      </c>
      <c r="M42" s="165"/>
      <c r="N42" s="159"/>
      <c r="O42" s="159"/>
      <c r="P42" s="159"/>
      <c r="Q42" s="160"/>
      <c r="R42" s="160"/>
      <c r="S42" s="160"/>
      <c r="T42" s="160"/>
      <c r="U42" s="159"/>
    </row>
    <row r="43" spans="1:21" ht="12.75" customHeight="1">
      <c r="A43" s="159"/>
      <c r="B43" s="188"/>
      <c r="C43" s="178"/>
      <c r="D43" s="15" t="s">
        <v>1</v>
      </c>
      <c r="E43" s="16">
        <f>SUM(F43:L43)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5"/>
      <c r="N43" s="159"/>
      <c r="O43" s="159"/>
      <c r="P43" s="159"/>
      <c r="Q43" s="160"/>
      <c r="R43" s="160"/>
      <c r="S43" s="160"/>
      <c r="T43" s="160"/>
      <c r="U43" s="159"/>
    </row>
    <row r="44" spans="1:21" ht="12.75" customHeight="1">
      <c r="A44" s="128"/>
      <c r="B44" s="189"/>
      <c r="C44" s="179"/>
      <c r="D44" s="15" t="s">
        <v>3</v>
      </c>
      <c r="E44" s="16">
        <f>SUM(F44:L44)</f>
        <v>3894158</v>
      </c>
      <c r="F44" s="16">
        <v>0</v>
      </c>
      <c r="G44" s="16">
        <v>0</v>
      </c>
      <c r="H44" s="16">
        <v>0</v>
      </c>
      <c r="I44" s="16">
        <f>902552+87915+156000+12015</f>
        <v>1158482</v>
      </c>
      <c r="J44" s="16">
        <v>906552</v>
      </c>
      <c r="K44" s="16">
        <v>914562</v>
      </c>
      <c r="L44" s="16">
        <v>914562</v>
      </c>
      <c r="M44" s="165"/>
      <c r="N44" s="128"/>
      <c r="O44" s="128"/>
      <c r="P44" s="128"/>
      <c r="Q44" s="161"/>
      <c r="R44" s="161"/>
      <c r="S44" s="161"/>
      <c r="T44" s="161"/>
      <c r="U44" s="128"/>
    </row>
    <row r="45" spans="1:21" ht="12.75" customHeight="1">
      <c r="A45" s="186" t="s">
        <v>67</v>
      </c>
      <c r="B45" s="187" t="s">
        <v>68</v>
      </c>
      <c r="C45" s="177" t="s">
        <v>63</v>
      </c>
      <c r="D45" s="13" t="s">
        <v>4</v>
      </c>
      <c r="E45" s="14">
        <f>E47+E48+E49+E50</f>
        <v>4100780.34</v>
      </c>
      <c r="F45" s="14">
        <f aca="true" t="shared" si="8" ref="F45:L45">F47+F48+F49+F50</f>
        <v>0</v>
      </c>
      <c r="G45" s="14">
        <f t="shared" si="8"/>
        <v>0</v>
      </c>
      <c r="H45" s="14">
        <f t="shared" si="8"/>
        <v>0</v>
      </c>
      <c r="I45" s="14">
        <f t="shared" si="8"/>
        <v>1003208.3400000001</v>
      </c>
      <c r="J45" s="14">
        <f t="shared" si="8"/>
        <v>1032524</v>
      </c>
      <c r="K45" s="14">
        <f t="shared" si="8"/>
        <v>1032524</v>
      </c>
      <c r="L45" s="14">
        <f t="shared" si="8"/>
        <v>1032524</v>
      </c>
      <c r="M45" s="190"/>
      <c r="N45" s="158">
        <v>0</v>
      </c>
      <c r="O45" s="158">
        <v>0</v>
      </c>
      <c r="P45" s="158">
        <v>0</v>
      </c>
      <c r="Q45" s="127" t="s">
        <v>69</v>
      </c>
      <c r="R45" s="127" t="s">
        <v>70</v>
      </c>
      <c r="S45" s="127" t="s">
        <v>71</v>
      </c>
      <c r="T45" s="127" t="s">
        <v>71</v>
      </c>
      <c r="U45" s="166" t="s">
        <v>48</v>
      </c>
    </row>
    <row r="46" spans="1:21" ht="12.75" customHeight="1">
      <c r="A46" s="159"/>
      <c r="B46" s="188"/>
      <c r="C46" s="159"/>
      <c r="D46" s="180" t="s">
        <v>29</v>
      </c>
      <c r="E46" s="181"/>
      <c r="F46" s="181"/>
      <c r="G46" s="181"/>
      <c r="H46" s="181"/>
      <c r="I46" s="181"/>
      <c r="J46" s="181"/>
      <c r="K46" s="181"/>
      <c r="L46" s="182"/>
      <c r="M46" s="165"/>
      <c r="N46" s="159"/>
      <c r="O46" s="159"/>
      <c r="P46" s="159"/>
      <c r="Q46" s="160"/>
      <c r="R46" s="160"/>
      <c r="S46" s="160"/>
      <c r="T46" s="160"/>
      <c r="U46" s="159"/>
    </row>
    <row r="47" spans="1:21" ht="12.75" customHeight="1">
      <c r="A47" s="159"/>
      <c r="B47" s="188"/>
      <c r="C47" s="159"/>
      <c r="D47" s="15" t="s">
        <v>2</v>
      </c>
      <c r="E47" s="16">
        <f>SUM(F47:L47)</f>
        <v>4100780.34</v>
      </c>
      <c r="F47" s="16">
        <v>0</v>
      </c>
      <c r="G47" s="16">
        <v>0</v>
      </c>
      <c r="H47" s="16">
        <v>0</v>
      </c>
      <c r="I47" s="16">
        <f>1032524+10781.03-40096.69</f>
        <v>1003208.3400000001</v>
      </c>
      <c r="J47" s="16">
        <v>1032524</v>
      </c>
      <c r="K47" s="16">
        <v>1032524</v>
      </c>
      <c r="L47" s="16">
        <v>1032524</v>
      </c>
      <c r="M47" s="165"/>
      <c r="N47" s="159"/>
      <c r="O47" s="159"/>
      <c r="P47" s="159"/>
      <c r="Q47" s="160"/>
      <c r="R47" s="160"/>
      <c r="S47" s="160"/>
      <c r="T47" s="160"/>
      <c r="U47" s="159"/>
    </row>
    <row r="48" spans="1:21" ht="12.75" customHeight="1">
      <c r="A48" s="159"/>
      <c r="B48" s="188"/>
      <c r="C48" s="159"/>
      <c r="D48" s="15" t="s">
        <v>0</v>
      </c>
      <c r="E48" s="16">
        <f>SUM(F48:L48)</f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5"/>
      <c r="N48" s="159"/>
      <c r="O48" s="159"/>
      <c r="P48" s="159"/>
      <c r="Q48" s="160"/>
      <c r="R48" s="160"/>
      <c r="S48" s="160"/>
      <c r="T48" s="160"/>
      <c r="U48" s="159"/>
    </row>
    <row r="49" spans="1:21" ht="12.75" customHeight="1">
      <c r="A49" s="159"/>
      <c r="B49" s="188"/>
      <c r="C49" s="159"/>
      <c r="D49" s="15" t="s">
        <v>1</v>
      </c>
      <c r="E49" s="16">
        <f>SUM(F49:L49)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5"/>
      <c r="N49" s="159"/>
      <c r="O49" s="159"/>
      <c r="P49" s="159"/>
      <c r="Q49" s="160"/>
      <c r="R49" s="160"/>
      <c r="S49" s="160"/>
      <c r="T49" s="160"/>
      <c r="U49" s="159"/>
    </row>
    <row r="50" spans="1:21" ht="12.75" customHeight="1">
      <c r="A50" s="128"/>
      <c r="B50" s="189"/>
      <c r="C50" s="128"/>
      <c r="D50" s="15" t="s">
        <v>3</v>
      </c>
      <c r="E50" s="16">
        <f>SUM(F50:L50)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91"/>
      <c r="N50" s="128"/>
      <c r="O50" s="128"/>
      <c r="P50" s="128"/>
      <c r="Q50" s="161"/>
      <c r="R50" s="161"/>
      <c r="S50" s="161"/>
      <c r="T50" s="161"/>
      <c r="U50" s="128"/>
    </row>
    <row r="51" spans="1:21" ht="12.75">
      <c r="A51" s="171"/>
      <c r="B51" s="193" t="s">
        <v>42</v>
      </c>
      <c r="C51" s="177"/>
      <c r="D51" s="13" t="s">
        <v>4</v>
      </c>
      <c r="E51" s="14">
        <f>E53+E54+E55+E56</f>
        <v>469888616.21000004</v>
      </c>
      <c r="F51" s="14">
        <f>F53+F54+F55+F56</f>
        <v>66725362.34</v>
      </c>
      <c r="G51" s="14">
        <f aca="true" t="shared" si="9" ref="G51:L51">G53+G54+G55+G56</f>
        <v>61765855.39000001</v>
      </c>
      <c r="H51" s="14">
        <f t="shared" si="9"/>
        <v>62874796.37</v>
      </c>
      <c r="I51" s="14">
        <f t="shared" si="9"/>
        <v>68309318.62</v>
      </c>
      <c r="J51" s="14">
        <f t="shared" si="9"/>
        <v>72047388.84</v>
      </c>
      <c r="K51" s="14">
        <f t="shared" si="9"/>
        <v>68955488.57000001</v>
      </c>
      <c r="L51" s="14">
        <f t="shared" si="9"/>
        <v>69210406.08000001</v>
      </c>
      <c r="M51" s="164"/>
      <c r="N51" s="158"/>
      <c r="O51" s="158"/>
      <c r="P51" s="158"/>
      <c r="Q51" s="158"/>
      <c r="R51" s="158"/>
      <c r="S51" s="158"/>
      <c r="T51" s="158"/>
      <c r="U51" s="183"/>
    </row>
    <row r="52" spans="1:21" ht="12.75">
      <c r="A52" s="159"/>
      <c r="B52" s="194"/>
      <c r="C52" s="159"/>
      <c r="D52" s="180" t="s">
        <v>29</v>
      </c>
      <c r="E52" s="181"/>
      <c r="F52" s="181"/>
      <c r="G52" s="181"/>
      <c r="H52" s="181"/>
      <c r="I52" s="181"/>
      <c r="J52" s="181"/>
      <c r="K52" s="181"/>
      <c r="L52" s="182"/>
      <c r="M52" s="165"/>
      <c r="N52" s="159"/>
      <c r="O52" s="159"/>
      <c r="P52" s="159"/>
      <c r="Q52" s="159"/>
      <c r="R52" s="159"/>
      <c r="S52" s="159"/>
      <c r="T52" s="159"/>
      <c r="U52" s="188"/>
    </row>
    <row r="53" spans="1:21" ht="12.75">
      <c r="A53" s="159"/>
      <c r="B53" s="194"/>
      <c r="C53" s="159"/>
      <c r="D53" s="15" t="s">
        <v>2</v>
      </c>
      <c r="E53" s="16">
        <f>SUM(F53:L53)</f>
        <v>442906165.6</v>
      </c>
      <c r="F53" s="16">
        <f>F23+F29+F35+F41+F47</f>
        <v>63986492.34</v>
      </c>
      <c r="G53" s="16">
        <f aca="true" t="shared" si="10" ref="G53:L53">G23+G29+G35+G41+G47</f>
        <v>58414985.39000001</v>
      </c>
      <c r="H53" s="16">
        <f t="shared" si="10"/>
        <v>59370477.07</v>
      </c>
      <c r="I53" s="16">
        <f t="shared" si="10"/>
        <v>63557427.91</v>
      </c>
      <c r="J53" s="16">
        <f t="shared" si="10"/>
        <v>67894678.91</v>
      </c>
      <c r="K53" s="16">
        <f t="shared" si="10"/>
        <v>64734423.35000001</v>
      </c>
      <c r="L53" s="16">
        <f t="shared" si="10"/>
        <v>64947680.63</v>
      </c>
      <c r="M53" s="165"/>
      <c r="N53" s="159"/>
      <c r="O53" s="159"/>
      <c r="P53" s="159"/>
      <c r="Q53" s="159"/>
      <c r="R53" s="159"/>
      <c r="S53" s="159"/>
      <c r="T53" s="159"/>
      <c r="U53" s="188"/>
    </row>
    <row r="54" spans="1:21" ht="12.75">
      <c r="A54" s="159"/>
      <c r="B54" s="194"/>
      <c r="C54" s="159"/>
      <c r="D54" s="15" t="s">
        <v>0</v>
      </c>
      <c r="E54" s="16">
        <f>SUM(F54:L54)</f>
        <v>4468500.31</v>
      </c>
      <c r="F54" s="16">
        <f aca="true" t="shared" si="11" ref="F54:L54">F24+F30+F36+F42+F48</f>
        <v>222820</v>
      </c>
      <c r="G54" s="16">
        <f t="shared" si="11"/>
        <v>212870</v>
      </c>
      <c r="H54" s="16">
        <f t="shared" si="11"/>
        <v>264254</v>
      </c>
      <c r="I54" s="16">
        <f t="shared" si="11"/>
        <v>1028875.7100000001</v>
      </c>
      <c r="J54" s="16">
        <f t="shared" si="11"/>
        <v>867109.9299999999</v>
      </c>
      <c r="K54" s="16">
        <f t="shared" si="11"/>
        <v>915455.22</v>
      </c>
      <c r="L54" s="16">
        <f t="shared" si="11"/>
        <v>957115.45</v>
      </c>
      <c r="M54" s="165"/>
      <c r="N54" s="159"/>
      <c r="O54" s="159"/>
      <c r="P54" s="159"/>
      <c r="Q54" s="159"/>
      <c r="R54" s="159"/>
      <c r="S54" s="159"/>
      <c r="T54" s="159"/>
      <c r="U54" s="188"/>
    </row>
    <row r="55" spans="1:21" ht="12.75">
      <c r="A55" s="159"/>
      <c r="B55" s="194"/>
      <c r="C55" s="159"/>
      <c r="D55" s="15" t="s">
        <v>1</v>
      </c>
      <c r="E55" s="16">
        <f>SUM(F55:L55)</f>
        <v>0</v>
      </c>
      <c r="F55" s="16">
        <f aca="true" t="shared" si="12" ref="F55:L55">F25+F31+F37+F43+F49</f>
        <v>0</v>
      </c>
      <c r="G55" s="16">
        <f t="shared" si="12"/>
        <v>0</v>
      </c>
      <c r="H55" s="16">
        <f t="shared" si="12"/>
        <v>0</v>
      </c>
      <c r="I55" s="16">
        <f t="shared" si="12"/>
        <v>0</v>
      </c>
      <c r="J55" s="16">
        <f t="shared" si="12"/>
        <v>0</v>
      </c>
      <c r="K55" s="16">
        <f t="shared" si="12"/>
        <v>0</v>
      </c>
      <c r="L55" s="16">
        <f t="shared" si="12"/>
        <v>0</v>
      </c>
      <c r="M55" s="165"/>
      <c r="N55" s="159"/>
      <c r="O55" s="159"/>
      <c r="P55" s="159"/>
      <c r="Q55" s="159"/>
      <c r="R55" s="159"/>
      <c r="S55" s="159"/>
      <c r="T55" s="159"/>
      <c r="U55" s="188"/>
    </row>
    <row r="56" spans="1:21" ht="12.75">
      <c r="A56" s="128"/>
      <c r="B56" s="195"/>
      <c r="C56" s="128"/>
      <c r="D56" s="15" t="s">
        <v>3</v>
      </c>
      <c r="E56" s="16">
        <f>SUM(F56:L56)</f>
        <v>22513950.3</v>
      </c>
      <c r="F56" s="16">
        <f aca="true" t="shared" si="13" ref="F56:L56">F26+F32+F38+F44+F50</f>
        <v>2516050</v>
      </c>
      <c r="G56" s="16">
        <f t="shared" si="13"/>
        <v>3138000</v>
      </c>
      <c r="H56" s="16">
        <f t="shared" si="13"/>
        <v>3240065.3</v>
      </c>
      <c r="I56" s="16">
        <f t="shared" si="13"/>
        <v>3723015</v>
      </c>
      <c r="J56" s="16">
        <f t="shared" si="13"/>
        <v>3285600</v>
      </c>
      <c r="K56" s="16">
        <f t="shared" si="13"/>
        <v>3305610</v>
      </c>
      <c r="L56" s="16">
        <f t="shared" si="13"/>
        <v>3305610</v>
      </c>
      <c r="M56" s="191"/>
      <c r="N56" s="128"/>
      <c r="O56" s="128"/>
      <c r="P56" s="128"/>
      <c r="Q56" s="128"/>
      <c r="R56" s="128"/>
      <c r="S56" s="128"/>
      <c r="T56" s="128"/>
      <c r="U56" s="189"/>
    </row>
    <row r="57" spans="1:21" ht="15">
      <c r="A57" s="5">
        <v>3</v>
      </c>
      <c r="B57" s="225" t="s">
        <v>34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7"/>
    </row>
    <row r="58" spans="1:21" ht="21" customHeight="1">
      <c r="A58" s="192" t="s">
        <v>32</v>
      </c>
      <c r="B58" s="212" t="s">
        <v>59</v>
      </c>
      <c r="C58" s="177" t="s">
        <v>63</v>
      </c>
      <c r="D58" s="13" t="s">
        <v>4</v>
      </c>
      <c r="E58" s="14">
        <f>E60+E61+E62+E63</f>
        <v>796251791.31</v>
      </c>
      <c r="F58" s="14">
        <f>F60+F61+F62+F63</f>
        <v>99267907.16000001</v>
      </c>
      <c r="G58" s="14">
        <f aca="true" t="shared" si="14" ref="G58:L58">G60+G61+G62+G63</f>
        <v>101524928.7</v>
      </c>
      <c r="H58" s="14">
        <f t="shared" si="14"/>
        <v>108043473.24999999</v>
      </c>
      <c r="I58" s="14">
        <f t="shared" si="14"/>
        <v>118425124.61000001</v>
      </c>
      <c r="J58" s="14">
        <f t="shared" si="14"/>
        <v>123575854.06</v>
      </c>
      <c r="K58" s="14">
        <f t="shared" si="14"/>
        <v>120835036.17</v>
      </c>
      <c r="L58" s="14">
        <f t="shared" si="14"/>
        <v>124579467.36</v>
      </c>
      <c r="M58" s="183" t="s">
        <v>49</v>
      </c>
      <c r="N58" s="171">
        <v>132</v>
      </c>
      <c r="O58" s="171">
        <v>140</v>
      </c>
      <c r="P58" s="171">
        <v>142</v>
      </c>
      <c r="Q58" s="171">
        <v>133</v>
      </c>
      <c r="R58" s="171">
        <v>133</v>
      </c>
      <c r="S58" s="171">
        <v>134</v>
      </c>
      <c r="T58" s="171">
        <v>134</v>
      </c>
      <c r="U58" s="166" t="s">
        <v>50</v>
      </c>
    </row>
    <row r="59" spans="1:21" ht="12.75">
      <c r="A59" s="192"/>
      <c r="B59" s="212"/>
      <c r="C59" s="178"/>
      <c r="D59" s="180" t="s">
        <v>29</v>
      </c>
      <c r="E59" s="181"/>
      <c r="F59" s="181"/>
      <c r="G59" s="181"/>
      <c r="H59" s="181"/>
      <c r="I59" s="181"/>
      <c r="J59" s="181"/>
      <c r="K59" s="181"/>
      <c r="L59" s="182"/>
      <c r="M59" s="184"/>
      <c r="N59" s="172"/>
      <c r="O59" s="172"/>
      <c r="P59" s="172"/>
      <c r="Q59" s="172"/>
      <c r="R59" s="172"/>
      <c r="S59" s="172"/>
      <c r="T59" s="172"/>
      <c r="U59" s="159"/>
    </row>
    <row r="60" spans="1:21" ht="12.75">
      <c r="A60" s="192"/>
      <c r="B60" s="212"/>
      <c r="C60" s="178"/>
      <c r="D60" s="15" t="s">
        <v>2</v>
      </c>
      <c r="E60" s="16">
        <f>SUM(F60:L60)</f>
        <v>719612526.1899999</v>
      </c>
      <c r="F60" s="16">
        <v>93638712.09</v>
      </c>
      <c r="G60" s="16">
        <f>93937834.31+232556.48</f>
        <v>94170390.79</v>
      </c>
      <c r="H60" s="16">
        <f>101138853.82+141526.24</f>
        <v>101280380.05999999</v>
      </c>
      <c r="I60" s="16">
        <f>104359717.68+730941.51</f>
        <v>105090659.19000001</v>
      </c>
      <c r="J60" s="16">
        <v>109700036.02</v>
      </c>
      <c r="K60" s="16">
        <v>106295015.79</v>
      </c>
      <c r="L60" s="16">
        <v>109437332.25</v>
      </c>
      <c r="M60" s="184"/>
      <c r="N60" s="172"/>
      <c r="O60" s="172"/>
      <c r="P60" s="172"/>
      <c r="Q60" s="172"/>
      <c r="R60" s="172"/>
      <c r="S60" s="172"/>
      <c r="T60" s="172"/>
      <c r="U60" s="159"/>
    </row>
    <row r="61" spans="1:21" ht="12.75">
      <c r="A61" s="192"/>
      <c r="B61" s="212"/>
      <c r="C61" s="178"/>
      <c r="D61" s="15" t="s">
        <v>0</v>
      </c>
      <c r="E61" s="16">
        <f>SUM(F61:L61)</f>
        <v>67164099.49000001</v>
      </c>
      <c r="F61" s="16">
        <v>4122074.31</v>
      </c>
      <c r="G61" s="16">
        <f>5894645-510300</f>
        <v>5384345</v>
      </c>
      <c r="H61" s="16">
        <v>6219306.13</v>
      </c>
      <c r="I61" s="16">
        <f>10035556.54+1504843.98</f>
        <v>11540400.52</v>
      </c>
      <c r="J61" s="16">
        <v>12655818.04</v>
      </c>
      <c r="K61" s="16">
        <v>13320020.38</v>
      </c>
      <c r="L61" s="16">
        <v>13922135.11</v>
      </c>
      <c r="M61" s="184"/>
      <c r="N61" s="172"/>
      <c r="O61" s="172"/>
      <c r="P61" s="172"/>
      <c r="Q61" s="172"/>
      <c r="R61" s="172"/>
      <c r="S61" s="172"/>
      <c r="T61" s="172"/>
      <c r="U61" s="159"/>
    </row>
    <row r="62" spans="1:21" ht="12.75">
      <c r="A62" s="192"/>
      <c r="B62" s="212"/>
      <c r="C62" s="178"/>
      <c r="D62" s="15" t="s">
        <v>1</v>
      </c>
      <c r="E62" s="16">
        <f>SUM(F62:L62)</f>
        <v>50000</v>
      </c>
      <c r="F62" s="16">
        <v>0</v>
      </c>
      <c r="G62" s="16">
        <v>0</v>
      </c>
      <c r="H62" s="16">
        <v>0</v>
      </c>
      <c r="I62" s="16">
        <v>50000</v>
      </c>
      <c r="J62" s="16">
        <v>0</v>
      </c>
      <c r="K62" s="16">
        <v>0</v>
      </c>
      <c r="L62" s="16">
        <v>0</v>
      </c>
      <c r="M62" s="184"/>
      <c r="N62" s="172"/>
      <c r="O62" s="172"/>
      <c r="P62" s="172"/>
      <c r="Q62" s="172"/>
      <c r="R62" s="172"/>
      <c r="S62" s="172"/>
      <c r="T62" s="172"/>
      <c r="U62" s="159"/>
    </row>
    <row r="63" spans="1:21" ht="12.75">
      <c r="A63" s="192"/>
      <c r="B63" s="212"/>
      <c r="C63" s="179"/>
      <c r="D63" s="15" t="s">
        <v>3</v>
      </c>
      <c r="E63" s="16">
        <f>SUM(F63:L63)</f>
        <v>9425165.629999999</v>
      </c>
      <c r="F63" s="16">
        <v>1507120.76</v>
      </c>
      <c r="G63" s="16">
        <f>1630060.61+340132.3</f>
        <v>1970192.9100000001</v>
      </c>
      <c r="H63" s="16">
        <f>320000+223787.06</f>
        <v>543787.06</v>
      </c>
      <c r="I63" s="16">
        <f>1220000+500000+24064.9</f>
        <v>1744064.9</v>
      </c>
      <c r="J63" s="16">
        <v>1220000</v>
      </c>
      <c r="K63" s="16">
        <v>1220000</v>
      </c>
      <c r="L63" s="16">
        <v>1220000</v>
      </c>
      <c r="M63" s="185"/>
      <c r="N63" s="173"/>
      <c r="O63" s="173"/>
      <c r="P63" s="173"/>
      <c r="Q63" s="173"/>
      <c r="R63" s="173"/>
      <c r="S63" s="173"/>
      <c r="T63" s="173"/>
      <c r="U63" s="128"/>
    </row>
    <row r="64" spans="1:21" ht="12.75" customHeight="1">
      <c r="A64" s="171" t="s">
        <v>43</v>
      </c>
      <c r="B64" s="174" t="s">
        <v>62</v>
      </c>
      <c r="C64" s="177" t="s">
        <v>63</v>
      </c>
      <c r="D64" s="13" t="s">
        <v>4</v>
      </c>
      <c r="E64" s="14">
        <f>E66+E67+E68+E69</f>
        <v>19545506.75</v>
      </c>
      <c r="F64" s="14">
        <f>F66+F67+F68+F69</f>
        <v>1947874.1300000001</v>
      </c>
      <c r="G64" s="14">
        <f aca="true" t="shared" si="15" ref="G64:L64">G66+G67+G68+G69</f>
        <v>1870459.24</v>
      </c>
      <c r="H64" s="14">
        <f t="shared" si="15"/>
        <v>4934063.26</v>
      </c>
      <c r="I64" s="14">
        <f t="shared" si="15"/>
        <v>5453110.12</v>
      </c>
      <c r="J64" s="14">
        <f t="shared" si="15"/>
        <v>1780000</v>
      </c>
      <c r="K64" s="14">
        <f t="shared" si="15"/>
        <v>1780000</v>
      </c>
      <c r="L64" s="14">
        <f t="shared" si="15"/>
        <v>1780000</v>
      </c>
      <c r="M64" s="196" t="s">
        <v>79</v>
      </c>
      <c r="N64" s="158" t="s">
        <v>35</v>
      </c>
      <c r="O64" s="158" t="s">
        <v>35</v>
      </c>
      <c r="P64" s="158" t="s">
        <v>35</v>
      </c>
      <c r="Q64" s="158">
        <v>0</v>
      </c>
      <c r="R64" s="158">
        <v>0</v>
      </c>
      <c r="S64" s="158">
        <v>0</v>
      </c>
      <c r="T64" s="158">
        <v>0</v>
      </c>
      <c r="U64" s="166" t="s">
        <v>50</v>
      </c>
    </row>
    <row r="65" spans="1:21" ht="29.25" customHeight="1">
      <c r="A65" s="172"/>
      <c r="B65" s="175"/>
      <c r="C65" s="178"/>
      <c r="D65" s="180" t="s">
        <v>29</v>
      </c>
      <c r="E65" s="181"/>
      <c r="F65" s="181"/>
      <c r="G65" s="181"/>
      <c r="H65" s="181"/>
      <c r="I65" s="181"/>
      <c r="J65" s="181"/>
      <c r="K65" s="181"/>
      <c r="L65" s="182"/>
      <c r="M65" s="197"/>
      <c r="N65" s="159"/>
      <c r="O65" s="159"/>
      <c r="P65" s="159"/>
      <c r="Q65" s="159"/>
      <c r="R65" s="159"/>
      <c r="S65" s="159"/>
      <c r="T65" s="159"/>
      <c r="U65" s="167"/>
    </row>
    <row r="66" spans="1:21" ht="20.25" customHeight="1">
      <c r="A66" s="172"/>
      <c r="B66" s="175"/>
      <c r="C66" s="178"/>
      <c r="D66" s="15" t="s">
        <v>2</v>
      </c>
      <c r="E66" s="16">
        <f>SUM(F66:L66)</f>
        <v>1567850.05</v>
      </c>
      <c r="F66" s="16">
        <v>762775.81</v>
      </c>
      <c r="G66" s="16">
        <v>405074.24</v>
      </c>
      <c r="H66" s="16">
        <v>400000</v>
      </c>
      <c r="I66" s="16">
        <v>0</v>
      </c>
      <c r="J66" s="16">
        <v>0</v>
      </c>
      <c r="K66" s="16">
        <v>0</v>
      </c>
      <c r="L66" s="16">
        <v>0</v>
      </c>
      <c r="M66" s="197"/>
      <c r="N66" s="159"/>
      <c r="O66" s="159"/>
      <c r="P66" s="159"/>
      <c r="Q66" s="159"/>
      <c r="R66" s="159"/>
      <c r="S66" s="159"/>
      <c r="T66" s="159"/>
      <c r="U66" s="167"/>
    </row>
    <row r="67" spans="1:21" ht="12.75" customHeight="1">
      <c r="A67" s="172"/>
      <c r="B67" s="175"/>
      <c r="C67" s="178"/>
      <c r="D67" s="15" t="s">
        <v>0</v>
      </c>
      <c r="E67" s="16">
        <f>SUM(F67:L67)</f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83" t="s">
        <v>65</v>
      </c>
      <c r="N67" s="158">
        <v>0</v>
      </c>
      <c r="O67" s="158">
        <v>0</v>
      </c>
      <c r="P67" s="158">
        <v>0</v>
      </c>
      <c r="Q67" s="158">
        <v>932</v>
      </c>
      <c r="R67" s="158">
        <v>932</v>
      </c>
      <c r="S67" s="158">
        <v>954</v>
      </c>
      <c r="T67" s="158">
        <v>954</v>
      </c>
      <c r="U67" s="167"/>
    </row>
    <row r="68" spans="1:21" ht="12.75" customHeight="1">
      <c r="A68" s="172"/>
      <c r="B68" s="175"/>
      <c r="C68" s="178"/>
      <c r="D68" s="15" t="s">
        <v>1</v>
      </c>
      <c r="E68" s="16">
        <f>SUM(F68:L68)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88"/>
      <c r="N68" s="159"/>
      <c r="O68" s="159"/>
      <c r="P68" s="159"/>
      <c r="Q68" s="159"/>
      <c r="R68" s="159"/>
      <c r="S68" s="159"/>
      <c r="T68" s="159"/>
      <c r="U68" s="167"/>
    </row>
    <row r="69" spans="1:21" ht="12.75" customHeight="1">
      <c r="A69" s="173"/>
      <c r="B69" s="176"/>
      <c r="C69" s="179"/>
      <c r="D69" s="15" t="s">
        <v>3</v>
      </c>
      <c r="E69" s="16">
        <f>SUM(F69:L69)</f>
        <v>17977656.7</v>
      </c>
      <c r="F69" s="16">
        <v>1185098.32</v>
      </c>
      <c r="G69" s="16">
        <f>645790+670595+149000</f>
        <v>1465385</v>
      </c>
      <c r="H69" s="16">
        <f>4282952+251111.26</f>
        <v>4534063.26</v>
      </c>
      <c r="I69" s="16">
        <f>1780000+809830.42+880215+186000+623143.7+72446+672693+217016+211766</f>
        <v>5453110.12</v>
      </c>
      <c r="J69" s="16">
        <v>1780000</v>
      </c>
      <c r="K69" s="16">
        <v>1780000</v>
      </c>
      <c r="L69" s="16">
        <v>1780000</v>
      </c>
      <c r="M69" s="188"/>
      <c r="N69" s="159"/>
      <c r="O69" s="159"/>
      <c r="P69" s="159"/>
      <c r="Q69" s="159"/>
      <c r="R69" s="159"/>
      <c r="S69" s="159"/>
      <c r="T69" s="159"/>
      <c r="U69" s="168"/>
    </row>
    <row r="70" spans="1:21" ht="12.75" customHeight="1">
      <c r="A70" s="171" t="s">
        <v>72</v>
      </c>
      <c r="B70" s="174" t="s">
        <v>68</v>
      </c>
      <c r="C70" s="177" t="s">
        <v>63</v>
      </c>
      <c r="D70" s="13" t="s">
        <v>4</v>
      </c>
      <c r="E70" s="14">
        <f>E72+E73+E74+E75</f>
        <v>6548414.619999999</v>
      </c>
      <c r="F70" s="14">
        <f aca="true" t="shared" si="16" ref="F70:L70">F72+F73+F74+F75</f>
        <v>0</v>
      </c>
      <c r="G70" s="14">
        <f t="shared" si="16"/>
        <v>0</v>
      </c>
      <c r="H70" s="14">
        <f t="shared" si="16"/>
        <v>0</v>
      </c>
      <c r="I70" s="14">
        <f t="shared" si="16"/>
        <v>1875807.4000000001</v>
      </c>
      <c r="J70" s="14">
        <f t="shared" si="16"/>
        <v>1557535.74</v>
      </c>
      <c r="K70" s="14">
        <f t="shared" si="16"/>
        <v>1557535.74</v>
      </c>
      <c r="L70" s="14">
        <f t="shared" si="16"/>
        <v>1557535.74</v>
      </c>
      <c r="M70" s="183" t="s">
        <v>73</v>
      </c>
      <c r="N70" s="158">
        <v>0</v>
      </c>
      <c r="O70" s="158">
        <v>0</v>
      </c>
      <c r="P70" s="158">
        <v>0</v>
      </c>
      <c r="Q70" s="158">
        <v>85</v>
      </c>
      <c r="R70" s="158">
        <v>90</v>
      </c>
      <c r="S70" s="158">
        <v>85</v>
      </c>
      <c r="T70" s="158">
        <v>85</v>
      </c>
      <c r="U70" s="166" t="s">
        <v>50</v>
      </c>
    </row>
    <row r="71" spans="1:21" ht="12.75" customHeight="1">
      <c r="A71" s="172"/>
      <c r="B71" s="175"/>
      <c r="C71" s="178"/>
      <c r="D71" s="180" t="s">
        <v>29</v>
      </c>
      <c r="E71" s="181"/>
      <c r="F71" s="181"/>
      <c r="G71" s="181"/>
      <c r="H71" s="181"/>
      <c r="I71" s="181"/>
      <c r="J71" s="181"/>
      <c r="K71" s="181"/>
      <c r="L71" s="182"/>
      <c r="M71" s="184"/>
      <c r="N71" s="169"/>
      <c r="O71" s="169"/>
      <c r="P71" s="169"/>
      <c r="Q71" s="169"/>
      <c r="R71" s="169"/>
      <c r="S71" s="169"/>
      <c r="T71" s="169"/>
      <c r="U71" s="167"/>
    </row>
    <row r="72" spans="1:21" ht="12.75" customHeight="1">
      <c r="A72" s="172"/>
      <c r="B72" s="175"/>
      <c r="C72" s="178"/>
      <c r="D72" s="15" t="s">
        <v>2</v>
      </c>
      <c r="E72" s="16">
        <f>SUM(F72:L72)</f>
        <v>5141650.35</v>
      </c>
      <c r="F72" s="16">
        <v>0</v>
      </c>
      <c r="G72" s="16">
        <v>0</v>
      </c>
      <c r="H72" s="16">
        <v>0</v>
      </c>
      <c r="I72" s="16">
        <f>1251082+133729.27+3593.08</f>
        <v>1388404.35</v>
      </c>
      <c r="J72" s="16">
        <v>1251082</v>
      </c>
      <c r="K72" s="16">
        <v>1251082</v>
      </c>
      <c r="L72" s="16">
        <v>1251082</v>
      </c>
      <c r="M72" s="184"/>
      <c r="N72" s="169"/>
      <c r="O72" s="169"/>
      <c r="P72" s="169"/>
      <c r="Q72" s="169"/>
      <c r="R72" s="169"/>
      <c r="S72" s="169"/>
      <c r="T72" s="169"/>
      <c r="U72" s="167"/>
    </row>
    <row r="73" spans="1:21" ht="12.75" customHeight="1">
      <c r="A73" s="172"/>
      <c r="B73" s="175"/>
      <c r="C73" s="178"/>
      <c r="D73" s="15" t="s">
        <v>0</v>
      </c>
      <c r="E73" s="16">
        <f>SUM(F73:L73)</f>
        <v>1406764.27</v>
      </c>
      <c r="F73" s="16">
        <v>0</v>
      </c>
      <c r="G73" s="16">
        <v>0</v>
      </c>
      <c r="H73" s="16">
        <v>0</v>
      </c>
      <c r="I73" s="16">
        <f>493936-6532.95</f>
        <v>487403.05</v>
      </c>
      <c r="J73" s="16">
        <v>306453.74</v>
      </c>
      <c r="K73" s="16">
        <v>306453.74</v>
      </c>
      <c r="L73" s="16">
        <v>306453.74</v>
      </c>
      <c r="M73" s="184"/>
      <c r="N73" s="169"/>
      <c r="O73" s="169"/>
      <c r="P73" s="169"/>
      <c r="Q73" s="169"/>
      <c r="R73" s="169"/>
      <c r="S73" s="169"/>
      <c r="T73" s="169"/>
      <c r="U73" s="167"/>
    </row>
    <row r="74" spans="1:21" ht="12.75" customHeight="1">
      <c r="A74" s="172"/>
      <c r="B74" s="175"/>
      <c r="C74" s="178"/>
      <c r="D74" s="15" t="s">
        <v>1</v>
      </c>
      <c r="E74" s="16">
        <f>SUM(F74:L74)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84"/>
      <c r="N74" s="169"/>
      <c r="O74" s="169"/>
      <c r="P74" s="169"/>
      <c r="Q74" s="169"/>
      <c r="R74" s="169"/>
      <c r="S74" s="169"/>
      <c r="T74" s="169"/>
      <c r="U74" s="167"/>
    </row>
    <row r="75" spans="1:21" ht="12.75" customHeight="1">
      <c r="A75" s="173"/>
      <c r="B75" s="176"/>
      <c r="C75" s="179"/>
      <c r="D75" s="15" t="s">
        <v>3</v>
      </c>
      <c r="E75" s="16">
        <f>SUM(F75:L75)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85"/>
      <c r="N75" s="170"/>
      <c r="O75" s="170"/>
      <c r="P75" s="170"/>
      <c r="Q75" s="170"/>
      <c r="R75" s="170"/>
      <c r="S75" s="170"/>
      <c r="T75" s="170"/>
      <c r="U75" s="168"/>
    </row>
    <row r="76" spans="1:21" ht="12.75">
      <c r="A76" s="192"/>
      <c r="B76" s="193" t="s">
        <v>44</v>
      </c>
      <c r="C76" s="177"/>
      <c r="D76" s="13" t="s">
        <v>4</v>
      </c>
      <c r="E76" s="14">
        <f>E78+E79+E80+E81</f>
        <v>822345712.6800001</v>
      </c>
      <c r="F76" s="14">
        <f aca="true" t="shared" si="17" ref="F76:L76">F78+F79+F80+F81</f>
        <v>101215781.29</v>
      </c>
      <c r="G76" s="14">
        <f t="shared" si="17"/>
        <v>103395387.94</v>
      </c>
      <c r="H76" s="14">
        <f t="shared" si="17"/>
        <v>112977536.50999999</v>
      </c>
      <c r="I76" s="14">
        <f t="shared" si="17"/>
        <v>125754042.13000001</v>
      </c>
      <c r="J76" s="14">
        <f t="shared" si="17"/>
        <v>126913389.8</v>
      </c>
      <c r="K76" s="14">
        <f t="shared" si="17"/>
        <v>124172571.91000001</v>
      </c>
      <c r="L76" s="14">
        <f t="shared" si="17"/>
        <v>127917003.1</v>
      </c>
      <c r="M76" s="183"/>
      <c r="N76" s="158"/>
      <c r="O76" s="158"/>
      <c r="P76" s="158"/>
      <c r="Q76" s="158"/>
      <c r="R76" s="158"/>
      <c r="S76" s="158"/>
      <c r="T76" s="158"/>
      <c r="U76" s="183"/>
    </row>
    <row r="77" spans="1:21" ht="12.75">
      <c r="A77" s="192"/>
      <c r="B77" s="194"/>
      <c r="C77" s="178"/>
      <c r="D77" s="180" t="s">
        <v>29</v>
      </c>
      <c r="E77" s="181"/>
      <c r="F77" s="181"/>
      <c r="G77" s="181"/>
      <c r="H77" s="181"/>
      <c r="I77" s="181"/>
      <c r="J77" s="181"/>
      <c r="K77" s="181"/>
      <c r="L77" s="182"/>
      <c r="M77" s="184"/>
      <c r="N77" s="169"/>
      <c r="O77" s="169"/>
      <c r="P77" s="169"/>
      <c r="Q77" s="169"/>
      <c r="R77" s="169"/>
      <c r="S77" s="169"/>
      <c r="T77" s="169"/>
      <c r="U77" s="184"/>
    </row>
    <row r="78" spans="1:21" ht="12.75">
      <c r="A78" s="192"/>
      <c r="B78" s="194"/>
      <c r="C78" s="178"/>
      <c r="D78" s="15" t="s">
        <v>2</v>
      </c>
      <c r="E78" s="16">
        <f>SUM(F78:L78)</f>
        <v>726322026.59</v>
      </c>
      <c r="F78" s="16">
        <f>F60+F66+F72</f>
        <v>94401487.9</v>
      </c>
      <c r="G78" s="16">
        <f aca="true" t="shared" si="18" ref="G78:L78">G60+G66+G72</f>
        <v>94575465.03</v>
      </c>
      <c r="H78" s="16">
        <f t="shared" si="18"/>
        <v>101680380.05999999</v>
      </c>
      <c r="I78" s="16">
        <f t="shared" si="18"/>
        <v>106479063.54</v>
      </c>
      <c r="J78" s="16">
        <f t="shared" si="18"/>
        <v>110951118.02</v>
      </c>
      <c r="K78" s="16">
        <f t="shared" si="18"/>
        <v>107546097.79</v>
      </c>
      <c r="L78" s="16">
        <f t="shared" si="18"/>
        <v>110688414.25</v>
      </c>
      <c r="M78" s="184"/>
      <c r="N78" s="169"/>
      <c r="O78" s="169"/>
      <c r="P78" s="169"/>
      <c r="Q78" s="169"/>
      <c r="R78" s="169"/>
      <c r="S78" s="169"/>
      <c r="T78" s="169"/>
      <c r="U78" s="184"/>
    </row>
    <row r="79" spans="1:21" ht="12.75">
      <c r="A79" s="192"/>
      <c r="B79" s="194"/>
      <c r="C79" s="178"/>
      <c r="D79" s="15" t="s">
        <v>0</v>
      </c>
      <c r="E79" s="16">
        <f>SUM(F79:L79)</f>
        <v>68570863.75999999</v>
      </c>
      <c r="F79" s="16">
        <f aca="true" t="shared" si="19" ref="F79:L79">F61+F67+F73</f>
        <v>4122074.31</v>
      </c>
      <c r="G79" s="16">
        <f t="shared" si="19"/>
        <v>5384345</v>
      </c>
      <c r="H79" s="16">
        <f t="shared" si="19"/>
        <v>6219306.13</v>
      </c>
      <c r="I79" s="16">
        <f t="shared" si="19"/>
        <v>12027803.57</v>
      </c>
      <c r="J79" s="16">
        <f t="shared" si="19"/>
        <v>12962271.78</v>
      </c>
      <c r="K79" s="16">
        <f t="shared" si="19"/>
        <v>13626474.120000001</v>
      </c>
      <c r="L79" s="16">
        <f t="shared" si="19"/>
        <v>14228588.85</v>
      </c>
      <c r="M79" s="184"/>
      <c r="N79" s="169"/>
      <c r="O79" s="169"/>
      <c r="P79" s="169"/>
      <c r="Q79" s="169"/>
      <c r="R79" s="169"/>
      <c r="S79" s="169"/>
      <c r="T79" s="169"/>
      <c r="U79" s="184"/>
    </row>
    <row r="80" spans="1:21" ht="12.75">
      <c r="A80" s="192"/>
      <c r="B80" s="194"/>
      <c r="C80" s="178"/>
      <c r="D80" s="15" t="s">
        <v>1</v>
      </c>
      <c r="E80" s="16">
        <f>SUM(F80:L80)</f>
        <v>50000</v>
      </c>
      <c r="F80" s="16">
        <f aca="true" t="shared" si="20" ref="F80:L80">F62+F68+F74</f>
        <v>0</v>
      </c>
      <c r="G80" s="16">
        <f t="shared" si="20"/>
        <v>0</v>
      </c>
      <c r="H80" s="16">
        <f t="shared" si="20"/>
        <v>0</v>
      </c>
      <c r="I80" s="16">
        <f t="shared" si="20"/>
        <v>50000</v>
      </c>
      <c r="J80" s="16">
        <f t="shared" si="20"/>
        <v>0</v>
      </c>
      <c r="K80" s="16">
        <f t="shared" si="20"/>
        <v>0</v>
      </c>
      <c r="L80" s="16">
        <f t="shared" si="20"/>
        <v>0</v>
      </c>
      <c r="M80" s="184"/>
      <c r="N80" s="169"/>
      <c r="O80" s="169"/>
      <c r="P80" s="169"/>
      <c r="Q80" s="169"/>
      <c r="R80" s="169"/>
      <c r="S80" s="169"/>
      <c r="T80" s="169"/>
      <c r="U80" s="184"/>
    </row>
    <row r="81" spans="1:21" ht="12.75">
      <c r="A81" s="192"/>
      <c r="B81" s="195"/>
      <c r="C81" s="179"/>
      <c r="D81" s="15" t="s">
        <v>3</v>
      </c>
      <c r="E81" s="16">
        <f>SUM(F81:L81)</f>
        <v>27402822.33</v>
      </c>
      <c r="F81" s="16">
        <f aca="true" t="shared" si="21" ref="F81:L81">F63+F69+F75</f>
        <v>2692219.08</v>
      </c>
      <c r="G81" s="16">
        <f t="shared" si="21"/>
        <v>3435577.91</v>
      </c>
      <c r="H81" s="16">
        <f t="shared" si="21"/>
        <v>5077850.32</v>
      </c>
      <c r="I81" s="16">
        <f t="shared" si="21"/>
        <v>7197175.02</v>
      </c>
      <c r="J81" s="16">
        <f t="shared" si="21"/>
        <v>3000000</v>
      </c>
      <c r="K81" s="16">
        <f t="shared" si="21"/>
        <v>3000000</v>
      </c>
      <c r="L81" s="16">
        <f t="shared" si="21"/>
        <v>3000000</v>
      </c>
      <c r="M81" s="185"/>
      <c r="N81" s="170"/>
      <c r="O81" s="170"/>
      <c r="P81" s="170"/>
      <c r="Q81" s="170"/>
      <c r="R81" s="170"/>
      <c r="S81" s="170"/>
      <c r="T81" s="170"/>
      <c r="U81" s="185"/>
    </row>
    <row r="82" spans="1:21" s="19" customFormat="1" ht="13.5">
      <c r="A82" s="6"/>
      <c r="B82" s="7" t="s">
        <v>45</v>
      </c>
      <c r="C82" s="204"/>
      <c r="D82" s="17" t="s">
        <v>4</v>
      </c>
      <c r="E82" s="18">
        <f aca="true" t="shared" si="22" ref="E82:L82">E84+E85+E86+E87</f>
        <v>1311927883.96</v>
      </c>
      <c r="F82" s="18">
        <f t="shared" si="22"/>
        <v>169671123.63000003</v>
      </c>
      <c r="G82" s="18">
        <f t="shared" si="22"/>
        <v>166832058.4</v>
      </c>
      <c r="H82" s="18">
        <f t="shared" si="22"/>
        <v>178151552.88</v>
      </c>
      <c r="I82" s="18">
        <f t="shared" si="22"/>
        <v>198987080.75</v>
      </c>
      <c r="J82" s="18">
        <f t="shared" si="22"/>
        <v>201768778.64000002</v>
      </c>
      <c r="K82" s="18">
        <f t="shared" si="22"/>
        <v>195855660.48000002</v>
      </c>
      <c r="L82" s="18">
        <f t="shared" si="22"/>
        <v>200661629.18</v>
      </c>
      <c r="M82" s="205"/>
      <c r="N82" s="201"/>
      <c r="O82" s="201"/>
      <c r="P82" s="201"/>
      <c r="Q82" s="201"/>
      <c r="R82" s="201"/>
      <c r="S82" s="201"/>
      <c r="T82" s="201"/>
      <c r="U82" s="198"/>
    </row>
    <row r="83" spans="1:21" s="19" customFormat="1" ht="13.5">
      <c r="A83" s="6"/>
      <c r="B83" s="7"/>
      <c r="C83" s="204"/>
      <c r="D83" s="208" t="s">
        <v>29</v>
      </c>
      <c r="E83" s="209"/>
      <c r="F83" s="209"/>
      <c r="G83" s="209"/>
      <c r="H83" s="209"/>
      <c r="I83" s="209"/>
      <c r="J83" s="209"/>
      <c r="K83" s="209"/>
      <c r="L83" s="210"/>
      <c r="M83" s="206"/>
      <c r="N83" s="202"/>
      <c r="O83" s="202"/>
      <c r="P83" s="202"/>
      <c r="Q83" s="202"/>
      <c r="R83" s="202"/>
      <c r="S83" s="202"/>
      <c r="T83" s="202"/>
      <c r="U83" s="199"/>
    </row>
    <row r="84" spans="1:21" s="19" customFormat="1" ht="13.5">
      <c r="A84" s="6"/>
      <c r="B84" s="7"/>
      <c r="C84" s="204"/>
      <c r="D84" s="20" t="s">
        <v>2</v>
      </c>
      <c r="E84" s="75">
        <f>SUM(F84:L84)</f>
        <v>1188921747.26</v>
      </c>
      <c r="F84" s="76">
        <f>F78+F53+F16</f>
        <v>160117960.24</v>
      </c>
      <c r="G84" s="76">
        <f aca="true" t="shared" si="23" ref="G84:L84">G78+G53+G16</f>
        <v>154661265.49</v>
      </c>
      <c r="H84" s="76">
        <f t="shared" si="23"/>
        <v>163350077.13</v>
      </c>
      <c r="I84" s="76">
        <f t="shared" si="23"/>
        <v>174960211.45</v>
      </c>
      <c r="J84" s="76">
        <f t="shared" si="23"/>
        <v>181653796.93</v>
      </c>
      <c r="K84" s="76">
        <f t="shared" si="23"/>
        <v>175008121.14000002</v>
      </c>
      <c r="L84" s="76">
        <f t="shared" si="23"/>
        <v>179170314.88</v>
      </c>
      <c r="M84" s="206"/>
      <c r="N84" s="202"/>
      <c r="O84" s="202"/>
      <c r="P84" s="202"/>
      <c r="Q84" s="202"/>
      <c r="R84" s="202"/>
      <c r="S84" s="202"/>
      <c r="T84" s="202"/>
      <c r="U84" s="199"/>
    </row>
    <row r="85" spans="1:21" s="19" customFormat="1" ht="13.5">
      <c r="A85" s="6"/>
      <c r="B85" s="7"/>
      <c r="C85" s="204"/>
      <c r="D85" s="20" t="s">
        <v>0</v>
      </c>
      <c r="E85" s="75">
        <f>SUM(F85:L85)</f>
        <v>73039364.07000001</v>
      </c>
      <c r="F85" s="76">
        <f aca="true" t="shared" si="24" ref="F85:L87">F79+F54+F17</f>
        <v>4344894.3100000005</v>
      </c>
      <c r="G85" s="76">
        <f t="shared" si="24"/>
        <v>5597215</v>
      </c>
      <c r="H85" s="76">
        <f t="shared" si="24"/>
        <v>6483560.13</v>
      </c>
      <c r="I85" s="76">
        <f t="shared" si="24"/>
        <v>13056679.280000001</v>
      </c>
      <c r="J85" s="76">
        <f t="shared" si="24"/>
        <v>13829381.709999999</v>
      </c>
      <c r="K85" s="76">
        <f t="shared" si="24"/>
        <v>14541929.340000002</v>
      </c>
      <c r="L85" s="76">
        <f t="shared" si="24"/>
        <v>15185704.299999999</v>
      </c>
      <c r="M85" s="206"/>
      <c r="N85" s="202"/>
      <c r="O85" s="202"/>
      <c r="P85" s="202"/>
      <c r="Q85" s="202"/>
      <c r="R85" s="202"/>
      <c r="S85" s="202"/>
      <c r="T85" s="202"/>
      <c r="U85" s="199"/>
    </row>
    <row r="86" spans="1:21" s="19" customFormat="1" ht="13.5">
      <c r="A86" s="6"/>
      <c r="B86" s="7"/>
      <c r="C86" s="204"/>
      <c r="D86" s="20" t="s">
        <v>1</v>
      </c>
      <c r="E86" s="75">
        <f>SUM(F86:L86)</f>
        <v>50000</v>
      </c>
      <c r="F86" s="76">
        <f t="shared" si="24"/>
        <v>0</v>
      </c>
      <c r="G86" s="76">
        <f t="shared" si="24"/>
        <v>0</v>
      </c>
      <c r="H86" s="76">
        <f t="shared" si="24"/>
        <v>0</v>
      </c>
      <c r="I86" s="76">
        <f t="shared" si="24"/>
        <v>50000</v>
      </c>
      <c r="J86" s="76">
        <f t="shared" si="24"/>
        <v>0</v>
      </c>
      <c r="K86" s="76">
        <f t="shared" si="24"/>
        <v>0</v>
      </c>
      <c r="L86" s="76">
        <f t="shared" si="24"/>
        <v>0</v>
      </c>
      <c r="M86" s="206"/>
      <c r="N86" s="202"/>
      <c r="O86" s="202"/>
      <c r="P86" s="202"/>
      <c r="Q86" s="202"/>
      <c r="R86" s="202"/>
      <c r="S86" s="202"/>
      <c r="T86" s="202"/>
      <c r="U86" s="199"/>
    </row>
    <row r="87" spans="1:21" s="19" customFormat="1" ht="13.5">
      <c r="A87" s="6"/>
      <c r="B87" s="7"/>
      <c r="C87" s="204"/>
      <c r="D87" s="20" t="s">
        <v>3</v>
      </c>
      <c r="E87" s="75">
        <f>SUM(F87:L87)</f>
        <v>49916772.629999995</v>
      </c>
      <c r="F87" s="76">
        <f t="shared" si="24"/>
        <v>5208269.08</v>
      </c>
      <c r="G87" s="76">
        <f t="shared" si="24"/>
        <v>6573577.91</v>
      </c>
      <c r="H87" s="76">
        <f t="shared" si="24"/>
        <v>8317915.62</v>
      </c>
      <c r="I87" s="76">
        <f t="shared" si="24"/>
        <v>10920190.02</v>
      </c>
      <c r="J87" s="76">
        <f t="shared" si="24"/>
        <v>6285600</v>
      </c>
      <c r="K87" s="76">
        <f t="shared" si="24"/>
        <v>6305610</v>
      </c>
      <c r="L87" s="76">
        <f t="shared" si="24"/>
        <v>6305610</v>
      </c>
      <c r="M87" s="207"/>
      <c r="N87" s="203"/>
      <c r="O87" s="203"/>
      <c r="P87" s="203"/>
      <c r="Q87" s="203"/>
      <c r="R87" s="203"/>
      <c r="S87" s="203"/>
      <c r="T87" s="203"/>
      <c r="U87" s="200"/>
    </row>
    <row r="88" spans="14:20" ht="12.75">
      <c r="N88" s="21"/>
      <c r="O88" s="21"/>
      <c r="P88" s="21"/>
      <c r="Q88" s="21"/>
      <c r="R88" s="21"/>
      <c r="S88" s="21"/>
      <c r="T88" s="21"/>
    </row>
    <row r="89" ht="12.75">
      <c r="B89" s="4"/>
    </row>
    <row r="90" ht="12.75">
      <c r="B90" s="4"/>
    </row>
    <row r="98" ht="12.75">
      <c r="H98" s="22"/>
    </row>
    <row r="99" ht="12.75">
      <c r="H99" s="22"/>
    </row>
  </sheetData>
  <sheetProtection/>
  <mergeCells count="195">
    <mergeCell ref="Q14:Q20"/>
    <mergeCell ref="D65:L65"/>
    <mergeCell ref="C64:C69"/>
    <mergeCell ref="S14:S20"/>
    <mergeCell ref="T14:T20"/>
    <mergeCell ref="U14:U20"/>
    <mergeCell ref="B57:U57"/>
    <mergeCell ref="M14:M20"/>
    <mergeCell ref="N14:N20"/>
    <mergeCell ref="O14:O20"/>
    <mergeCell ref="P14:P20"/>
    <mergeCell ref="B64:B69"/>
    <mergeCell ref="A64:A69"/>
    <mergeCell ref="S39:S44"/>
    <mergeCell ref="T39:T44"/>
    <mergeCell ref="U39:U44"/>
    <mergeCell ref="D40:L40"/>
    <mergeCell ref="M39:M44"/>
    <mergeCell ref="N39:N44"/>
    <mergeCell ref="O39:O44"/>
    <mergeCell ref="P39:P44"/>
    <mergeCell ref="C33:C38"/>
    <mergeCell ref="A39:A44"/>
    <mergeCell ref="B39:B44"/>
    <mergeCell ref="C39:C44"/>
    <mergeCell ref="R39:R44"/>
    <mergeCell ref="Q33:Q38"/>
    <mergeCell ref="R33:R38"/>
    <mergeCell ref="D34:L34"/>
    <mergeCell ref="O21:O26"/>
    <mergeCell ref="P21:P26"/>
    <mergeCell ref="B7:U7"/>
    <mergeCell ref="D9:L9"/>
    <mergeCell ref="Q21:Q26"/>
    <mergeCell ref="R21:R26"/>
    <mergeCell ref="U21:U26"/>
    <mergeCell ref="O8:O13"/>
    <mergeCell ref="R14:R20"/>
    <mergeCell ref="P8:P13"/>
    <mergeCell ref="T58:T63"/>
    <mergeCell ref="U58:U63"/>
    <mergeCell ref="U3:U4"/>
    <mergeCell ref="S21:S26"/>
    <mergeCell ref="T21:T26"/>
    <mergeCell ref="U33:U38"/>
    <mergeCell ref="S33:S38"/>
    <mergeCell ref="T33:T38"/>
    <mergeCell ref="T45:T50"/>
    <mergeCell ref="U45:U50"/>
    <mergeCell ref="A3:A4"/>
    <mergeCell ref="B3:B4"/>
    <mergeCell ref="C3:C4"/>
    <mergeCell ref="M3:T3"/>
    <mergeCell ref="B6:U6"/>
    <mergeCell ref="Q8:Q13"/>
    <mergeCell ref="R8:R13"/>
    <mergeCell ref="S8:S13"/>
    <mergeCell ref="T8:T13"/>
    <mergeCell ref="U8:U13"/>
    <mergeCell ref="A8:A13"/>
    <mergeCell ref="A21:A26"/>
    <mergeCell ref="N21:N26"/>
    <mergeCell ref="B27:B32"/>
    <mergeCell ref="C27:C32"/>
    <mergeCell ref="C14:C19"/>
    <mergeCell ref="B20:L20"/>
    <mergeCell ref="D22:L22"/>
    <mergeCell ref="C8:C13"/>
    <mergeCell ref="B8:B13"/>
    <mergeCell ref="B14:B19"/>
    <mergeCell ref="M21:M26"/>
    <mergeCell ref="N8:N13"/>
    <mergeCell ref="D59:L59"/>
    <mergeCell ref="C58:C63"/>
    <mergeCell ref="N58:N63"/>
    <mergeCell ref="B21:B26"/>
    <mergeCell ref="C21:C26"/>
    <mergeCell ref="D15:L15"/>
    <mergeCell ref="B33:B38"/>
    <mergeCell ref="T82:T87"/>
    <mergeCell ref="A51:A56"/>
    <mergeCell ref="A2:U2"/>
    <mergeCell ref="D3:D4"/>
    <mergeCell ref="E3:L3"/>
    <mergeCell ref="A58:A63"/>
    <mergeCell ref="B58:B63"/>
    <mergeCell ref="M58:M63"/>
    <mergeCell ref="M8:M13"/>
    <mergeCell ref="A14:A19"/>
    <mergeCell ref="A27:A32"/>
    <mergeCell ref="C82:C87"/>
    <mergeCell ref="M82:M87"/>
    <mergeCell ref="D83:L83"/>
    <mergeCell ref="S82:S87"/>
    <mergeCell ref="N82:N87"/>
    <mergeCell ref="O82:O87"/>
    <mergeCell ref="P82:P87"/>
    <mergeCell ref="Q39:Q44"/>
    <mergeCell ref="A33:A38"/>
    <mergeCell ref="P76:P81"/>
    <mergeCell ref="U82:U87"/>
    <mergeCell ref="R82:R87"/>
    <mergeCell ref="O58:O63"/>
    <mergeCell ref="U64:U69"/>
    <mergeCell ref="Q82:Q87"/>
    <mergeCell ref="P58:P63"/>
    <mergeCell ref="Q58:Q63"/>
    <mergeCell ref="R58:R63"/>
    <mergeCell ref="S58:S63"/>
    <mergeCell ref="R76:R81"/>
    <mergeCell ref="B51:B56"/>
    <mergeCell ref="C51:C56"/>
    <mergeCell ref="U27:U32"/>
    <mergeCell ref="T51:T56"/>
    <mergeCell ref="U51:U56"/>
    <mergeCell ref="O51:O56"/>
    <mergeCell ref="M67:M69"/>
    <mergeCell ref="N67:N69"/>
    <mergeCell ref="O67:O69"/>
    <mergeCell ref="S76:S81"/>
    <mergeCell ref="Q51:Q56"/>
    <mergeCell ref="D28:L28"/>
    <mergeCell ref="P51:P56"/>
    <mergeCell ref="M33:M38"/>
    <mergeCell ref="N33:N38"/>
    <mergeCell ref="O33:O38"/>
    <mergeCell ref="P33:P38"/>
    <mergeCell ref="M64:M66"/>
    <mergeCell ref="N64:N66"/>
    <mergeCell ref="R51:R56"/>
    <mergeCell ref="S51:S56"/>
    <mergeCell ref="D52:L52"/>
    <mergeCell ref="M51:M56"/>
    <mergeCell ref="N51:N56"/>
    <mergeCell ref="O45:O50"/>
    <mergeCell ref="R45:R50"/>
    <mergeCell ref="S45:S50"/>
    <mergeCell ref="T76:T81"/>
    <mergeCell ref="U76:U81"/>
    <mergeCell ref="A76:A81"/>
    <mergeCell ref="B76:B81"/>
    <mergeCell ref="C76:C81"/>
    <mergeCell ref="M76:M81"/>
    <mergeCell ref="N76:N81"/>
    <mergeCell ref="O76:O81"/>
    <mergeCell ref="D77:L77"/>
    <mergeCell ref="Q76:Q81"/>
    <mergeCell ref="A45:A50"/>
    <mergeCell ref="B45:B50"/>
    <mergeCell ref="C45:C50"/>
    <mergeCell ref="D46:L46"/>
    <mergeCell ref="M45:M50"/>
    <mergeCell ref="N45:N50"/>
    <mergeCell ref="A70:A75"/>
    <mergeCell ref="B70:B75"/>
    <mergeCell ref="C70:C75"/>
    <mergeCell ref="D71:L71"/>
    <mergeCell ref="M70:M75"/>
    <mergeCell ref="N70:N75"/>
    <mergeCell ref="U70:U75"/>
    <mergeCell ref="O70:O75"/>
    <mergeCell ref="P70:P75"/>
    <mergeCell ref="Q70:Q75"/>
    <mergeCell ref="R70:R75"/>
    <mergeCell ref="S70:S75"/>
    <mergeCell ref="T70:T75"/>
    <mergeCell ref="M27:M29"/>
    <mergeCell ref="M30:M32"/>
    <mergeCell ref="N27:N29"/>
    <mergeCell ref="N30:N32"/>
    <mergeCell ref="O30:O32"/>
    <mergeCell ref="P30:P32"/>
    <mergeCell ref="T30:T32"/>
    <mergeCell ref="O27:O29"/>
    <mergeCell ref="P27:P29"/>
    <mergeCell ref="Q27:Q29"/>
    <mergeCell ref="R27:R29"/>
    <mergeCell ref="S27:S29"/>
    <mergeCell ref="T27:T29"/>
    <mergeCell ref="O64:O66"/>
    <mergeCell ref="P64:P66"/>
    <mergeCell ref="Q64:Q66"/>
    <mergeCell ref="R64:R66"/>
    <mergeCell ref="S64:S66"/>
    <mergeCell ref="Q30:Q32"/>
    <mergeCell ref="R30:R32"/>
    <mergeCell ref="S30:S32"/>
    <mergeCell ref="P45:P50"/>
    <mergeCell ref="Q45:Q50"/>
    <mergeCell ref="T64:T66"/>
    <mergeCell ref="P67:P69"/>
    <mergeCell ref="Q67:Q69"/>
    <mergeCell ref="R67:R69"/>
    <mergeCell ref="S67:S69"/>
    <mergeCell ref="T67:T69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="115" zoomScaleSheetLayoutView="115" zoomScalePageLayoutView="0" workbookViewId="0" topLeftCell="D1">
      <selection activeCell="A13" sqref="A13:I13"/>
    </sheetView>
  </sheetViews>
  <sheetFormatPr defaultColWidth="9.140625" defaultRowHeight="18.75" customHeight="1"/>
  <cols>
    <col min="1" max="1" width="35.421875" style="38" customWidth="1"/>
    <col min="2" max="2" width="18.421875" style="38" customWidth="1"/>
    <col min="3" max="3" width="13.8515625" style="38" customWidth="1"/>
    <col min="4" max="6" width="13.421875" style="38" bestFit="1" customWidth="1"/>
    <col min="7" max="7" width="13.57421875" style="38" customWidth="1"/>
    <col min="8" max="8" width="14.57421875" style="38" customWidth="1"/>
    <col min="9" max="9" width="14.140625" style="38" customWidth="1"/>
    <col min="10" max="16384" width="9.140625" style="38" customWidth="1"/>
  </cols>
  <sheetData>
    <row r="1" spans="5:10" ht="18.75" customHeight="1">
      <c r="E1" s="39"/>
      <c r="G1" s="129" t="s">
        <v>106</v>
      </c>
      <c r="H1" s="129"/>
      <c r="I1" s="129"/>
      <c r="J1" s="40"/>
    </row>
    <row r="2" spans="1:9" ht="18.75" customHeight="1">
      <c r="A2" s="130" t="s">
        <v>80</v>
      </c>
      <c r="B2" s="130"/>
      <c r="C2" s="130"/>
      <c r="D2" s="130"/>
      <c r="E2" s="130"/>
      <c r="F2" s="130"/>
      <c r="G2" s="130"/>
      <c r="H2" s="130"/>
      <c r="I2" s="130"/>
    </row>
    <row r="4" spans="1:9" ht="18.75" customHeight="1">
      <c r="A4" s="234" t="s">
        <v>10</v>
      </c>
      <c r="B4" s="236" t="s">
        <v>11</v>
      </c>
      <c r="C4" s="211" t="s">
        <v>12</v>
      </c>
      <c r="D4" s="211"/>
      <c r="E4" s="211"/>
      <c r="F4" s="211"/>
      <c r="G4" s="211"/>
      <c r="H4" s="211"/>
      <c r="I4" s="211"/>
    </row>
    <row r="5" spans="1:9" ht="18.75" customHeight="1">
      <c r="A5" s="235"/>
      <c r="B5" s="237"/>
      <c r="C5" s="42">
        <v>2014</v>
      </c>
      <c r="D5" s="42">
        <v>2015</v>
      </c>
      <c r="E5" s="42">
        <v>2016</v>
      </c>
      <c r="F5" s="42">
        <v>2017</v>
      </c>
      <c r="G5" s="42">
        <v>2018</v>
      </c>
      <c r="H5" s="42">
        <v>2019</v>
      </c>
      <c r="I5" s="2">
        <v>2020</v>
      </c>
    </row>
    <row r="6" spans="1:9" ht="18.75" customHeight="1">
      <c r="A6" s="1">
        <v>1</v>
      </c>
      <c r="B6" s="41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2">
        <v>9</v>
      </c>
    </row>
    <row r="7" spans="1:9" ht="18.75" customHeight="1">
      <c r="A7" s="43" t="s">
        <v>81</v>
      </c>
      <c r="B7" s="44">
        <f>B9+B10+B11+B12</f>
        <v>380164677.94</v>
      </c>
      <c r="C7" s="44">
        <f aca="true" t="shared" si="0" ref="C7:I7">C9+C10+C11+C12</f>
        <v>53514815.69</v>
      </c>
      <c r="D7" s="44">
        <f t="shared" si="0"/>
        <v>50638382.82000001</v>
      </c>
      <c r="E7" s="44">
        <f t="shared" si="0"/>
        <v>51060525.199999996</v>
      </c>
      <c r="F7" s="44">
        <f t="shared" si="0"/>
        <v>55934324.099999994</v>
      </c>
      <c r="G7" s="44">
        <f t="shared" si="0"/>
        <v>57245883.85999999</v>
      </c>
      <c r="H7" s="44">
        <f t="shared" si="0"/>
        <v>54624572.63</v>
      </c>
      <c r="I7" s="44">
        <f t="shared" si="0"/>
        <v>57146173.63999999</v>
      </c>
    </row>
    <row r="8" spans="1:9" ht="18.75" customHeight="1">
      <c r="A8" s="231" t="s">
        <v>13</v>
      </c>
      <c r="B8" s="232"/>
      <c r="C8" s="232"/>
      <c r="D8" s="232"/>
      <c r="E8" s="232"/>
      <c r="F8" s="232"/>
      <c r="G8" s="232"/>
      <c r="H8" s="232"/>
      <c r="I8" s="233"/>
    </row>
    <row r="9" spans="1:9" ht="18.75" customHeight="1">
      <c r="A9" s="45" t="s">
        <v>14</v>
      </c>
      <c r="B9" s="44">
        <f>C9+D9+E9+F9+G9+H9+I9</f>
        <v>348418605.14</v>
      </c>
      <c r="C9" s="46">
        <f>'[1]табл.3'!F72</f>
        <v>50166870</v>
      </c>
      <c r="D9" s="46">
        <f>'[1]табл.3'!G72</f>
        <v>48176381.82000001</v>
      </c>
      <c r="E9" s="46">
        <f>'[1]табл.3'!H72</f>
        <v>48469840.33</v>
      </c>
      <c r="F9" s="46">
        <f aca="true" t="shared" si="1" ref="F9:I10">F16</f>
        <v>50628779.86</v>
      </c>
      <c r="G9" s="46">
        <f t="shared" si="1"/>
        <v>51532215.489999995</v>
      </c>
      <c r="H9" s="46">
        <f t="shared" si="1"/>
        <v>48601518.18</v>
      </c>
      <c r="I9" s="46">
        <f t="shared" si="1"/>
        <v>50842999.45999999</v>
      </c>
    </row>
    <row r="10" spans="1:9" ht="18.75" customHeight="1">
      <c r="A10" s="45" t="s">
        <v>15</v>
      </c>
      <c r="B10" s="44">
        <f>C10+D10+E10+F10+G10+H10+I10</f>
        <v>31459743.989999995</v>
      </c>
      <c r="C10" s="46">
        <f aca="true" t="shared" si="2" ref="C10:F12">C17</f>
        <v>3342945.69</v>
      </c>
      <c r="D10" s="46">
        <f t="shared" si="2"/>
        <v>2448681</v>
      </c>
      <c r="E10" s="46">
        <f t="shared" si="2"/>
        <v>2442571.87</v>
      </c>
      <c r="F10" s="46">
        <f t="shared" si="1"/>
        <v>5264533.7299999995</v>
      </c>
      <c r="G10" s="46">
        <f t="shared" si="1"/>
        <v>5688373.27</v>
      </c>
      <c r="H10" s="46">
        <f t="shared" si="1"/>
        <v>5996759.35</v>
      </c>
      <c r="I10" s="46">
        <f t="shared" si="1"/>
        <v>6275879.08</v>
      </c>
    </row>
    <row r="11" spans="1:9" ht="18.75" customHeight="1">
      <c r="A11" s="45" t="s">
        <v>16</v>
      </c>
      <c r="B11" s="44">
        <f>C11+D11+E11+F11+G11+H11+I11</f>
        <v>171328.81000000003</v>
      </c>
      <c r="C11" s="46">
        <f t="shared" si="2"/>
        <v>0</v>
      </c>
      <c r="D11" s="46">
        <f t="shared" si="2"/>
        <v>13320</v>
      </c>
      <c r="E11" s="46">
        <f t="shared" si="2"/>
        <v>63113</v>
      </c>
      <c r="F11" s="46">
        <f t="shared" si="2"/>
        <v>34010.51</v>
      </c>
      <c r="G11" s="46">
        <f aca="true" t="shared" si="3" ref="G11:I12">G18</f>
        <v>20295.1</v>
      </c>
      <c r="H11" s="46">
        <f t="shared" si="3"/>
        <v>20295.1</v>
      </c>
      <c r="I11" s="46">
        <f t="shared" si="3"/>
        <v>20295.1</v>
      </c>
    </row>
    <row r="12" spans="1:9" ht="18.75" customHeight="1">
      <c r="A12" s="45" t="s">
        <v>17</v>
      </c>
      <c r="B12" s="44">
        <f>C12+D12+E12+F12+G12+H12+I12</f>
        <v>115000</v>
      </c>
      <c r="C12" s="46">
        <f t="shared" si="2"/>
        <v>5000</v>
      </c>
      <c r="D12" s="46">
        <f t="shared" si="2"/>
        <v>0</v>
      </c>
      <c r="E12" s="46">
        <f t="shared" si="2"/>
        <v>85000</v>
      </c>
      <c r="F12" s="46">
        <f t="shared" si="2"/>
        <v>7000</v>
      </c>
      <c r="G12" s="46">
        <f t="shared" si="3"/>
        <v>5000</v>
      </c>
      <c r="H12" s="46">
        <f t="shared" si="3"/>
        <v>6000</v>
      </c>
      <c r="I12" s="46">
        <f t="shared" si="3"/>
        <v>7000</v>
      </c>
    </row>
    <row r="13" spans="1:9" ht="18.75" customHeight="1">
      <c r="A13" s="228" t="s">
        <v>18</v>
      </c>
      <c r="B13" s="229"/>
      <c r="C13" s="229"/>
      <c r="D13" s="229"/>
      <c r="E13" s="229"/>
      <c r="F13" s="229"/>
      <c r="G13" s="229"/>
      <c r="H13" s="229"/>
      <c r="I13" s="230"/>
    </row>
    <row r="14" spans="1:9" ht="42.75" customHeight="1">
      <c r="A14" s="47" t="s">
        <v>30</v>
      </c>
      <c r="B14" s="44">
        <f>B16+B17+B18+B19</f>
        <v>380164677.94</v>
      </c>
      <c r="C14" s="44">
        <f aca="true" t="shared" si="4" ref="C14:I14">C16+C17+C18+C19</f>
        <v>53514815.69</v>
      </c>
      <c r="D14" s="44">
        <f t="shared" si="4"/>
        <v>50638382.82000001</v>
      </c>
      <c r="E14" s="44">
        <f t="shared" si="4"/>
        <v>51060525.199999996</v>
      </c>
      <c r="F14" s="44">
        <f t="shared" si="4"/>
        <v>55934324.099999994</v>
      </c>
      <c r="G14" s="44">
        <f t="shared" si="4"/>
        <v>57245883.85999999</v>
      </c>
      <c r="H14" s="44">
        <f t="shared" si="4"/>
        <v>54624572.63</v>
      </c>
      <c r="I14" s="44">
        <f t="shared" si="4"/>
        <v>57146173.63999999</v>
      </c>
    </row>
    <row r="15" spans="1:9" ht="18.75" customHeight="1">
      <c r="A15" s="231" t="s">
        <v>13</v>
      </c>
      <c r="B15" s="232"/>
      <c r="C15" s="232"/>
      <c r="D15" s="232"/>
      <c r="E15" s="232"/>
      <c r="F15" s="232"/>
      <c r="G15" s="232"/>
      <c r="H15" s="232"/>
      <c r="I15" s="233"/>
    </row>
    <row r="16" spans="1:9" ht="18.75" customHeight="1">
      <c r="A16" s="45" t="s">
        <v>14</v>
      </c>
      <c r="B16" s="44">
        <f>C16+D16+E16+F16+G16+H16+I16</f>
        <v>348418605.14</v>
      </c>
      <c r="C16" s="46">
        <f>'[1]табл.3'!F72</f>
        <v>50166870</v>
      </c>
      <c r="D16" s="46">
        <f>'[1]табл.3'!G72</f>
        <v>48176381.82000001</v>
      </c>
      <c r="E16" s="46">
        <f>'[1]табл.3'!H72</f>
        <v>48469840.33</v>
      </c>
      <c r="F16" s="46">
        <f>'табл.3 (2)'!I72</f>
        <v>50628779.86</v>
      </c>
      <c r="G16" s="46">
        <f>'табл.3 (2)'!J72</f>
        <v>51532215.489999995</v>
      </c>
      <c r="H16" s="46">
        <f>'табл.3 (2)'!K72</f>
        <v>48601518.18</v>
      </c>
      <c r="I16" s="46">
        <f>'табл.3 (2)'!L72</f>
        <v>50842999.45999999</v>
      </c>
    </row>
    <row r="17" spans="1:9" ht="18.75" customHeight="1">
      <c r="A17" s="45" t="s">
        <v>15</v>
      </c>
      <c r="B17" s="44">
        <f>C17+D17+E17+F17+G17+H17+I17</f>
        <v>31459743.989999995</v>
      </c>
      <c r="C17" s="46">
        <f>'[1]табл.3'!F73</f>
        <v>3342945.69</v>
      </c>
      <c r="D17" s="46">
        <f>'[1]табл.3'!G73</f>
        <v>2448681</v>
      </c>
      <c r="E17" s="46">
        <f>'[1]табл.3'!H73</f>
        <v>2442571.87</v>
      </c>
      <c r="F17" s="46">
        <f>'табл.3 (2)'!I73</f>
        <v>5264533.7299999995</v>
      </c>
      <c r="G17" s="46">
        <f>'табл.3 (2)'!J73</f>
        <v>5688373.27</v>
      </c>
      <c r="H17" s="46">
        <f>'табл.3 (2)'!K73</f>
        <v>5996759.35</v>
      </c>
      <c r="I17" s="46">
        <f>'табл.3 (2)'!L73</f>
        <v>6275879.08</v>
      </c>
    </row>
    <row r="18" spans="1:9" ht="18.75" customHeight="1">
      <c r="A18" s="45" t="s">
        <v>16</v>
      </c>
      <c r="B18" s="44">
        <f>C18+D18+E18+F18+G18+H18+I18</f>
        <v>171328.81000000003</v>
      </c>
      <c r="C18" s="46">
        <v>0</v>
      </c>
      <c r="D18" s="46">
        <f>'[1]табл.3'!G74</f>
        <v>13320</v>
      </c>
      <c r="E18" s="46">
        <f>'[1]табл.3'!H74</f>
        <v>63113</v>
      </c>
      <c r="F18" s="46">
        <f>'[1]табл.3'!I74</f>
        <v>34010.51</v>
      </c>
      <c r="G18" s="46">
        <f>'табл.3 (2)'!J74</f>
        <v>20295.1</v>
      </c>
      <c r="H18" s="46">
        <f>'табл.3 (2)'!K74</f>
        <v>20295.1</v>
      </c>
      <c r="I18" s="46">
        <f>'табл.3 (2)'!L74</f>
        <v>20295.1</v>
      </c>
    </row>
    <row r="19" spans="1:9" ht="18.75" customHeight="1">
      <c r="A19" s="45" t="s">
        <v>17</v>
      </c>
      <c r="B19" s="44">
        <f>C19+D19+E19+F19+G19+H19+I19</f>
        <v>115000</v>
      </c>
      <c r="C19" s="46">
        <v>5000</v>
      </c>
      <c r="D19" s="46">
        <v>0</v>
      </c>
      <c r="E19" s="46">
        <f>'[1]табл.3'!H75</f>
        <v>85000</v>
      </c>
      <c r="F19" s="46">
        <f>'[1]табл.3'!I75</f>
        <v>7000</v>
      </c>
      <c r="G19" s="46">
        <f>'табл.3 (2)'!J75</f>
        <v>5000</v>
      </c>
      <c r="H19" s="46">
        <f>'табл.3 (2)'!K75</f>
        <v>6000</v>
      </c>
      <c r="I19" s="46">
        <f>'табл.3 (2)'!L75</f>
        <v>7000</v>
      </c>
    </row>
    <row r="21" ht="18.75" customHeight="1">
      <c r="A21" s="4"/>
    </row>
    <row r="22" ht="18.75" customHeight="1">
      <c r="A22" s="4"/>
    </row>
  </sheetData>
  <sheetProtection/>
  <mergeCells count="8">
    <mergeCell ref="A13:I13"/>
    <mergeCell ref="A15:I15"/>
    <mergeCell ref="G1:I1"/>
    <mergeCell ref="A2:I2"/>
    <mergeCell ref="A4:A5"/>
    <mergeCell ref="B4:B5"/>
    <mergeCell ref="C4:I4"/>
    <mergeCell ref="A8:I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SheetLayoutView="115" zoomScalePageLayoutView="0" workbookViewId="0" topLeftCell="J1">
      <selection activeCell="I10" sqref="I10"/>
    </sheetView>
  </sheetViews>
  <sheetFormatPr defaultColWidth="9.140625" defaultRowHeight="15"/>
  <cols>
    <col min="1" max="1" width="9.140625" style="10" customWidth="1"/>
    <col min="2" max="2" width="36.57421875" style="10" customWidth="1"/>
    <col min="3" max="3" width="10.421875" style="10" customWidth="1"/>
    <col min="4" max="4" width="10.00390625" style="10" customWidth="1"/>
    <col min="5" max="5" width="18.421875" style="10" customWidth="1"/>
    <col min="6" max="12" width="15.140625" style="10" bestFit="1" customWidth="1"/>
    <col min="13" max="13" width="18.00390625" style="10" customWidth="1"/>
    <col min="14" max="14" width="7.8515625" style="10" customWidth="1"/>
    <col min="15" max="20" width="7.421875" style="10" bestFit="1" customWidth="1"/>
    <col min="21" max="21" width="23.421875" style="10" customWidth="1"/>
    <col min="22" max="16384" width="9.140625" style="10" customWidth="1"/>
  </cols>
  <sheetData>
    <row r="1" s="8" customFormat="1" ht="17.25" customHeight="1">
      <c r="U1" s="9" t="s">
        <v>107</v>
      </c>
    </row>
    <row r="2" spans="1:21" s="8" customFormat="1" ht="26.25" customHeight="1">
      <c r="A2" s="130" t="s">
        <v>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31.5" customHeight="1">
      <c r="A3" s="216" t="s">
        <v>7</v>
      </c>
      <c r="B3" s="211" t="s">
        <v>19</v>
      </c>
      <c r="C3" s="211" t="s">
        <v>20</v>
      </c>
      <c r="D3" s="211" t="s">
        <v>10</v>
      </c>
      <c r="E3" s="211" t="s">
        <v>27</v>
      </c>
      <c r="F3" s="211"/>
      <c r="G3" s="211"/>
      <c r="H3" s="211"/>
      <c r="I3" s="211"/>
      <c r="J3" s="211"/>
      <c r="K3" s="211"/>
      <c r="L3" s="211"/>
      <c r="M3" s="216" t="s">
        <v>56</v>
      </c>
      <c r="N3" s="216"/>
      <c r="O3" s="216"/>
      <c r="P3" s="216"/>
      <c r="Q3" s="216"/>
      <c r="R3" s="216"/>
      <c r="S3" s="216"/>
      <c r="T3" s="216"/>
      <c r="U3" s="234" t="s">
        <v>28</v>
      </c>
    </row>
    <row r="4" spans="1:21" ht="27.75" customHeight="1">
      <c r="A4" s="216"/>
      <c r="B4" s="211"/>
      <c r="C4" s="211"/>
      <c r="D4" s="211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238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217" t="s">
        <v>83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9"/>
    </row>
    <row r="7" spans="1:21" ht="12.75">
      <c r="A7" s="12">
        <v>1</v>
      </c>
      <c r="B7" s="217" t="s">
        <v>84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</row>
    <row r="8" spans="1:21" ht="12.75" customHeight="1">
      <c r="A8" s="192" t="s">
        <v>5</v>
      </c>
      <c r="B8" s="212" t="s">
        <v>85</v>
      </c>
      <c r="C8" s="177" t="s">
        <v>63</v>
      </c>
      <c r="D8" s="13" t="s">
        <v>4</v>
      </c>
      <c r="E8" s="14">
        <f>E10+E11+E12+E13</f>
        <v>303343069.36999995</v>
      </c>
      <c r="F8" s="14">
        <f aca="true" t="shared" si="0" ref="F8:L8">F10+F11+F12+F13</f>
        <v>37935433.69</v>
      </c>
      <c r="G8" s="14">
        <f t="shared" si="0"/>
        <v>40162203.56</v>
      </c>
      <c r="H8" s="14">
        <f t="shared" si="0"/>
        <v>42279510.65</v>
      </c>
      <c r="I8" s="14">
        <f t="shared" si="0"/>
        <v>45541824.6</v>
      </c>
      <c r="J8" s="14">
        <f t="shared" si="0"/>
        <v>46399044.309999995</v>
      </c>
      <c r="K8" s="14">
        <f t="shared" si="0"/>
        <v>44268905.370000005</v>
      </c>
      <c r="L8" s="14">
        <f t="shared" si="0"/>
        <v>46756147.19</v>
      </c>
      <c r="M8" s="171" t="s">
        <v>86</v>
      </c>
      <c r="N8" s="239">
        <v>691039</v>
      </c>
      <c r="O8" s="239">
        <v>605385</v>
      </c>
      <c r="P8" s="239">
        <v>605389</v>
      </c>
      <c r="Q8" s="239">
        <v>0</v>
      </c>
      <c r="R8" s="239">
        <v>0</v>
      </c>
      <c r="S8" s="239">
        <v>0</v>
      </c>
      <c r="T8" s="239">
        <v>0</v>
      </c>
      <c r="U8" s="166" t="s">
        <v>87</v>
      </c>
    </row>
    <row r="9" spans="1:21" ht="12.75" customHeight="1">
      <c r="A9" s="192"/>
      <c r="B9" s="212"/>
      <c r="C9" s="178"/>
      <c r="D9" s="180" t="s">
        <v>29</v>
      </c>
      <c r="E9" s="181"/>
      <c r="F9" s="181"/>
      <c r="G9" s="181"/>
      <c r="H9" s="181"/>
      <c r="I9" s="181"/>
      <c r="J9" s="181"/>
      <c r="K9" s="181"/>
      <c r="L9" s="182"/>
      <c r="M9" s="159"/>
      <c r="N9" s="240"/>
      <c r="O9" s="240"/>
      <c r="P9" s="240"/>
      <c r="Q9" s="240"/>
      <c r="R9" s="240"/>
      <c r="S9" s="240"/>
      <c r="T9" s="240"/>
      <c r="U9" s="167"/>
    </row>
    <row r="10" spans="1:21" ht="42" customHeight="1">
      <c r="A10" s="192"/>
      <c r="B10" s="212"/>
      <c r="C10" s="178"/>
      <c r="D10" s="15" t="s">
        <v>2</v>
      </c>
      <c r="E10" s="16">
        <f>F10+G10+H10+I10+J10+K10+L10</f>
        <v>272371749.10999995</v>
      </c>
      <c r="F10" s="16">
        <v>34587488</v>
      </c>
      <c r="G10" s="16">
        <f>37511094.2+202428.36</f>
        <v>37713522.56</v>
      </c>
      <c r="H10" s="16">
        <f>39883914.63-46975.85</f>
        <v>39836938.78</v>
      </c>
      <c r="I10" s="16">
        <f>37937563.69+1157858.63+331144.77+972484.73</f>
        <v>40399051.82</v>
      </c>
      <c r="J10" s="16">
        <v>40822290.3</v>
      </c>
      <c r="K10" s="16">
        <v>38395894.28</v>
      </c>
      <c r="L10" s="16">
        <v>40616563.37</v>
      </c>
      <c r="M10" s="159"/>
      <c r="N10" s="240"/>
      <c r="O10" s="240"/>
      <c r="P10" s="240"/>
      <c r="Q10" s="240"/>
      <c r="R10" s="240"/>
      <c r="S10" s="240"/>
      <c r="T10" s="240"/>
      <c r="U10" s="167"/>
    </row>
    <row r="11" spans="1:21" ht="12.75" customHeight="1">
      <c r="A11" s="192"/>
      <c r="B11" s="212"/>
      <c r="C11" s="178"/>
      <c r="D11" s="15" t="s">
        <v>0</v>
      </c>
      <c r="E11" s="16">
        <f>F11+G11+H11+I11+J11+K11+L11</f>
        <v>30941320.26</v>
      </c>
      <c r="F11" s="16">
        <v>3342945.69</v>
      </c>
      <c r="G11" s="16">
        <v>2448681</v>
      </c>
      <c r="H11" s="16">
        <v>2442571.87</v>
      </c>
      <c r="I11" s="16">
        <f>4454020.26+681752.52</f>
        <v>5135772.779999999</v>
      </c>
      <c r="J11" s="16">
        <v>5571754.01</v>
      </c>
      <c r="K11" s="16">
        <v>5867011.09</v>
      </c>
      <c r="L11" s="16">
        <v>6132583.82</v>
      </c>
      <c r="M11" s="171" t="s">
        <v>88</v>
      </c>
      <c r="N11" s="239">
        <v>0</v>
      </c>
      <c r="O11" s="239">
        <v>0</v>
      </c>
      <c r="P11" s="239">
        <v>0</v>
      </c>
      <c r="Q11" s="239">
        <v>302368</v>
      </c>
      <c r="R11" s="239">
        <v>314558</v>
      </c>
      <c r="S11" s="239">
        <v>314561</v>
      </c>
      <c r="T11" s="239">
        <v>314561</v>
      </c>
      <c r="U11" s="167"/>
    </row>
    <row r="12" spans="1:21" ht="12.75" customHeight="1">
      <c r="A12" s="192"/>
      <c r="B12" s="212"/>
      <c r="C12" s="178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59"/>
      <c r="N12" s="240"/>
      <c r="O12" s="240"/>
      <c r="P12" s="240"/>
      <c r="Q12" s="240"/>
      <c r="R12" s="240"/>
      <c r="S12" s="240"/>
      <c r="T12" s="240"/>
      <c r="U12" s="167"/>
    </row>
    <row r="13" spans="1:21" ht="12.75" customHeight="1">
      <c r="A13" s="192"/>
      <c r="B13" s="212"/>
      <c r="C13" s="179"/>
      <c r="D13" s="15" t="s">
        <v>3</v>
      </c>
      <c r="E13" s="16">
        <f>F13+G13+H13+I13+J13+K13+L13</f>
        <v>30000</v>
      </c>
      <c r="F13" s="16">
        <v>5000</v>
      </c>
      <c r="G13" s="16">
        <v>0</v>
      </c>
      <c r="H13" s="16">
        <v>0</v>
      </c>
      <c r="I13" s="16">
        <f>521+3479+3000</f>
        <v>7000</v>
      </c>
      <c r="J13" s="16">
        <v>5000</v>
      </c>
      <c r="K13" s="16">
        <v>6000</v>
      </c>
      <c r="L13" s="16">
        <v>7000</v>
      </c>
      <c r="M13" s="159"/>
      <c r="N13" s="240"/>
      <c r="O13" s="240"/>
      <c r="P13" s="240"/>
      <c r="Q13" s="240"/>
      <c r="R13" s="240"/>
      <c r="S13" s="240"/>
      <c r="T13" s="240"/>
      <c r="U13" s="168"/>
    </row>
    <row r="14" spans="1:21" ht="12.75">
      <c r="A14" s="192" t="s">
        <v>89</v>
      </c>
      <c r="B14" s="212" t="s">
        <v>68</v>
      </c>
      <c r="C14" s="177" t="s">
        <v>63</v>
      </c>
      <c r="D14" s="13" t="s">
        <v>4</v>
      </c>
      <c r="E14" s="14">
        <f>E16+E17+E18+E19</f>
        <v>4095619.21</v>
      </c>
      <c r="F14" s="14">
        <f aca="true" t="shared" si="1" ref="F14:L14">F16+F17+F18+F19</f>
        <v>0</v>
      </c>
      <c r="G14" s="14">
        <f t="shared" si="1"/>
        <v>0</v>
      </c>
      <c r="H14" s="14">
        <f t="shared" si="1"/>
        <v>0</v>
      </c>
      <c r="I14" s="14">
        <f t="shared" si="1"/>
        <v>858470.4299999999</v>
      </c>
      <c r="J14" s="14">
        <f t="shared" si="1"/>
        <v>1065781.26</v>
      </c>
      <c r="K14" s="14">
        <f t="shared" si="1"/>
        <v>1078910.26</v>
      </c>
      <c r="L14" s="14">
        <f t="shared" si="1"/>
        <v>1092457.26</v>
      </c>
      <c r="M14" s="171" t="s">
        <v>90</v>
      </c>
      <c r="N14" s="239">
        <v>0</v>
      </c>
      <c r="O14" s="239">
        <v>0</v>
      </c>
      <c r="P14" s="239">
        <v>0</v>
      </c>
      <c r="Q14" s="239">
        <v>54</v>
      </c>
      <c r="R14" s="239">
        <v>65</v>
      </c>
      <c r="S14" s="239">
        <v>60</v>
      </c>
      <c r="T14" s="239">
        <v>60</v>
      </c>
      <c r="U14" s="166" t="s">
        <v>87</v>
      </c>
    </row>
    <row r="15" spans="1:21" ht="12.75">
      <c r="A15" s="192"/>
      <c r="B15" s="212"/>
      <c r="C15" s="178"/>
      <c r="D15" s="180" t="s">
        <v>29</v>
      </c>
      <c r="E15" s="181"/>
      <c r="F15" s="181"/>
      <c r="G15" s="181"/>
      <c r="H15" s="181"/>
      <c r="I15" s="181"/>
      <c r="J15" s="181"/>
      <c r="K15" s="181"/>
      <c r="L15" s="182"/>
      <c r="M15" s="159"/>
      <c r="N15" s="240"/>
      <c r="O15" s="240"/>
      <c r="P15" s="240"/>
      <c r="Q15" s="240"/>
      <c r="R15" s="240"/>
      <c r="S15" s="240"/>
      <c r="T15" s="240"/>
      <c r="U15" s="167"/>
    </row>
    <row r="16" spans="1:21" ht="12.75">
      <c r="A16" s="192"/>
      <c r="B16" s="212"/>
      <c r="C16" s="178"/>
      <c r="D16" s="15" t="s">
        <v>2</v>
      </c>
      <c r="E16" s="16">
        <f>F16+G16+H16+I16+J16+K16+L16</f>
        <v>3577195.48</v>
      </c>
      <c r="F16" s="16">
        <v>0</v>
      </c>
      <c r="G16" s="16">
        <v>0</v>
      </c>
      <c r="H16" s="16">
        <v>0</v>
      </c>
      <c r="I16" s="16">
        <f>949162-219452.52</f>
        <v>729709.48</v>
      </c>
      <c r="J16" s="16">
        <v>949162</v>
      </c>
      <c r="K16" s="16">
        <v>949162</v>
      </c>
      <c r="L16" s="16">
        <v>949162</v>
      </c>
      <c r="M16" s="159"/>
      <c r="N16" s="240"/>
      <c r="O16" s="240"/>
      <c r="P16" s="240"/>
      <c r="Q16" s="240"/>
      <c r="R16" s="240"/>
      <c r="S16" s="240"/>
      <c r="T16" s="240"/>
      <c r="U16" s="167"/>
    </row>
    <row r="17" spans="1:21" ht="12.75">
      <c r="A17" s="192"/>
      <c r="B17" s="212"/>
      <c r="C17" s="178"/>
      <c r="D17" s="15" t="s">
        <v>0</v>
      </c>
      <c r="E17" s="16">
        <f>F17+G17+H17+I17+J17+K17+L17</f>
        <v>518423.73</v>
      </c>
      <c r="F17" s="16">
        <v>0</v>
      </c>
      <c r="G17" s="16">
        <v>0</v>
      </c>
      <c r="H17" s="16">
        <v>0</v>
      </c>
      <c r="I17" s="16">
        <f>122228+6532.95</f>
        <v>128760.95</v>
      </c>
      <c r="J17" s="16">
        <v>116619.26</v>
      </c>
      <c r="K17" s="16">
        <v>129748.26</v>
      </c>
      <c r="L17" s="16">
        <v>143295.26</v>
      </c>
      <c r="M17" s="159"/>
      <c r="N17" s="240"/>
      <c r="O17" s="240"/>
      <c r="P17" s="240"/>
      <c r="Q17" s="240"/>
      <c r="R17" s="240"/>
      <c r="S17" s="240"/>
      <c r="T17" s="240"/>
      <c r="U17" s="167"/>
    </row>
    <row r="18" spans="1:21" ht="12.75">
      <c r="A18" s="192"/>
      <c r="B18" s="212"/>
      <c r="C18" s="178"/>
      <c r="D18" s="15" t="s">
        <v>1</v>
      </c>
      <c r="E18" s="16">
        <f>F18+G18+H18+I18+J18+K18+L18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59"/>
      <c r="N18" s="240"/>
      <c r="O18" s="240"/>
      <c r="P18" s="240"/>
      <c r="Q18" s="240"/>
      <c r="R18" s="240"/>
      <c r="S18" s="240"/>
      <c r="T18" s="240"/>
      <c r="U18" s="167"/>
    </row>
    <row r="19" spans="1:21" ht="12.75">
      <c r="A19" s="192"/>
      <c r="B19" s="212"/>
      <c r="C19" s="179"/>
      <c r="D19" s="15" t="s">
        <v>3</v>
      </c>
      <c r="E19" s="16">
        <f>F19+G19+H19+I19+J19+K19+L19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28"/>
      <c r="N19" s="241"/>
      <c r="O19" s="241"/>
      <c r="P19" s="241"/>
      <c r="Q19" s="241"/>
      <c r="R19" s="241"/>
      <c r="S19" s="241"/>
      <c r="T19" s="241"/>
      <c r="U19" s="168"/>
    </row>
    <row r="20" spans="1:21" ht="12.75">
      <c r="A20" s="171"/>
      <c r="B20" s="174" t="s">
        <v>91</v>
      </c>
      <c r="C20" s="177"/>
      <c r="D20" s="13" t="s">
        <v>4</v>
      </c>
      <c r="E20" s="14">
        <f>E22+E23+E24+E25</f>
        <v>307438688.58</v>
      </c>
      <c r="F20" s="14">
        <f aca="true" t="shared" si="2" ref="F20:L20">F22+F23+F24+F25</f>
        <v>37935433.69</v>
      </c>
      <c r="G20" s="14">
        <f t="shared" si="2"/>
        <v>40162203.56</v>
      </c>
      <c r="H20" s="14">
        <f t="shared" si="2"/>
        <v>42279510.65</v>
      </c>
      <c r="I20" s="14">
        <f t="shared" si="2"/>
        <v>46400295.029999994</v>
      </c>
      <c r="J20" s="14">
        <f t="shared" si="2"/>
        <v>47464825.56999999</v>
      </c>
      <c r="K20" s="14">
        <f t="shared" si="2"/>
        <v>45347815.63</v>
      </c>
      <c r="L20" s="14">
        <f t="shared" si="2"/>
        <v>47848604.449999996</v>
      </c>
      <c r="M20" s="171"/>
      <c r="N20" s="239"/>
      <c r="O20" s="239"/>
      <c r="P20" s="239"/>
      <c r="Q20" s="239"/>
      <c r="R20" s="239"/>
      <c r="S20" s="239"/>
      <c r="T20" s="239"/>
      <c r="U20" s="166"/>
    </row>
    <row r="21" spans="1:21" ht="12.75">
      <c r="A21" s="159"/>
      <c r="B21" s="188"/>
      <c r="C21" s="159"/>
      <c r="D21" s="180" t="s">
        <v>29</v>
      </c>
      <c r="E21" s="181"/>
      <c r="F21" s="181"/>
      <c r="G21" s="181"/>
      <c r="H21" s="181"/>
      <c r="I21" s="181"/>
      <c r="J21" s="181"/>
      <c r="K21" s="181"/>
      <c r="L21" s="182"/>
      <c r="M21" s="172"/>
      <c r="N21" s="242"/>
      <c r="O21" s="242"/>
      <c r="P21" s="242"/>
      <c r="Q21" s="242"/>
      <c r="R21" s="242"/>
      <c r="S21" s="242"/>
      <c r="T21" s="242"/>
      <c r="U21" s="167"/>
    </row>
    <row r="22" spans="1:21" ht="12.75">
      <c r="A22" s="159"/>
      <c r="B22" s="188"/>
      <c r="C22" s="159"/>
      <c r="D22" s="15" t="s">
        <v>2</v>
      </c>
      <c r="E22" s="16">
        <f>F22+G22+H22+I22+J22+K22+L22</f>
        <v>275948944.59</v>
      </c>
      <c r="F22" s="16">
        <f aca="true" t="shared" si="3" ref="F22:H25">F10</f>
        <v>34587488</v>
      </c>
      <c r="G22" s="16">
        <f t="shared" si="3"/>
        <v>37713522.56</v>
      </c>
      <c r="H22" s="16">
        <f t="shared" si="3"/>
        <v>39836938.78</v>
      </c>
      <c r="I22" s="16">
        <f aca="true" t="shared" si="4" ref="I22:L23">I10+I16</f>
        <v>41128761.3</v>
      </c>
      <c r="J22" s="16">
        <f t="shared" si="4"/>
        <v>41771452.3</v>
      </c>
      <c r="K22" s="16">
        <f t="shared" si="4"/>
        <v>39345056.28</v>
      </c>
      <c r="L22" s="16">
        <f t="shared" si="4"/>
        <v>41565725.37</v>
      </c>
      <c r="M22" s="172"/>
      <c r="N22" s="242"/>
      <c r="O22" s="242"/>
      <c r="P22" s="242"/>
      <c r="Q22" s="242"/>
      <c r="R22" s="242"/>
      <c r="S22" s="242"/>
      <c r="T22" s="242"/>
      <c r="U22" s="167"/>
    </row>
    <row r="23" spans="1:21" ht="12.75">
      <c r="A23" s="159"/>
      <c r="B23" s="188"/>
      <c r="C23" s="159"/>
      <c r="D23" s="15" t="s">
        <v>0</v>
      </c>
      <c r="E23" s="16">
        <f>F23+G23+H23+I23+J23+K23+L23</f>
        <v>31459743.989999995</v>
      </c>
      <c r="F23" s="16">
        <f t="shared" si="3"/>
        <v>3342945.69</v>
      </c>
      <c r="G23" s="16">
        <f t="shared" si="3"/>
        <v>2448681</v>
      </c>
      <c r="H23" s="16">
        <f t="shared" si="3"/>
        <v>2442571.87</v>
      </c>
      <c r="I23" s="16">
        <f t="shared" si="4"/>
        <v>5264533.7299999995</v>
      </c>
      <c r="J23" s="16">
        <f t="shared" si="4"/>
        <v>5688373.27</v>
      </c>
      <c r="K23" s="16">
        <f t="shared" si="4"/>
        <v>5996759.35</v>
      </c>
      <c r="L23" s="16">
        <f t="shared" si="4"/>
        <v>6275879.08</v>
      </c>
      <c r="M23" s="172"/>
      <c r="N23" s="242"/>
      <c r="O23" s="242"/>
      <c r="P23" s="242"/>
      <c r="Q23" s="242"/>
      <c r="R23" s="242"/>
      <c r="S23" s="242"/>
      <c r="T23" s="242"/>
      <c r="U23" s="167"/>
    </row>
    <row r="24" spans="1:21" ht="12.75">
      <c r="A24" s="159"/>
      <c r="B24" s="188"/>
      <c r="C24" s="159"/>
      <c r="D24" s="15" t="s">
        <v>1</v>
      </c>
      <c r="E24" s="16">
        <f>F24+G24+H24+I24+J24+K24+L24</f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v>0</v>
      </c>
      <c r="J24" s="16">
        <f aca="true" t="shared" si="5" ref="J24:L25">J12</f>
        <v>0</v>
      </c>
      <c r="K24" s="16">
        <f t="shared" si="5"/>
        <v>0</v>
      </c>
      <c r="L24" s="16">
        <f t="shared" si="5"/>
        <v>0</v>
      </c>
      <c r="M24" s="172"/>
      <c r="N24" s="242"/>
      <c r="O24" s="242"/>
      <c r="P24" s="242"/>
      <c r="Q24" s="242"/>
      <c r="R24" s="242"/>
      <c r="S24" s="242"/>
      <c r="T24" s="242"/>
      <c r="U24" s="167"/>
    </row>
    <row r="25" spans="1:21" ht="12.75">
      <c r="A25" s="128"/>
      <c r="B25" s="189"/>
      <c r="C25" s="128"/>
      <c r="D25" s="15" t="s">
        <v>3</v>
      </c>
      <c r="E25" s="16">
        <f>F25+G25+H25+I25+J25+K25+L25</f>
        <v>30000</v>
      </c>
      <c r="F25" s="16">
        <f t="shared" si="3"/>
        <v>5000</v>
      </c>
      <c r="G25" s="16">
        <f t="shared" si="3"/>
        <v>0</v>
      </c>
      <c r="H25" s="16">
        <f t="shared" si="3"/>
        <v>0</v>
      </c>
      <c r="I25" s="16">
        <f>I13+I19</f>
        <v>7000</v>
      </c>
      <c r="J25" s="16">
        <f t="shared" si="5"/>
        <v>5000</v>
      </c>
      <c r="K25" s="16">
        <f t="shared" si="5"/>
        <v>6000</v>
      </c>
      <c r="L25" s="16">
        <f t="shared" si="5"/>
        <v>7000</v>
      </c>
      <c r="M25" s="173"/>
      <c r="N25" s="243"/>
      <c r="O25" s="243"/>
      <c r="P25" s="243"/>
      <c r="Q25" s="243"/>
      <c r="R25" s="243"/>
      <c r="S25" s="243"/>
      <c r="T25" s="243"/>
      <c r="U25" s="168"/>
    </row>
    <row r="26" spans="1:21" ht="12.75">
      <c r="A26" s="37">
        <v>2</v>
      </c>
      <c r="B26" s="217" t="s">
        <v>92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9"/>
    </row>
    <row r="27" spans="1:21" ht="12.75">
      <c r="A27" s="171" t="s">
        <v>6</v>
      </c>
      <c r="B27" s="212" t="s">
        <v>93</v>
      </c>
      <c r="C27" s="177" t="s">
        <v>94</v>
      </c>
      <c r="D27" s="13" t="s">
        <v>4</v>
      </c>
      <c r="E27" s="14">
        <f>E29+E30+E31+E32</f>
        <v>19008448.9</v>
      </c>
      <c r="F27" s="14">
        <f aca="true" t="shared" si="6" ref="F27:L27">F29+F30+F31+F32</f>
        <v>10178283.18</v>
      </c>
      <c r="G27" s="14">
        <f t="shared" si="6"/>
        <v>4727094.72</v>
      </c>
      <c r="H27" s="14">
        <f t="shared" si="6"/>
        <v>4103071</v>
      </c>
      <c r="I27" s="14">
        <f t="shared" si="6"/>
        <v>0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166" t="s">
        <v>95</v>
      </c>
      <c r="N27" s="239">
        <v>357066</v>
      </c>
      <c r="O27" s="239">
        <v>344445</v>
      </c>
      <c r="P27" s="239">
        <v>337716</v>
      </c>
      <c r="Q27" s="239">
        <v>0</v>
      </c>
      <c r="R27" s="239">
        <v>0</v>
      </c>
      <c r="S27" s="239">
        <v>0</v>
      </c>
      <c r="T27" s="239">
        <v>0</v>
      </c>
      <c r="U27" s="166" t="s">
        <v>87</v>
      </c>
    </row>
    <row r="28" spans="1:21" ht="12.75" customHeight="1">
      <c r="A28" s="159"/>
      <c r="B28" s="212"/>
      <c r="C28" s="178"/>
      <c r="D28" s="180" t="s">
        <v>29</v>
      </c>
      <c r="E28" s="181"/>
      <c r="F28" s="181"/>
      <c r="G28" s="181"/>
      <c r="H28" s="181"/>
      <c r="I28" s="181"/>
      <c r="J28" s="181"/>
      <c r="K28" s="181"/>
      <c r="L28" s="182"/>
      <c r="M28" s="167"/>
      <c r="N28" s="242"/>
      <c r="O28" s="242"/>
      <c r="P28" s="242"/>
      <c r="Q28" s="242"/>
      <c r="R28" s="242"/>
      <c r="S28" s="242"/>
      <c r="T28" s="242"/>
      <c r="U28" s="167"/>
    </row>
    <row r="29" spans="1:21" ht="12.75" customHeight="1">
      <c r="A29" s="159"/>
      <c r="B29" s="212"/>
      <c r="C29" s="178"/>
      <c r="D29" s="15" t="s">
        <v>2</v>
      </c>
      <c r="E29" s="16">
        <f>F29+G29+H29+I29+J29+K29+L29</f>
        <v>18982015.9</v>
      </c>
      <c r="F29" s="16">
        <v>10178283.18</v>
      </c>
      <c r="G29" s="16">
        <v>4713774.72</v>
      </c>
      <c r="H29" s="16">
        <v>4089958</v>
      </c>
      <c r="I29" s="16">
        <v>0</v>
      </c>
      <c r="J29" s="16">
        <v>0</v>
      </c>
      <c r="K29" s="16">
        <v>0</v>
      </c>
      <c r="L29" s="16">
        <v>0</v>
      </c>
      <c r="M29" s="167"/>
      <c r="N29" s="242"/>
      <c r="O29" s="242"/>
      <c r="P29" s="242"/>
      <c r="Q29" s="242"/>
      <c r="R29" s="242"/>
      <c r="S29" s="242"/>
      <c r="T29" s="242"/>
      <c r="U29" s="167"/>
    </row>
    <row r="30" spans="1:21" ht="12.75" customHeight="1">
      <c r="A30" s="159"/>
      <c r="B30" s="212"/>
      <c r="C30" s="178"/>
      <c r="D30" s="15" t="s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7"/>
      <c r="N30" s="242"/>
      <c r="O30" s="242"/>
      <c r="P30" s="242"/>
      <c r="Q30" s="242"/>
      <c r="R30" s="242"/>
      <c r="S30" s="242"/>
      <c r="T30" s="242"/>
      <c r="U30" s="167"/>
    </row>
    <row r="31" spans="1:21" ht="12.75" customHeight="1">
      <c r="A31" s="159"/>
      <c r="B31" s="212"/>
      <c r="C31" s="178"/>
      <c r="D31" s="15" t="s">
        <v>1</v>
      </c>
      <c r="E31" s="16">
        <f>F31+G31+H31+I31+J31+K31+L31</f>
        <v>26433</v>
      </c>
      <c r="F31" s="16">
        <v>0</v>
      </c>
      <c r="G31" s="16">
        <v>13320</v>
      </c>
      <c r="H31" s="16">
        <v>13113</v>
      </c>
      <c r="I31" s="16">
        <v>0</v>
      </c>
      <c r="J31" s="16">
        <v>0</v>
      </c>
      <c r="K31" s="16">
        <v>0</v>
      </c>
      <c r="L31" s="16">
        <v>0</v>
      </c>
      <c r="M31" s="167"/>
      <c r="N31" s="242"/>
      <c r="O31" s="242"/>
      <c r="P31" s="242"/>
      <c r="Q31" s="242"/>
      <c r="R31" s="242"/>
      <c r="S31" s="242"/>
      <c r="T31" s="242"/>
      <c r="U31" s="167"/>
    </row>
    <row r="32" spans="1:21" ht="12.75" customHeight="1">
      <c r="A32" s="128"/>
      <c r="B32" s="212"/>
      <c r="C32" s="179"/>
      <c r="D32" s="15" t="s">
        <v>3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8"/>
      <c r="N32" s="243"/>
      <c r="O32" s="243"/>
      <c r="P32" s="243"/>
      <c r="Q32" s="243"/>
      <c r="R32" s="243"/>
      <c r="S32" s="243"/>
      <c r="T32" s="243"/>
      <c r="U32" s="168"/>
    </row>
    <row r="33" spans="1:21" ht="12.75">
      <c r="A33" s="171" t="s">
        <v>41</v>
      </c>
      <c r="B33" s="174" t="s">
        <v>96</v>
      </c>
      <c r="C33" s="177" t="s">
        <v>94</v>
      </c>
      <c r="D33" s="13" t="s">
        <v>4</v>
      </c>
      <c r="E33" s="14">
        <f>E35+E36+E37+E38</f>
        <v>12919489.16</v>
      </c>
      <c r="F33" s="14">
        <f aca="true" t="shared" si="7" ref="F33:L33">F35+F36+F37+F38</f>
        <v>5237060.52</v>
      </c>
      <c r="G33" s="14">
        <f t="shared" si="7"/>
        <v>3247992.09</v>
      </c>
      <c r="H33" s="14">
        <f t="shared" si="7"/>
        <v>4434436.55</v>
      </c>
      <c r="I33" s="14">
        <f t="shared" si="7"/>
        <v>0</v>
      </c>
      <c r="J33" s="14">
        <f t="shared" si="7"/>
        <v>0</v>
      </c>
      <c r="K33" s="14">
        <f t="shared" si="7"/>
        <v>0</v>
      </c>
      <c r="L33" s="14">
        <f t="shared" si="7"/>
        <v>0</v>
      </c>
      <c r="M33" s="166" t="s">
        <v>97</v>
      </c>
      <c r="N33" s="239">
        <v>2688</v>
      </c>
      <c r="O33" s="239">
        <v>3920</v>
      </c>
      <c r="P33" s="239">
        <v>3921</v>
      </c>
      <c r="Q33" s="239">
        <v>0</v>
      </c>
      <c r="R33" s="239">
        <v>0</v>
      </c>
      <c r="S33" s="239">
        <v>0</v>
      </c>
      <c r="T33" s="239">
        <v>0</v>
      </c>
      <c r="U33" s="166" t="s">
        <v>87</v>
      </c>
    </row>
    <row r="34" spans="1:21" ht="12.75" customHeight="1">
      <c r="A34" s="159"/>
      <c r="B34" s="188"/>
      <c r="C34" s="178"/>
      <c r="D34" s="180" t="s">
        <v>29</v>
      </c>
      <c r="E34" s="181"/>
      <c r="F34" s="181"/>
      <c r="G34" s="181"/>
      <c r="H34" s="181"/>
      <c r="I34" s="181"/>
      <c r="J34" s="181"/>
      <c r="K34" s="181"/>
      <c r="L34" s="182"/>
      <c r="M34" s="167"/>
      <c r="N34" s="242"/>
      <c r="O34" s="242"/>
      <c r="P34" s="242"/>
      <c r="Q34" s="242"/>
      <c r="R34" s="242"/>
      <c r="S34" s="242"/>
      <c r="T34" s="242"/>
      <c r="U34" s="167"/>
    </row>
    <row r="35" spans="1:21" ht="12.75" customHeight="1">
      <c r="A35" s="159"/>
      <c r="B35" s="188"/>
      <c r="C35" s="178"/>
      <c r="D35" s="15" t="s">
        <v>2</v>
      </c>
      <c r="E35" s="16">
        <f>F35+G35+H35+I35+J35+K35+L35</f>
        <v>12919489.16</v>
      </c>
      <c r="F35" s="16">
        <v>5237060.52</v>
      </c>
      <c r="G35" s="16">
        <v>3247992.09</v>
      </c>
      <c r="H35" s="16">
        <v>4434436.55</v>
      </c>
      <c r="I35" s="16">
        <v>0</v>
      </c>
      <c r="J35" s="16">
        <v>0</v>
      </c>
      <c r="K35" s="16">
        <v>0</v>
      </c>
      <c r="L35" s="16">
        <v>0</v>
      </c>
      <c r="M35" s="167"/>
      <c r="N35" s="242"/>
      <c r="O35" s="242"/>
      <c r="P35" s="242"/>
      <c r="Q35" s="242"/>
      <c r="R35" s="242"/>
      <c r="S35" s="242"/>
      <c r="T35" s="242"/>
      <c r="U35" s="167"/>
    </row>
    <row r="36" spans="1:21" ht="12.75" customHeight="1">
      <c r="A36" s="159"/>
      <c r="B36" s="188"/>
      <c r="C36" s="178"/>
      <c r="D36" s="15" t="s">
        <v>0</v>
      </c>
      <c r="E36" s="16">
        <f>F36+G36+H36+I36+J36+K36+L36</f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7"/>
      <c r="N36" s="242"/>
      <c r="O36" s="242"/>
      <c r="P36" s="242"/>
      <c r="Q36" s="242"/>
      <c r="R36" s="242"/>
      <c r="S36" s="242"/>
      <c r="T36" s="242"/>
      <c r="U36" s="167"/>
    </row>
    <row r="37" spans="1:21" ht="12.75" customHeight="1">
      <c r="A37" s="159"/>
      <c r="B37" s="188"/>
      <c r="C37" s="178"/>
      <c r="D37" s="15" t="s">
        <v>1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7"/>
      <c r="N37" s="242"/>
      <c r="O37" s="242"/>
      <c r="P37" s="242"/>
      <c r="Q37" s="242"/>
      <c r="R37" s="242"/>
      <c r="S37" s="242"/>
      <c r="T37" s="242"/>
      <c r="U37" s="167"/>
    </row>
    <row r="38" spans="1:21" ht="12.75" customHeight="1">
      <c r="A38" s="128"/>
      <c r="B38" s="189"/>
      <c r="C38" s="179"/>
      <c r="D38" s="15" t="s">
        <v>3</v>
      </c>
      <c r="E38" s="16">
        <f>F38+G38+H38+I38+J38+K38+L38</f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8"/>
      <c r="N38" s="243"/>
      <c r="O38" s="243"/>
      <c r="P38" s="243"/>
      <c r="Q38" s="243"/>
      <c r="R38" s="243"/>
      <c r="S38" s="243"/>
      <c r="T38" s="243"/>
      <c r="U38" s="168"/>
    </row>
    <row r="39" spans="1:21" ht="12.75" customHeight="1">
      <c r="A39" s="171" t="s">
        <v>57</v>
      </c>
      <c r="B39" s="212" t="s">
        <v>98</v>
      </c>
      <c r="C39" s="177" t="s">
        <v>63</v>
      </c>
      <c r="D39" s="13" t="s">
        <v>4</v>
      </c>
      <c r="E39" s="14">
        <f>E41+E42+E43+E44</f>
        <v>20933395.27</v>
      </c>
      <c r="F39" s="14">
        <f aca="true" t="shared" si="8" ref="F39:L39">F41+F42+F43+F44</f>
        <v>0</v>
      </c>
      <c r="G39" s="14">
        <f t="shared" si="8"/>
        <v>0</v>
      </c>
      <c r="H39" s="14">
        <f t="shared" si="8"/>
        <v>0</v>
      </c>
      <c r="I39" s="14">
        <f t="shared" si="8"/>
        <v>5282577.76</v>
      </c>
      <c r="J39" s="14">
        <f t="shared" si="8"/>
        <v>5379740.06</v>
      </c>
      <c r="K39" s="14">
        <f t="shared" si="8"/>
        <v>5139743.529999999</v>
      </c>
      <c r="L39" s="14">
        <f t="shared" si="8"/>
        <v>5131333.92</v>
      </c>
      <c r="M39" s="166" t="s">
        <v>99</v>
      </c>
      <c r="N39" s="239">
        <v>0</v>
      </c>
      <c r="O39" s="239">
        <v>0</v>
      </c>
      <c r="P39" s="239">
        <v>0</v>
      </c>
      <c r="Q39" s="239">
        <v>337717</v>
      </c>
      <c r="R39" s="239">
        <v>337718</v>
      </c>
      <c r="S39" s="239">
        <v>337719</v>
      </c>
      <c r="T39" s="239">
        <v>337719</v>
      </c>
      <c r="U39" s="166" t="s">
        <v>87</v>
      </c>
    </row>
    <row r="40" spans="1:21" ht="12.75" customHeight="1">
      <c r="A40" s="159"/>
      <c r="B40" s="212"/>
      <c r="C40" s="178"/>
      <c r="D40" s="180" t="s">
        <v>29</v>
      </c>
      <c r="E40" s="181"/>
      <c r="F40" s="181"/>
      <c r="G40" s="181"/>
      <c r="H40" s="181"/>
      <c r="I40" s="181"/>
      <c r="J40" s="181"/>
      <c r="K40" s="181"/>
      <c r="L40" s="182"/>
      <c r="M40" s="167"/>
      <c r="N40" s="242"/>
      <c r="O40" s="242"/>
      <c r="P40" s="242"/>
      <c r="Q40" s="242"/>
      <c r="R40" s="242"/>
      <c r="S40" s="242"/>
      <c r="T40" s="242"/>
      <c r="U40" s="167"/>
    </row>
    <row r="41" spans="1:21" ht="12.75" customHeight="1">
      <c r="A41" s="159"/>
      <c r="B41" s="212"/>
      <c r="C41" s="178"/>
      <c r="D41" s="15" t="s">
        <v>2</v>
      </c>
      <c r="E41" s="16">
        <f>F41+G41+H41+I41+J41+K41+L41</f>
        <v>20838499.46</v>
      </c>
      <c r="F41" s="16">
        <v>0</v>
      </c>
      <c r="G41" s="16">
        <v>0</v>
      </c>
      <c r="H41" s="16">
        <v>0</v>
      </c>
      <c r="I41" s="16">
        <v>5248567.25</v>
      </c>
      <c r="J41" s="16">
        <v>5359444.96</v>
      </c>
      <c r="K41" s="16">
        <v>5119448.43</v>
      </c>
      <c r="L41" s="16">
        <v>5111038.82</v>
      </c>
      <c r="M41" s="167"/>
      <c r="N41" s="242"/>
      <c r="O41" s="242"/>
      <c r="P41" s="242"/>
      <c r="Q41" s="242"/>
      <c r="R41" s="242"/>
      <c r="S41" s="242"/>
      <c r="T41" s="242"/>
      <c r="U41" s="167"/>
    </row>
    <row r="42" spans="1:21" ht="12.75" customHeight="1">
      <c r="A42" s="159"/>
      <c r="B42" s="212"/>
      <c r="C42" s="178"/>
      <c r="D42" s="15" t="s">
        <v>0</v>
      </c>
      <c r="E42" s="16">
        <f>F42+G42+H42+I42+J42+K42+L42</f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7"/>
      <c r="N42" s="242"/>
      <c r="O42" s="242"/>
      <c r="P42" s="242"/>
      <c r="Q42" s="242"/>
      <c r="R42" s="242"/>
      <c r="S42" s="242"/>
      <c r="T42" s="242"/>
      <c r="U42" s="167"/>
    </row>
    <row r="43" spans="1:21" ht="12.75" customHeight="1">
      <c r="A43" s="159"/>
      <c r="B43" s="212"/>
      <c r="C43" s="178"/>
      <c r="D43" s="15" t="s">
        <v>1</v>
      </c>
      <c r="E43" s="16">
        <f>F43+G43+H43+I43+J43+K43+L43</f>
        <v>94895.81</v>
      </c>
      <c r="F43" s="16">
        <v>0</v>
      </c>
      <c r="G43" s="16">
        <v>0</v>
      </c>
      <c r="H43" s="16">
        <v>0</v>
      </c>
      <c r="I43" s="16">
        <f>18025.34+15985.17</f>
        <v>34010.51</v>
      </c>
      <c r="J43" s="16">
        <v>20295.1</v>
      </c>
      <c r="K43" s="16">
        <v>20295.1</v>
      </c>
      <c r="L43" s="16">
        <v>20295.1</v>
      </c>
      <c r="M43" s="167"/>
      <c r="N43" s="242"/>
      <c r="O43" s="242"/>
      <c r="P43" s="242"/>
      <c r="Q43" s="242"/>
      <c r="R43" s="242"/>
      <c r="S43" s="242"/>
      <c r="T43" s="242"/>
      <c r="U43" s="167"/>
    </row>
    <row r="44" spans="1:21" ht="12.75" customHeight="1">
      <c r="A44" s="128"/>
      <c r="B44" s="212"/>
      <c r="C44" s="179"/>
      <c r="D44" s="15" t="s">
        <v>3</v>
      </c>
      <c r="E44" s="16">
        <f>F44+G44+H44+I44+J44+K44+L44</f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8"/>
      <c r="N44" s="243"/>
      <c r="O44" s="243"/>
      <c r="P44" s="243"/>
      <c r="Q44" s="243"/>
      <c r="R44" s="243"/>
      <c r="S44" s="243"/>
      <c r="T44" s="243"/>
      <c r="U44" s="168"/>
    </row>
    <row r="45" spans="1:21" ht="12.75" customHeight="1">
      <c r="A45" s="171" t="s">
        <v>58</v>
      </c>
      <c r="B45" s="174" t="s">
        <v>100</v>
      </c>
      <c r="C45" s="177" t="s">
        <v>63</v>
      </c>
      <c r="D45" s="13" t="s">
        <v>4</v>
      </c>
      <c r="E45" s="14">
        <f>E47+E48+E49+E50</f>
        <v>16553470.85</v>
      </c>
      <c r="F45" s="14">
        <f aca="true" t="shared" si="9" ref="F45:L45">F47+F48+F49+F50</f>
        <v>0</v>
      </c>
      <c r="G45" s="14">
        <f t="shared" si="9"/>
        <v>0</v>
      </c>
      <c r="H45" s="14">
        <f t="shared" si="9"/>
        <v>0</v>
      </c>
      <c r="I45" s="14">
        <f t="shared" si="9"/>
        <v>4142944.31</v>
      </c>
      <c r="J45" s="14">
        <f t="shared" si="9"/>
        <v>4298236.56</v>
      </c>
      <c r="K45" s="14">
        <f t="shared" si="9"/>
        <v>4039085.9</v>
      </c>
      <c r="L45" s="14">
        <f t="shared" si="9"/>
        <v>4073204.08</v>
      </c>
      <c r="M45" s="166" t="s">
        <v>99</v>
      </c>
      <c r="N45" s="239">
        <v>0</v>
      </c>
      <c r="O45" s="239">
        <v>0</v>
      </c>
      <c r="P45" s="239">
        <v>0</v>
      </c>
      <c r="Q45" s="239">
        <v>3921</v>
      </c>
      <c r="R45" s="239">
        <v>3921</v>
      </c>
      <c r="S45" s="239">
        <v>3921</v>
      </c>
      <c r="T45" s="239">
        <v>3921</v>
      </c>
      <c r="U45" s="166" t="s">
        <v>87</v>
      </c>
    </row>
    <row r="46" spans="1:21" ht="12.75" customHeight="1">
      <c r="A46" s="159"/>
      <c r="B46" s="188"/>
      <c r="C46" s="178"/>
      <c r="D46" s="180" t="s">
        <v>29</v>
      </c>
      <c r="E46" s="181"/>
      <c r="F46" s="181"/>
      <c r="G46" s="181"/>
      <c r="H46" s="181"/>
      <c r="I46" s="181"/>
      <c r="J46" s="181"/>
      <c r="K46" s="181"/>
      <c r="L46" s="182"/>
      <c r="M46" s="167"/>
      <c r="N46" s="242"/>
      <c r="O46" s="242"/>
      <c r="P46" s="242"/>
      <c r="Q46" s="242"/>
      <c r="R46" s="242"/>
      <c r="S46" s="242"/>
      <c r="T46" s="242"/>
      <c r="U46" s="167"/>
    </row>
    <row r="47" spans="1:21" ht="12.75" customHeight="1">
      <c r="A47" s="159"/>
      <c r="B47" s="188"/>
      <c r="C47" s="178"/>
      <c r="D47" s="15" t="s">
        <v>2</v>
      </c>
      <c r="E47" s="16">
        <f>F47+G47+H47+I47+J47+K47+L47</f>
        <v>16553470.85</v>
      </c>
      <c r="F47" s="16">
        <v>0</v>
      </c>
      <c r="G47" s="16">
        <v>0</v>
      </c>
      <c r="H47" s="16">
        <v>0</v>
      </c>
      <c r="I47" s="16">
        <v>4142944.31</v>
      </c>
      <c r="J47" s="16">
        <v>4298236.56</v>
      </c>
      <c r="K47" s="16">
        <v>4039085.9</v>
      </c>
      <c r="L47" s="16">
        <v>4073204.08</v>
      </c>
      <c r="M47" s="167"/>
      <c r="N47" s="242"/>
      <c r="O47" s="242"/>
      <c r="P47" s="242"/>
      <c r="Q47" s="242"/>
      <c r="R47" s="242"/>
      <c r="S47" s="242"/>
      <c r="T47" s="242"/>
      <c r="U47" s="167"/>
    </row>
    <row r="48" spans="1:21" ht="12.75" customHeight="1">
      <c r="A48" s="159"/>
      <c r="B48" s="188"/>
      <c r="C48" s="178"/>
      <c r="D48" s="15" t="s">
        <v>0</v>
      </c>
      <c r="E48" s="16">
        <f>F48+G48+H48+I48+J48+K48+L48</f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7"/>
      <c r="N48" s="242"/>
      <c r="O48" s="242"/>
      <c r="P48" s="242"/>
      <c r="Q48" s="242"/>
      <c r="R48" s="242"/>
      <c r="S48" s="242"/>
      <c r="T48" s="242"/>
      <c r="U48" s="167"/>
    </row>
    <row r="49" spans="1:21" ht="12.75" customHeight="1">
      <c r="A49" s="159"/>
      <c r="B49" s="188"/>
      <c r="C49" s="178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7"/>
      <c r="N49" s="242"/>
      <c r="O49" s="242"/>
      <c r="P49" s="242"/>
      <c r="Q49" s="242"/>
      <c r="R49" s="242"/>
      <c r="S49" s="242"/>
      <c r="T49" s="242"/>
      <c r="U49" s="167"/>
    </row>
    <row r="50" spans="1:21" ht="12.75" customHeight="1">
      <c r="A50" s="128"/>
      <c r="B50" s="189"/>
      <c r="C50" s="179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8"/>
      <c r="N50" s="243"/>
      <c r="O50" s="243"/>
      <c r="P50" s="243"/>
      <c r="Q50" s="243"/>
      <c r="R50" s="243"/>
      <c r="S50" s="243"/>
      <c r="T50" s="243"/>
      <c r="U50" s="168"/>
    </row>
    <row r="51" spans="1:21" ht="12.75">
      <c r="A51" s="171"/>
      <c r="B51" s="174" t="s">
        <v>101</v>
      </c>
      <c r="C51" s="177"/>
      <c r="D51" s="13" t="s">
        <v>4</v>
      </c>
      <c r="E51" s="14">
        <f>E53+E54+E55+E56</f>
        <v>69414804.18</v>
      </c>
      <c r="F51" s="14">
        <f aca="true" t="shared" si="10" ref="F51:L51">F53+F54+F55+F56</f>
        <v>15415343.7</v>
      </c>
      <c r="G51" s="14">
        <f t="shared" si="10"/>
        <v>7975086.81</v>
      </c>
      <c r="H51" s="14">
        <f t="shared" si="10"/>
        <v>8537507.55</v>
      </c>
      <c r="I51" s="14">
        <f t="shared" si="10"/>
        <v>9425522.07</v>
      </c>
      <c r="J51" s="14">
        <f t="shared" si="10"/>
        <v>9677976.62</v>
      </c>
      <c r="K51" s="14">
        <f t="shared" si="10"/>
        <v>9178829.43</v>
      </c>
      <c r="L51" s="14">
        <f t="shared" si="10"/>
        <v>9204538</v>
      </c>
      <c r="M51" s="183"/>
      <c r="N51" s="244"/>
      <c r="O51" s="244"/>
      <c r="P51" s="244"/>
      <c r="Q51" s="244"/>
      <c r="R51" s="244"/>
      <c r="S51" s="244"/>
      <c r="T51" s="244"/>
      <c r="U51" s="183"/>
    </row>
    <row r="52" spans="1:21" ht="12.75">
      <c r="A52" s="159"/>
      <c r="B52" s="188"/>
      <c r="C52" s="159"/>
      <c r="D52" s="180" t="s">
        <v>29</v>
      </c>
      <c r="E52" s="181"/>
      <c r="F52" s="181"/>
      <c r="G52" s="181"/>
      <c r="H52" s="181"/>
      <c r="I52" s="181"/>
      <c r="J52" s="181"/>
      <c r="K52" s="181"/>
      <c r="L52" s="182"/>
      <c r="M52" s="184"/>
      <c r="N52" s="245"/>
      <c r="O52" s="245"/>
      <c r="P52" s="245"/>
      <c r="Q52" s="245"/>
      <c r="R52" s="245"/>
      <c r="S52" s="245"/>
      <c r="T52" s="245"/>
      <c r="U52" s="184"/>
    </row>
    <row r="53" spans="1:21" ht="12.75">
      <c r="A53" s="159"/>
      <c r="B53" s="188"/>
      <c r="C53" s="159"/>
      <c r="D53" s="15" t="s">
        <v>2</v>
      </c>
      <c r="E53" s="16">
        <f>F53+G53+H53+I53+J53+K53+L53</f>
        <v>69293475.37</v>
      </c>
      <c r="F53" s="16">
        <f>F29+F35</f>
        <v>15415343.7</v>
      </c>
      <c r="G53" s="16">
        <f>G29+G35</f>
        <v>7961766.81</v>
      </c>
      <c r="H53" s="16">
        <f>H29+H35</f>
        <v>8524394.55</v>
      </c>
      <c r="I53" s="16">
        <f>I41+I47</f>
        <v>9391511.56</v>
      </c>
      <c r="J53" s="16">
        <f>J41+J47</f>
        <v>9657681.52</v>
      </c>
      <c r="K53" s="16">
        <f>K41+K47</f>
        <v>9158534.33</v>
      </c>
      <c r="L53" s="16">
        <f>L41+L47</f>
        <v>9184242.9</v>
      </c>
      <c r="M53" s="184"/>
      <c r="N53" s="245"/>
      <c r="O53" s="245"/>
      <c r="P53" s="245"/>
      <c r="Q53" s="245"/>
      <c r="R53" s="245"/>
      <c r="S53" s="245"/>
      <c r="T53" s="245"/>
      <c r="U53" s="184"/>
    </row>
    <row r="54" spans="1:21" ht="12.75">
      <c r="A54" s="159"/>
      <c r="B54" s="188"/>
      <c r="C54" s="159"/>
      <c r="D54" s="15" t="s">
        <v>0</v>
      </c>
      <c r="E54" s="16">
        <f>F54+G54+H54+I54+J54+K54+L54</f>
        <v>0</v>
      </c>
      <c r="F54" s="16">
        <v>0</v>
      </c>
      <c r="G54" s="16"/>
      <c r="H54" s="16"/>
      <c r="I54" s="16">
        <f aca="true" t="shared" si="11" ref="I54:L55">I42</f>
        <v>0</v>
      </c>
      <c r="J54" s="16">
        <f t="shared" si="11"/>
        <v>0</v>
      </c>
      <c r="K54" s="16">
        <f t="shared" si="11"/>
        <v>0</v>
      </c>
      <c r="L54" s="16">
        <f t="shared" si="11"/>
        <v>0</v>
      </c>
      <c r="M54" s="184"/>
      <c r="N54" s="245"/>
      <c r="O54" s="245"/>
      <c r="P54" s="245"/>
      <c r="Q54" s="245"/>
      <c r="R54" s="245"/>
      <c r="S54" s="245"/>
      <c r="T54" s="245"/>
      <c r="U54" s="184"/>
    </row>
    <row r="55" spans="1:21" ht="12.75">
      <c r="A55" s="159"/>
      <c r="B55" s="188"/>
      <c r="C55" s="159"/>
      <c r="D55" s="15" t="s">
        <v>1</v>
      </c>
      <c r="E55" s="16">
        <f>F55+G55+H55+I55+J55+K55+L55</f>
        <v>121328.81</v>
      </c>
      <c r="F55" s="16">
        <v>0</v>
      </c>
      <c r="G55" s="16">
        <f>G31</f>
        <v>13320</v>
      </c>
      <c r="H55" s="16">
        <f>H31</f>
        <v>13113</v>
      </c>
      <c r="I55" s="16">
        <f t="shared" si="11"/>
        <v>34010.51</v>
      </c>
      <c r="J55" s="16">
        <f t="shared" si="11"/>
        <v>20295.1</v>
      </c>
      <c r="K55" s="16">
        <f t="shared" si="11"/>
        <v>20295.1</v>
      </c>
      <c r="L55" s="16">
        <f t="shared" si="11"/>
        <v>20295.1</v>
      </c>
      <c r="M55" s="184"/>
      <c r="N55" s="245"/>
      <c r="O55" s="245"/>
      <c r="P55" s="245"/>
      <c r="Q55" s="245"/>
      <c r="R55" s="245"/>
      <c r="S55" s="245"/>
      <c r="T55" s="245"/>
      <c r="U55" s="184"/>
    </row>
    <row r="56" spans="1:21" ht="12.75">
      <c r="A56" s="128"/>
      <c r="B56" s="189"/>
      <c r="C56" s="128"/>
      <c r="D56" s="15" t="s">
        <v>3</v>
      </c>
      <c r="E56" s="16">
        <f>F56+G56+H56+I56+J56+K56+L56</f>
        <v>0</v>
      </c>
      <c r="F56" s="16">
        <f>F32+F38</f>
        <v>0</v>
      </c>
      <c r="G56" s="16">
        <f aca="true" t="shared" si="12" ref="G56:L56">G32+G38</f>
        <v>0</v>
      </c>
      <c r="H56" s="16">
        <f t="shared" si="12"/>
        <v>0</v>
      </c>
      <c r="I56" s="16">
        <f t="shared" si="12"/>
        <v>0</v>
      </c>
      <c r="J56" s="16">
        <f t="shared" si="12"/>
        <v>0</v>
      </c>
      <c r="K56" s="16">
        <f t="shared" si="12"/>
        <v>0</v>
      </c>
      <c r="L56" s="16">
        <f t="shared" si="12"/>
        <v>0</v>
      </c>
      <c r="M56" s="185"/>
      <c r="N56" s="246"/>
      <c r="O56" s="246"/>
      <c r="P56" s="246"/>
      <c r="Q56" s="246"/>
      <c r="R56" s="246"/>
      <c r="S56" s="246"/>
      <c r="T56" s="246"/>
      <c r="U56" s="185"/>
    </row>
    <row r="57" spans="1:21" ht="12.75">
      <c r="A57" s="37">
        <v>3</v>
      </c>
      <c r="B57" s="217" t="s">
        <v>102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9"/>
    </row>
    <row r="58" spans="1:21" ht="12.75" customHeight="1">
      <c r="A58" s="171" t="s">
        <v>32</v>
      </c>
      <c r="B58" s="212" t="s">
        <v>103</v>
      </c>
      <c r="C58" s="177" t="s">
        <v>63</v>
      </c>
      <c r="D58" s="13" t="s">
        <v>4</v>
      </c>
      <c r="E58" s="14">
        <f>E60+E61+E62+E63</f>
        <v>3311185.1799999997</v>
      </c>
      <c r="F58" s="14">
        <f aca="true" t="shared" si="13" ref="F58:L58">F60+F61+F62+F63</f>
        <v>164038.3</v>
      </c>
      <c r="G58" s="14">
        <f t="shared" si="13"/>
        <v>2501092.45</v>
      </c>
      <c r="H58" s="14">
        <f t="shared" si="13"/>
        <v>243507</v>
      </c>
      <c r="I58" s="14">
        <f t="shared" si="13"/>
        <v>108507</v>
      </c>
      <c r="J58" s="14">
        <f t="shared" si="13"/>
        <v>103081.67</v>
      </c>
      <c r="K58" s="14">
        <f t="shared" si="13"/>
        <v>97927.57</v>
      </c>
      <c r="L58" s="14">
        <f t="shared" si="13"/>
        <v>93031.19</v>
      </c>
      <c r="M58" s="166" t="s">
        <v>65</v>
      </c>
      <c r="N58" s="239">
        <v>1290</v>
      </c>
      <c r="O58" s="239">
        <v>1342</v>
      </c>
      <c r="P58" s="239">
        <v>1343</v>
      </c>
      <c r="Q58" s="239">
        <v>1300</v>
      </c>
      <c r="R58" s="239">
        <v>1301</v>
      </c>
      <c r="S58" s="239">
        <v>1302</v>
      </c>
      <c r="T58" s="239">
        <v>1302</v>
      </c>
      <c r="U58" s="166" t="s">
        <v>87</v>
      </c>
    </row>
    <row r="59" spans="1:21" ht="12.75" customHeight="1">
      <c r="A59" s="159"/>
      <c r="B59" s="212"/>
      <c r="C59" s="178"/>
      <c r="D59" s="180" t="s">
        <v>29</v>
      </c>
      <c r="E59" s="181"/>
      <c r="F59" s="181"/>
      <c r="G59" s="181"/>
      <c r="H59" s="181"/>
      <c r="I59" s="181"/>
      <c r="J59" s="181"/>
      <c r="K59" s="181"/>
      <c r="L59" s="182"/>
      <c r="M59" s="167"/>
      <c r="N59" s="242"/>
      <c r="O59" s="242"/>
      <c r="P59" s="242"/>
      <c r="Q59" s="242"/>
      <c r="R59" s="242"/>
      <c r="S59" s="242"/>
      <c r="T59" s="242"/>
      <c r="U59" s="167"/>
    </row>
    <row r="60" spans="1:21" ht="12.75" customHeight="1">
      <c r="A60" s="159"/>
      <c r="B60" s="212"/>
      <c r="C60" s="178"/>
      <c r="D60" s="15" t="s">
        <v>2</v>
      </c>
      <c r="E60" s="16">
        <f>F60+G60+H60+I60+J60+K60+L60</f>
        <v>3176185.1799999997</v>
      </c>
      <c r="F60" s="16">
        <v>164038.3</v>
      </c>
      <c r="G60" s="16">
        <v>2501092.45</v>
      </c>
      <c r="H60" s="16">
        <v>108507</v>
      </c>
      <c r="I60" s="16">
        <v>108507</v>
      </c>
      <c r="J60" s="16">
        <v>103081.67</v>
      </c>
      <c r="K60" s="16">
        <v>97927.57</v>
      </c>
      <c r="L60" s="16">
        <v>93031.19</v>
      </c>
      <c r="M60" s="167"/>
      <c r="N60" s="242"/>
      <c r="O60" s="242"/>
      <c r="P60" s="242"/>
      <c r="Q60" s="242"/>
      <c r="R60" s="242"/>
      <c r="S60" s="242"/>
      <c r="T60" s="242"/>
      <c r="U60" s="167"/>
    </row>
    <row r="61" spans="1:21" ht="12.75" customHeight="1">
      <c r="A61" s="159"/>
      <c r="B61" s="212"/>
      <c r="C61" s="178"/>
      <c r="D61" s="15" t="s">
        <v>0</v>
      </c>
      <c r="E61" s="16">
        <f>F61+G61+H61+I61+J61+K61+L61</f>
        <v>0</v>
      </c>
      <c r="F61" s="16"/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7"/>
      <c r="N61" s="242"/>
      <c r="O61" s="242"/>
      <c r="P61" s="242"/>
      <c r="Q61" s="242"/>
      <c r="R61" s="242"/>
      <c r="S61" s="242"/>
      <c r="T61" s="242"/>
      <c r="U61" s="167"/>
    </row>
    <row r="62" spans="1:21" ht="12.75" customHeight="1">
      <c r="A62" s="159"/>
      <c r="B62" s="212"/>
      <c r="C62" s="178"/>
      <c r="D62" s="15" t="s">
        <v>1</v>
      </c>
      <c r="E62" s="16">
        <f>F62+G62+H62+I62+J62+K62+L62</f>
        <v>50000</v>
      </c>
      <c r="F62" s="16">
        <v>0</v>
      </c>
      <c r="G62" s="16">
        <v>0</v>
      </c>
      <c r="H62" s="16">
        <v>50000</v>
      </c>
      <c r="I62" s="16">
        <v>0</v>
      </c>
      <c r="J62" s="16">
        <v>0</v>
      </c>
      <c r="K62" s="16">
        <v>0</v>
      </c>
      <c r="L62" s="16">
        <v>0</v>
      </c>
      <c r="M62" s="167"/>
      <c r="N62" s="242"/>
      <c r="O62" s="242"/>
      <c r="P62" s="242"/>
      <c r="Q62" s="242"/>
      <c r="R62" s="242"/>
      <c r="S62" s="242"/>
      <c r="T62" s="242"/>
      <c r="U62" s="167"/>
    </row>
    <row r="63" spans="1:21" ht="12.75" customHeight="1">
      <c r="A63" s="128"/>
      <c r="B63" s="212"/>
      <c r="C63" s="179"/>
      <c r="D63" s="15" t="s">
        <v>3</v>
      </c>
      <c r="E63" s="16">
        <f>H63</f>
        <v>85000</v>
      </c>
      <c r="F63" s="16">
        <v>0</v>
      </c>
      <c r="G63" s="16">
        <v>0</v>
      </c>
      <c r="H63" s="16">
        <v>85000</v>
      </c>
      <c r="I63" s="16">
        <v>0</v>
      </c>
      <c r="J63" s="16">
        <v>0</v>
      </c>
      <c r="K63" s="16">
        <v>0</v>
      </c>
      <c r="L63" s="16">
        <v>0</v>
      </c>
      <c r="M63" s="168"/>
      <c r="N63" s="243"/>
      <c r="O63" s="243"/>
      <c r="P63" s="243"/>
      <c r="Q63" s="243"/>
      <c r="R63" s="243"/>
      <c r="S63" s="243"/>
      <c r="T63" s="243"/>
      <c r="U63" s="168"/>
    </row>
    <row r="64" spans="1:21" ht="12.75" customHeight="1">
      <c r="A64" s="171"/>
      <c r="B64" s="174" t="s">
        <v>104</v>
      </c>
      <c r="C64" s="177"/>
      <c r="D64" s="13" t="s">
        <v>4</v>
      </c>
      <c r="E64" s="14">
        <f>E66+E67+E68+E69</f>
        <v>3311185.1799999997</v>
      </c>
      <c r="F64" s="14">
        <f aca="true" t="shared" si="14" ref="F64:L64">F66+F67+F68+F69</f>
        <v>164038.3</v>
      </c>
      <c r="G64" s="14">
        <f t="shared" si="14"/>
        <v>2501092.45</v>
      </c>
      <c r="H64" s="14">
        <f t="shared" si="14"/>
        <v>243507</v>
      </c>
      <c r="I64" s="14">
        <f t="shared" si="14"/>
        <v>108507</v>
      </c>
      <c r="J64" s="14">
        <f t="shared" si="14"/>
        <v>103081.67</v>
      </c>
      <c r="K64" s="14">
        <f t="shared" si="14"/>
        <v>97927.57</v>
      </c>
      <c r="L64" s="14">
        <f t="shared" si="14"/>
        <v>93031.19</v>
      </c>
      <c r="M64" s="183"/>
      <c r="N64" s="244"/>
      <c r="O64" s="244"/>
      <c r="P64" s="244"/>
      <c r="Q64" s="244"/>
      <c r="R64" s="244"/>
      <c r="S64" s="244"/>
      <c r="T64" s="244"/>
      <c r="U64" s="183"/>
    </row>
    <row r="65" spans="1:21" ht="12.75" customHeight="1">
      <c r="A65" s="159"/>
      <c r="B65" s="188"/>
      <c r="C65" s="159"/>
      <c r="D65" s="180" t="s">
        <v>29</v>
      </c>
      <c r="E65" s="181"/>
      <c r="F65" s="181"/>
      <c r="G65" s="181"/>
      <c r="H65" s="181"/>
      <c r="I65" s="181"/>
      <c r="J65" s="181"/>
      <c r="K65" s="181"/>
      <c r="L65" s="182"/>
      <c r="M65" s="184"/>
      <c r="N65" s="245"/>
      <c r="O65" s="245"/>
      <c r="P65" s="245"/>
      <c r="Q65" s="245"/>
      <c r="R65" s="245"/>
      <c r="S65" s="245"/>
      <c r="T65" s="245"/>
      <c r="U65" s="184"/>
    </row>
    <row r="66" spans="1:21" ht="12.75" customHeight="1">
      <c r="A66" s="159"/>
      <c r="B66" s="188"/>
      <c r="C66" s="159"/>
      <c r="D66" s="15" t="s">
        <v>2</v>
      </c>
      <c r="E66" s="16">
        <f>F66+G66+H66+I66+J66+K66+L66</f>
        <v>3176185.1799999997</v>
      </c>
      <c r="F66" s="16">
        <f aca="true" t="shared" si="15" ref="F66:L66">F60</f>
        <v>164038.3</v>
      </c>
      <c r="G66" s="16">
        <f t="shared" si="15"/>
        <v>2501092.45</v>
      </c>
      <c r="H66" s="16">
        <f t="shared" si="15"/>
        <v>108507</v>
      </c>
      <c r="I66" s="16">
        <f t="shared" si="15"/>
        <v>108507</v>
      </c>
      <c r="J66" s="16">
        <f t="shared" si="15"/>
        <v>103081.67</v>
      </c>
      <c r="K66" s="16">
        <f t="shared" si="15"/>
        <v>97927.57</v>
      </c>
      <c r="L66" s="16">
        <f t="shared" si="15"/>
        <v>93031.19</v>
      </c>
      <c r="M66" s="184"/>
      <c r="N66" s="245"/>
      <c r="O66" s="245"/>
      <c r="P66" s="245"/>
      <c r="Q66" s="245"/>
      <c r="R66" s="245"/>
      <c r="S66" s="245"/>
      <c r="T66" s="245"/>
      <c r="U66" s="184"/>
    </row>
    <row r="67" spans="1:21" ht="12.75" customHeight="1">
      <c r="A67" s="159"/>
      <c r="B67" s="188"/>
      <c r="C67" s="159"/>
      <c r="D67" s="15" t="s">
        <v>0</v>
      </c>
      <c r="E67" s="16">
        <f>F67+G67+H67+I67+J67+K67+L67</f>
        <v>0</v>
      </c>
      <c r="F67" s="16">
        <v>0</v>
      </c>
      <c r="G67" s="16">
        <f>G50</f>
        <v>0</v>
      </c>
      <c r="H67" s="16">
        <f>H61</f>
        <v>0</v>
      </c>
      <c r="I67" s="16">
        <f>I50</f>
        <v>0</v>
      </c>
      <c r="J67" s="16">
        <f>J50</f>
        <v>0</v>
      </c>
      <c r="K67" s="16">
        <f>K50</f>
        <v>0</v>
      </c>
      <c r="L67" s="16">
        <f>L50</f>
        <v>0</v>
      </c>
      <c r="M67" s="184"/>
      <c r="N67" s="245"/>
      <c r="O67" s="245"/>
      <c r="P67" s="245"/>
      <c r="Q67" s="245"/>
      <c r="R67" s="245"/>
      <c r="S67" s="245"/>
      <c r="T67" s="245"/>
      <c r="U67" s="184"/>
    </row>
    <row r="68" spans="1:21" ht="12.75" customHeight="1">
      <c r="A68" s="159"/>
      <c r="B68" s="188"/>
      <c r="C68" s="159"/>
      <c r="D68" s="15" t="s">
        <v>1</v>
      </c>
      <c r="E68" s="16">
        <f>F68+G68+H68+I68+J68+K68+L68</f>
        <v>50000</v>
      </c>
      <c r="F68" s="16">
        <v>0</v>
      </c>
      <c r="G68" s="16">
        <v>0</v>
      </c>
      <c r="H68" s="16">
        <f>H62</f>
        <v>50000</v>
      </c>
      <c r="I68" s="16">
        <v>0</v>
      </c>
      <c r="J68" s="16">
        <v>0</v>
      </c>
      <c r="K68" s="16">
        <v>0</v>
      </c>
      <c r="L68" s="16">
        <v>0</v>
      </c>
      <c r="M68" s="184"/>
      <c r="N68" s="245"/>
      <c r="O68" s="245"/>
      <c r="P68" s="245"/>
      <c r="Q68" s="245"/>
      <c r="R68" s="245"/>
      <c r="S68" s="245"/>
      <c r="T68" s="245"/>
      <c r="U68" s="184"/>
    </row>
    <row r="69" spans="1:21" ht="12.75" customHeight="1" thickBot="1">
      <c r="A69" s="128"/>
      <c r="B69" s="189"/>
      <c r="C69" s="128"/>
      <c r="D69" s="15" t="s">
        <v>3</v>
      </c>
      <c r="E69" s="16">
        <f>F69+G69+H69+I69+J69+K69+L69</f>
        <v>85000</v>
      </c>
      <c r="F69" s="16">
        <v>0</v>
      </c>
      <c r="G69" s="16">
        <v>0</v>
      </c>
      <c r="H69" s="16">
        <f>H63</f>
        <v>85000</v>
      </c>
      <c r="I69" s="16">
        <v>0</v>
      </c>
      <c r="J69" s="16">
        <v>0</v>
      </c>
      <c r="K69" s="16">
        <v>0</v>
      </c>
      <c r="L69" s="16">
        <v>0</v>
      </c>
      <c r="M69" s="185"/>
      <c r="N69" s="246"/>
      <c r="O69" s="246"/>
      <c r="P69" s="246"/>
      <c r="Q69" s="246"/>
      <c r="R69" s="246"/>
      <c r="S69" s="246"/>
      <c r="T69" s="246"/>
      <c r="U69" s="185"/>
    </row>
    <row r="70" spans="1:21" s="19" customFormat="1" ht="13.5" customHeight="1">
      <c r="A70" s="247"/>
      <c r="B70" s="250" t="s">
        <v>105</v>
      </c>
      <c r="C70" s="253"/>
      <c r="D70" s="48" t="s">
        <v>4</v>
      </c>
      <c r="E70" s="49">
        <f aca="true" t="shared" si="16" ref="E70:L70">E72+E73+E74+E75</f>
        <v>380164677.94</v>
      </c>
      <c r="F70" s="49">
        <f t="shared" si="16"/>
        <v>53514815.69</v>
      </c>
      <c r="G70" s="49">
        <f t="shared" si="16"/>
        <v>50638382.82000001</v>
      </c>
      <c r="H70" s="49">
        <f t="shared" si="16"/>
        <v>51060525.199999996</v>
      </c>
      <c r="I70" s="49">
        <f t="shared" si="16"/>
        <v>55934324.099999994</v>
      </c>
      <c r="J70" s="49">
        <f t="shared" si="16"/>
        <v>57245883.85999999</v>
      </c>
      <c r="K70" s="49">
        <f t="shared" si="16"/>
        <v>54624572.63</v>
      </c>
      <c r="L70" s="50">
        <f t="shared" si="16"/>
        <v>57146173.63999999</v>
      </c>
      <c r="M70" s="256"/>
      <c r="N70" s="259"/>
      <c r="O70" s="259"/>
      <c r="P70" s="259"/>
      <c r="Q70" s="259"/>
      <c r="R70" s="259"/>
      <c r="S70" s="259"/>
      <c r="T70" s="259"/>
      <c r="U70" s="198"/>
    </row>
    <row r="71" spans="1:21" s="19" customFormat="1" ht="15.75">
      <c r="A71" s="248"/>
      <c r="B71" s="251"/>
      <c r="C71" s="254"/>
      <c r="D71" s="262" t="s">
        <v>29</v>
      </c>
      <c r="E71" s="263"/>
      <c r="F71" s="263"/>
      <c r="G71" s="263"/>
      <c r="H71" s="263"/>
      <c r="I71" s="263"/>
      <c r="J71" s="263"/>
      <c r="K71" s="263"/>
      <c r="L71" s="264"/>
      <c r="M71" s="257"/>
      <c r="N71" s="260"/>
      <c r="O71" s="260"/>
      <c r="P71" s="260"/>
      <c r="Q71" s="260"/>
      <c r="R71" s="260"/>
      <c r="S71" s="260"/>
      <c r="T71" s="260"/>
      <c r="U71" s="199"/>
    </row>
    <row r="72" spans="1:21" s="19" customFormat="1" ht="15.75">
      <c r="A72" s="248"/>
      <c r="B72" s="251"/>
      <c r="C72" s="254"/>
      <c r="D72" s="51" t="s">
        <v>2</v>
      </c>
      <c r="E72" s="52">
        <f>F72+G72+H72+I72+J72+K72+L72</f>
        <v>348418605.14</v>
      </c>
      <c r="F72" s="53">
        <f aca="true" t="shared" si="17" ref="F72:L72">F53+F22+F66</f>
        <v>50166870</v>
      </c>
      <c r="G72" s="53">
        <f t="shared" si="17"/>
        <v>48176381.82000001</v>
      </c>
      <c r="H72" s="53">
        <f t="shared" si="17"/>
        <v>48469840.33</v>
      </c>
      <c r="I72" s="53">
        <f t="shared" si="17"/>
        <v>50628779.86</v>
      </c>
      <c r="J72" s="53">
        <f t="shared" si="17"/>
        <v>51532215.489999995</v>
      </c>
      <c r="K72" s="53">
        <f t="shared" si="17"/>
        <v>48601518.18</v>
      </c>
      <c r="L72" s="53">
        <f t="shared" si="17"/>
        <v>50842999.45999999</v>
      </c>
      <c r="M72" s="257"/>
      <c r="N72" s="260"/>
      <c r="O72" s="260"/>
      <c r="P72" s="260"/>
      <c r="Q72" s="260"/>
      <c r="R72" s="260"/>
      <c r="S72" s="260"/>
      <c r="T72" s="260"/>
      <c r="U72" s="199"/>
    </row>
    <row r="73" spans="1:21" s="19" customFormat="1" ht="15.75">
      <c r="A73" s="248"/>
      <c r="B73" s="251"/>
      <c r="C73" s="254"/>
      <c r="D73" s="51" t="s">
        <v>0</v>
      </c>
      <c r="E73" s="52">
        <f>F73+G73+H73+I73+J73+K73+L73</f>
        <v>31459743.989999995</v>
      </c>
      <c r="F73" s="53">
        <f>F23</f>
        <v>3342945.69</v>
      </c>
      <c r="G73" s="53">
        <f>G23</f>
        <v>2448681</v>
      </c>
      <c r="H73" s="53">
        <f>H23+H67</f>
        <v>2442571.87</v>
      </c>
      <c r="I73" s="53">
        <f>I23+I54</f>
        <v>5264533.7299999995</v>
      </c>
      <c r="J73" s="53">
        <f>J23+J54</f>
        <v>5688373.27</v>
      </c>
      <c r="K73" s="53">
        <f>K23+K54</f>
        <v>5996759.35</v>
      </c>
      <c r="L73" s="53">
        <f>L23+L54</f>
        <v>6275879.08</v>
      </c>
      <c r="M73" s="257"/>
      <c r="N73" s="260"/>
      <c r="O73" s="260"/>
      <c r="P73" s="260"/>
      <c r="Q73" s="260"/>
      <c r="R73" s="260"/>
      <c r="S73" s="260"/>
      <c r="T73" s="260"/>
      <c r="U73" s="199"/>
    </row>
    <row r="74" spans="1:21" s="19" customFormat="1" ht="15.75">
      <c r="A74" s="248"/>
      <c r="B74" s="251"/>
      <c r="C74" s="254"/>
      <c r="D74" s="51" t="s">
        <v>1</v>
      </c>
      <c r="E74" s="52">
        <f>F74+G74+H74+I74+J74+K74+L74</f>
        <v>171328.81000000003</v>
      </c>
      <c r="F74" s="53">
        <f>F24</f>
        <v>0</v>
      </c>
      <c r="G74" s="53">
        <f>G31</f>
        <v>13320</v>
      </c>
      <c r="H74" s="53">
        <f>H31+H68</f>
        <v>63113</v>
      </c>
      <c r="I74" s="53">
        <f>I55</f>
        <v>34010.51</v>
      </c>
      <c r="J74" s="53">
        <f>J55</f>
        <v>20295.1</v>
      </c>
      <c r="K74" s="53">
        <f>K55</f>
        <v>20295.1</v>
      </c>
      <c r="L74" s="53">
        <f>L55</f>
        <v>20295.1</v>
      </c>
      <c r="M74" s="257"/>
      <c r="N74" s="260"/>
      <c r="O74" s="260"/>
      <c r="P74" s="260"/>
      <c r="Q74" s="260"/>
      <c r="R74" s="260"/>
      <c r="S74" s="260"/>
      <c r="T74" s="260"/>
      <c r="U74" s="199"/>
    </row>
    <row r="75" spans="1:21" s="19" customFormat="1" ht="16.5" thickBot="1">
      <c r="A75" s="249"/>
      <c r="B75" s="252"/>
      <c r="C75" s="255"/>
      <c r="D75" s="54" t="s">
        <v>3</v>
      </c>
      <c r="E75" s="55">
        <f>F75+G75+H75+I75+J75+K75+L75</f>
        <v>115000</v>
      </c>
      <c r="F75" s="56">
        <f>F25</f>
        <v>5000</v>
      </c>
      <c r="G75" s="56">
        <f aca="true" t="shared" si="18" ref="G75:L75">G25</f>
        <v>0</v>
      </c>
      <c r="H75" s="56">
        <f>H69</f>
        <v>85000</v>
      </c>
      <c r="I75" s="56">
        <f t="shared" si="18"/>
        <v>7000</v>
      </c>
      <c r="J75" s="56">
        <f t="shared" si="18"/>
        <v>5000</v>
      </c>
      <c r="K75" s="56">
        <f t="shared" si="18"/>
        <v>6000</v>
      </c>
      <c r="L75" s="57">
        <f t="shared" si="18"/>
        <v>7000</v>
      </c>
      <c r="M75" s="258"/>
      <c r="N75" s="261"/>
      <c r="O75" s="261"/>
      <c r="P75" s="261"/>
      <c r="Q75" s="261"/>
      <c r="R75" s="261"/>
      <c r="S75" s="261"/>
      <c r="T75" s="261"/>
      <c r="U75" s="200"/>
    </row>
    <row r="77" ht="12.75">
      <c r="B77" s="4"/>
    </row>
    <row r="78" ht="12.75">
      <c r="B78" s="4"/>
    </row>
    <row r="86" ht="12.75">
      <c r="H86" s="22"/>
    </row>
    <row r="87" ht="12.75">
      <c r="H87" s="22"/>
    </row>
  </sheetData>
  <sheetProtection/>
  <mergeCells count="163">
    <mergeCell ref="P70:P75"/>
    <mergeCell ref="Q70:Q75"/>
    <mergeCell ref="R70:R75"/>
    <mergeCell ref="S70:S75"/>
    <mergeCell ref="T70:T75"/>
    <mergeCell ref="U70:U75"/>
    <mergeCell ref="A70:A75"/>
    <mergeCell ref="B70:B75"/>
    <mergeCell ref="C70:C75"/>
    <mergeCell ref="M70:M75"/>
    <mergeCell ref="N70:N75"/>
    <mergeCell ref="O70:O75"/>
    <mergeCell ref="D71:L71"/>
    <mergeCell ref="P64:P69"/>
    <mergeCell ref="Q64:Q69"/>
    <mergeCell ref="R64:R69"/>
    <mergeCell ref="S64:S69"/>
    <mergeCell ref="T64:T69"/>
    <mergeCell ref="U64:U69"/>
    <mergeCell ref="A64:A69"/>
    <mergeCell ref="B64:B69"/>
    <mergeCell ref="C64:C69"/>
    <mergeCell ref="M64:M69"/>
    <mergeCell ref="N64:N69"/>
    <mergeCell ref="O64:O69"/>
    <mergeCell ref="D65:L65"/>
    <mergeCell ref="Q58:Q63"/>
    <mergeCell ref="R58:R63"/>
    <mergeCell ref="S58:S63"/>
    <mergeCell ref="T58:T63"/>
    <mergeCell ref="U58:U63"/>
    <mergeCell ref="D59:L59"/>
    <mergeCell ref="U51:U56"/>
    <mergeCell ref="D52:L52"/>
    <mergeCell ref="B57:U57"/>
    <mergeCell ref="A58:A63"/>
    <mergeCell ref="B58:B63"/>
    <mergeCell ref="C58:C63"/>
    <mergeCell ref="M58:M63"/>
    <mergeCell ref="N58:N63"/>
    <mergeCell ref="O58:O63"/>
    <mergeCell ref="P58:P63"/>
    <mergeCell ref="O51:O56"/>
    <mergeCell ref="P51:P56"/>
    <mergeCell ref="Q51:Q56"/>
    <mergeCell ref="R51:R56"/>
    <mergeCell ref="S51:S56"/>
    <mergeCell ref="T51:T56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O39:O44"/>
    <mergeCell ref="P39:P44"/>
    <mergeCell ref="Q39:Q44"/>
    <mergeCell ref="R39:R44"/>
    <mergeCell ref="S39:S44"/>
    <mergeCell ref="T39:T44"/>
    <mergeCell ref="D34:L34"/>
    <mergeCell ref="A39:A44"/>
    <mergeCell ref="B39:B44"/>
    <mergeCell ref="C39:C44"/>
    <mergeCell ref="M39:M44"/>
    <mergeCell ref="N39:N44"/>
    <mergeCell ref="P33:P38"/>
    <mergeCell ref="Q33:Q38"/>
    <mergeCell ref="R33:R38"/>
    <mergeCell ref="S33:S38"/>
    <mergeCell ref="T33:T38"/>
    <mergeCell ref="U33:U38"/>
    <mergeCell ref="S27:S32"/>
    <mergeCell ref="T27:T32"/>
    <mergeCell ref="U27:U32"/>
    <mergeCell ref="D28:L28"/>
    <mergeCell ref="A33:A38"/>
    <mergeCell ref="B33:B38"/>
    <mergeCell ref="C33:C38"/>
    <mergeCell ref="M33:M38"/>
    <mergeCell ref="N33:N38"/>
    <mergeCell ref="O33:O38"/>
    <mergeCell ref="B26:U26"/>
    <mergeCell ref="A27:A32"/>
    <mergeCell ref="B27:B32"/>
    <mergeCell ref="C27:C32"/>
    <mergeCell ref="M27:M32"/>
    <mergeCell ref="N27:N32"/>
    <mergeCell ref="O27:O32"/>
    <mergeCell ref="P27:P32"/>
    <mergeCell ref="Q27:Q32"/>
    <mergeCell ref="R27:R32"/>
    <mergeCell ref="P20:P25"/>
    <mergeCell ref="Q20:Q25"/>
    <mergeCell ref="R20:R25"/>
    <mergeCell ref="S20:S25"/>
    <mergeCell ref="T20:T25"/>
    <mergeCell ref="U20:U25"/>
    <mergeCell ref="A20:A25"/>
    <mergeCell ref="B20:B25"/>
    <mergeCell ref="C20:C25"/>
    <mergeCell ref="M20:M25"/>
    <mergeCell ref="N20:N25"/>
    <mergeCell ref="O20:O25"/>
    <mergeCell ref="D21:L21"/>
    <mergeCell ref="Q14:Q19"/>
    <mergeCell ref="R14:R19"/>
    <mergeCell ref="S14:S19"/>
    <mergeCell ref="T14:T19"/>
    <mergeCell ref="U14:U19"/>
    <mergeCell ref="D15:L15"/>
    <mergeCell ref="R11:R13"/>
    <mergeCell ref="S11:S13"/>
    <mergeCell ref="T11:T13"/>
    <mergeCell ref="A14:A19"/>
    <mergeCell ref="B14:B19"/>
    <mergeCell ref="C14:C19"/>
    <mergeCell ref="M14:M19"/>
    <mergeCell ref="N14:N19"/>
    <mergeCell ref="O14:O19"/>
    <mergeCell ref="P14:P19"/>
    <mergeCell ref="R8:R10"/>
    <mergeCell ref="S8:S10"/>
    <mergeCell ref="T8:T10"/>
    <mergeCell ref="U8:U13"/>
    <mergeCell ref="D9:L9"/>
    <mergeCell ref="M11:M13"/>
    <mergeCell ref="N11:N13"/>
    <mergeCell ref="O11:O13"/>
    <mergeCell ref="P11:P13"/>
    <mergeCell ref="Q11:Q13"/>
    <mergeCell ref="B6:U6"/>
    <mergeCell ref="B7:U7"/>
    <mergeCell ref="A8:A13"/>
    <mergeCell ref="B8:B13"/>
    <mergeCell ref="C8:C13"/>
    <mergeCell ref="M8:M10"/>
    <mergeCell ref="N8:N10"/>
    <mergeCell ref="O8:O10"/>
    <mergeCell ref="P8:P10"/>
    <mergeCell ref="Q8:Q10"/>
    <mergeCell ref="A2:U2"/>
    <mergeCell ref="A3:A4"/>
    <mergeCell ref="B3:B4"/>
    <mergeCell ref="C3:C4"/>
    <mergeCell ref="D3:D4"/>
    <mergeCell ref="E3:L3"/>
    <mergeCell ref="M3:T3"/>
    <mergeCell ref="U3:U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view="pageBreakPreview" zoomScale="115" zoomScaleSheetLayoutView="115" zoomScalePageLayoutView="0" workbookViewId="0" topLeftCell="C1">
      <selection activeCell="B16" sqref="B16"/>
    </sheetView>
  </sheetViews>
  <sheetFormatPr defaultColWidth="9.140625" defaultRowHeight="15"/>
  <cols>
    <col min="1" max="1" width="35.421875" style="38" customWidth="1"/>
    <col min="2" max="2" width="18.28125" style="38" customWidth="1"/>
    <col min="3" max="3" width="13.8515625" style="38" customWidth="1"/>
    <col min="4" max="6" width="13.421875" style="38" bestFit="1" customWidth="1"/>
    <col min="7" max="7" width="13.7109375" style="38" customWidth="1"/>
    <col min="8" max="8" width="14.7109375" style="38" customWidth="1"/>
    <col min="9" max="9" width="14.140625" style="38" customWidth="1"/>
    <col min="10" max="16384" width="9.140625" style="38" customWidth="1"/>
  </cols>
  <sheetData>
    <row r="1" spans="5:10" ht="25.5" customHeight="1">
      <c r="E1" s="39"/>
      <c r="G1" s="129" t="s">
        <v>138</v>
      </c>
      <c r="H1" s="129"/>
      <c r="I1" s="129"/>
      <c r="J1" s="40"/>
    </row>
    <row r="2" spans="1:9" ht="24" customHeight="1">
      <c r="A2" s="130" t="s">
        <v>110</v>
      </c>
      <c r="B2" s="130"/>
      <c r="C2" s="130"/>
      <c r="D2" s="130"/>
      <c r="E2" s="130"/>
      <c r="F2" s="130"/>
      <c r="G2" s="130"/>
      <c r="H2" s="130"/>
      <c r="I2" s="130"/>
    </row>
    <row r="4" spans="1:9" ht="30" customHeight="1">
      <c r="A4" s="234" t="s">
        <v>10</v>
      </c>
      <c r="B4" s="236" t="s">
        <v>11</v>
      </c>
      <c r="C4" s="211" t="s">
        <v>12</v>
      </c>
      <c r="D4" s="211"/>
      <c r="E4" s="211"/>
      <c r="F4" s="211"/>
      <c r="G4" s="211"/>
      <c r="H4" s="211"/>
      <c r="I4" s="211"/>
    </row>
    <row r="5" spans="1:9" ht="16.5" customHeight="1">
      <c r="A5" s="235"/>
      <c r="B5" s="237"/>
      <c r="C5" s="42">
        <v>2014</v>
      </c>
      <c r="D5" s="42">
        <v>2015</v>
      </c>
      <c r="E5" s="42">
        <v>2016</v>
      </c>
      <c r="F5" s="42">
        <v>2017</v>
      </c>
      <c r="G5" s="42">
        <v>2018</v>
      </c>
      <c r="H5" s="42">
        <v>2019</v>
      </c>
      <c r="I5" s="2">
        <v>2020</v>
      </c>
    </row>
    <row r="6" spans="1:9" ht="16.5" customHeight="1">
      <c r="A6" s="58">
        <v>1</v>
      </c>
      <c r="B6" s="59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1">
        <v>9</v>
      </c>
    </row>
    <row r="7" spans="1:9" ht="38.25" customHeight="1">
      <c r="A7" s="43" t="s">
        <v>111</v>
      </c>
      <c r="B7" s="44">
        <f>B9+B10+B11+B12</f>
        <v>102927694.45</v>
      </c>
      <c r="C7" s="44">
        <f aca="true" t="shared" si="0" ref="C7:I7">C9+C10+C11+C12</f>
        <v>12533697.440000001</v>
      </c>
      <c r="D7" s="44">
        <f t="shared" si="0"/>
        <v>13562396.45</v>
      </c>
      <c r="E7" s="44">
        <f t="shared" si="0"/>
        <v>13830755.939999998</v>
      </c>
      <c r="F7" s="44">
        <f t="shared" si="0"/>
        <v>15850376.51</v>
      </c>
      <c r="G7" s="44">
        <f t="shared" si="0"/>
        <v>16433598.950000001</v>
      </c>
      <c r="H7" s="44">
        <f t="shared" si="0"/>
        <v>15255696.18</v>
      </c>
      <c r="I7" s="44">
        <f t="shared" si="0"/>
        <v>15461172.98</v>
      </c>
    </row>
    <row r="8" spans="1:9" ht="15">
      <c r="A8" s="231" t="s">
        <v>13</v>
      </c>
      <c r="B8" s="232"/>
      <c r="C8" s="232"/>
      <c r="D8" s="232"/>
      <c r="E8" s="232"/>
      <c r="F8" s="232"/>
      <c r="G8" s="232"/>
      <c r="H8" s="232"/>
      <c r="I8" s="233"/>
    </row>
    <row r="9" spans="1:9" ht="15">
      <c r="A9" s="45" t="s">
        <v>14</v>
      </c>
      <c r="B9" s="44">
        <f>C9+D9+E9+F9+G9+H9+I9</f>
        <v>95323007.98</v>
      </c>
      <c r="C9" s="46">
        <f>C16</f>
        <v>12441660.3</v>
      </c>
      <c r="D9" s="46">
        <f aca="true" t="shared" si="1" ref="D9:I12">D16</f>
        <v>12978696.45</v>
      </c>
      <c r="E9" s="46">
        <f t="shared" si="1"/>
        <v>13119814.439999998</v>
      </c>
      <c r="F9" s="46">
        <f t="shared" si="1"/>
        <v>14316564.29</v>
      </c>
      <c r="G9" s="46">
        <f t="shared" si="1"/>
        <v>14953974.88</v>
      </c>
      <c r="H9" s="46">
        <f t="shared" si="1"/>
        <v>13686678.53</v>
      </c>
      <c r="I9" s="46">
        <f t="shared" si="1"/>
        <v>13825619.09</v>
      </c>
    </row>
    <row r="10" spans="1:9" ht="15">
      <c r="A10" s="45" t="s">
        <v>15</v>
      </c>
      <c r="B10" s="44">
        <f>C10+D10+E10+F10+G10+H10+I10</f>
        <v>6731353.83</v>
      </c>
      <c r="C10" s="46">
        <f>C17</f>
        <v>0</v>
      </c>
      <c r="D10" s="46">
        <f t="shared" si="1"/>
        <v>477700</v>
      </c>
      <c r="E10" s="46">
        <f t="shared" si="1"/>
        <v>582512</v>
      </c>
      <c r="F10" s="46">
        <f t="shared" si="1"/>
        <v>1316946.22</v>
      </c>
      <c r="G10" s="46">
        <f t="shared" si="1"/>
        <v>1369624.07</v>
      </c>
      <c r="H10" s="46">
        <f t="shared" si="1"/>
        <v>1459017.65</v>
      </c>
      <c r="I10" s="46">
        <f t="shared" si="1"/>
        <v>1525553.8900000001</v>
      </c>
    </row>
    <row r="11" spans="1:9" ht="15">
      <c r="A11" s="45" t="s">
        <v>16</v>
      </c>
      <c r="B11" s="44">
        <f>C11+D11+E11+F11+G11+H11+I11</f>
        <v>0</v>
      </c>
      <c r="C11" s="46">
        <f>C18</f>
        <v>0</v>
      </c>
      <c r="D11" s="46">
        <f t="shared" si="1"/>
        <v>0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</row>
    <row r="12" spans="1:9" ht="15">
      <c r="A12" s="45" t="s">
        <v>17</v>
      </c>
      <c r="B12" s="44">
        <f>C12+D12+E12+F12+G12+H12+I12</f>
        <v>873332.64</v>
      </c>
      <c r="C12" s="46">
        <f>+C19</f>
        <v>92037.14</v>
      </c>
      <c r="D12" s="46">
        <f>+D19</f>
        <v>106000</v>
      </c>
      <c r="E12" s="46">
        <f>+E19</f>
        <v>128429.5</v>
      </c>
      <c r="F12" s="46">
        <f>F19</f>
        <v>216866</v>
      </c>
      <c r="G12" s="46">
        <f t="shared" si="1"/>
        <v>110000</v>
      </c>
      <c r="H12" s="46">
        <f t="shared" si="1"/>
        <v>110000</v>
      </c>
      <c r="I12" s="46">
        <f t="shared" si="1"/>
        <v>110000</v>
      </c>
    </row>
    <row r="13" spans="1:9" ht="15">
      <c r="A13" s="228" t="s">
        <v>18</v>
      </c>
      <c r="B13" s="229"/>
      <c r="C13" s="229"/>
      <c r="D13" s="229"/>
      <c r="E13" s="229"/>
      <c r="F13" s="229"/>
      <c r="G13" s="229"/>
      <c r="H13" s="229"/>
      <c r="I13" s="230"/>
    </row>
    <row r="14" spans="1:9" ht="41.25" customHeight="1">
      <c r="A14" s="47" t="s">
        <v>30</v>
      </c>
      <c r="B14" s="44">
        <f>B16+B17+B18+B19</f>
        <v>102927694.45</v>
      </c>
      <c r="C14" s="44">
        <f aca="true" t="shared" si="2" ref="C14:I14">C16+C17+C18+C19</f>
        <v>12533697.440000001</v>
      </c>
      <c r="D14" s="44">
        <f t="shared" si="2"/>
        <v>13562396.45</v>
      </c>
      <c r="E14" s="44">
        <f t="shared" si="2"/>
        <v>13830755.939999998</v>
      </c>
      <c r="F14" s="44">
        <f t="shared" si="2"/>
        <v>15850376.51</v>
      </c>
      <c r="G14" s="44">
        <f t="shared" si="2"/>
        <v>16433598.950000001</v>
      </c>
      <c r="H14" s="44">
        <f t="shared" si="2"/>
        <v>15255696.18</v>
      </c>
      <c r="I14" s="44">
        <f t="shared" si="2"/>
        <v>15461172.98</v>
      </c>
    </row>
    <row r="15" spans="1:9" ht="19.5" customHeight="1">
      <c r="A15" s="231" t="s">
        <v>13</v>
      </c>
      <c r="B15" s="232"/>
      <c r="C15" s="232"/>
      <c r="D15" s="232"/>
      <c r="E15" s="232"/>
      <c r="F15" s="232"/>
      <c r="G15" s="232"/>
      <c r="H15" s="232"/>
      <c r="I15" s="233"/>
    </row>
    <row r="16" spans="1:9" ht="15">
      <c r="A16" s="45" t="s">
        <v>14</v>
      </c>
      <c r="B16" s="44">
        <f>C16+D16+E16+F16+G16+H16+I16</f>
        <v>95323007.98</v>
      </c>
      <c r="C16" s="46">
        <v>12441660.3</v>
      </c>
      <c r="D16" s="46">
        <f>'[2]табл.3'!G78</f>
        <v>12978696.45</v>
      </c>
      <c r="E16" s="46">
        <f>'[2]табл.3'!H78</f>
        <v>13119814.439999998</v>
      </c>
      <c r="F16" s="46">
        <f>'[2]табл.3'!I78</f>
        <v>14316564.29</v>
      </c>
      <c r="G16" s="46">
        <f>'табл.3 (3)'!J78</f>
        <v>14953974.88</v>
      </c>
      <c r="H16" s="46">
        <f>'табл.3 (3)'!K78</f>
        <v>13686678.53</v>
      </c>
      <c r="I16" s="46">
        <f>'табл.3 (3)'!L78</f>
        <v>13825619.09</v>
      </c>
    </row>
    <row r="17" spans="1:9" ht="15">
      <c r="A17" s="45" t="s">
        <v>15</v>
      </c>
      <c r="B17" s="44">
        <f>C17+D17+E17+F17+G17+H17+I17</f>
        <v>6731353.83</v>
      </c>
      <c r="C17" s="46">
        <v>0</v>
      </c>
      <c r="D17" s="46">
        <v>477700</v>
      </c>
      <c r="E17" s="46">
        <f>'[2]табл.3'!H79</f>
        <v>582512</v>
      </c>
      <c r="F17" s="46">
        <f>'[2]табл.3'!I79</f>
        <v>1316946.22</v>
      </c>
      <c r="G17" s="46">
        <f>'табл.3 (3)'!J79</f>
        <v>1369624.07</v>
      </c>
      <c r="H17" s="46">
        <f>'табл.3 (3)'!K79</f>
        <v>1459017.65</v>
      </c>
      <c r="I17" s="46">
        <f>'табл.3 (3)'!L79</f>
        <v>1525553.8900000001</v>
      </c>
    </row>
    <row r="18" spans="1:9" ht="15">
      <c r="A18" s="45" t="s">
        <v>16</v>
      </c>
      <c r="B18" s="44">
        <f>C18+D18+E18+F18+G18+H18+I18</f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</row>
    <row r="19" spans="1:9" ht="15">
      <c r="A19" s="45" t="s">
        <v>17</v>
      </c>
      <c r="B19" s="44">
        <f>C19+D19+E19+F19+G19+H19+I19</f>
        <v>873332.64</v>
      </c>
      <c r="C19" s="46">
        <f>'[2]табл.3'!F81</f>
        <v>92037.14</v>
      </c>
      <c r="D19" s="46">
        <f>'[2]табл.3'!G81</f>
        <v>106000</v>
      </c>
      <c r="E19" s="46">
        <f>'[2]табл.3'!H81</f>
        <v>128429.5</v>
      </c>
      <c r="F19" s="46">
        <f>'[2]табл.3'!I81</f>
        <v>216866</v>
      </c>
      <c r="G19" s="46">
        <f>'табл.3 (3)'!J81</f>
        <v>110000</v>
      </c>
      <c r="H19" s="46">
        <f>'табл.3 (3)'!K81</f>
        <v>110000</v>
      </c>
      <c r="I19" s="46">
        <f>'табл.3 (3)'!L81</f>
        <v>110000</v>
      </c>
    </row>
    <row r="20" spans="1:9" ht="25.5">
      <c r="A20" s="62" t="s">
        <v>112</v>
      </c>
      <c r="B20" s="44">
        <f>C20+D20+E20+F20+G20+H20+I20</f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2" ht="15">
      <c r="A22" s="4"/>
    </row>
    <row r="23" ht="15">
      <c r="A23" s="4"/>
    </row>
  </sheetData>
  <sheetProtection/>
  <mergeCells count="8">
    <mergeCell ref="A13:I13"/>
    <mergeCell ref="A15:I15"/>
    <mergeCell ref="G1:I1"/>
    <mergeCell ref="A2:I2"/>
    <mergeCell ref="A4:A5"/>
    <mergeCell ref="B4:B5"/>
    <mergeCell ref="C4:I4"/>
    <mergeCell ref="A8:I8"/>
  </mergeCells>
  <printOptions horizontalCentered="1"/>
  <pageMargins left="0.11811023622047245" right="0.11811023622047245" top="0.31496062992125984" bottom="0.15748031496062992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view="pageBreakPreview" zoomScaleSheetLayoutView="100"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78" sqref="L78"/>
    </sheetView>
  </sheetViews>
  <sheetFormatPr defaultColWidth="9.140625" defaultRowHeight="15"/>
  <cols>
    <col min="1" max="1" width="9.140625" style="10" customWidth="1"/>
    <col min="2" max="2" width="34.00390625" style="10" customWidth="1"/>
    <col min="3" max="3" width="10.8515625" style="10" customWidth="1"/>
    <col min="4" max="4" width="10.00390625" style="10" customWidth="1"/>
    <col min="5" max="5" width="16.28125" style="10" bestFit="1" customWidth="1"/>
    <col min="6" max="12" width="15.140625" style="10" bestFit="1" customWidth="1"/>
    <col min="13" max="13" width="25.421875" style="10" customWidth="1"/>
    <col min="14" max="14" width="5.421875" style="10" bestFit="1" customWidth="1"/>
    <col min="15" max="20" width="7.421875" style="10" bestFit="1" customWidth="1"/>
    <col min="21" max="21" width="18.57421875" style="10" customWidth="1"/>
    <col min="22" max="16384" width="9.140625" style="10" customWidth="1"/>
  </cols>
  <sheetData>
    <row r="1" s="8" customFormat="1" ht="12.75">
      <c r="U1" s="9" t="s">
        <v>137</v>
      </c>
    </row>
    <row r="2" spans="1:21" s="8" customFormat="1" ht="20.25" customHeight="1">
      <c r="A2" s="130" t="s">
        <v>113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31.5" customHeight="1">
      <c r="A3" s="216" t="s">
        <v>7</v>
      </c>
      <c r="B3" s="211" t="s">
        <v>19</v>
      </c>
      <c r="C3" s="211" t="s">
        <v>20</v>
      </c>
      <c r="D3" s="211" t="s">
        <v>10</v>
      </c>
      <c r="E3" s="211" t="s">
        <v>27</v>
      </c>
      <c r="F3" s="211"/>
      <c r="G3" s="211"/>
      <c r="H3" s="211"/>
      <c r="I3" s="211"/>
      <c r="J3" s="211"/>
      <c r="K3" s="211"/>
      <c r="L3" s="211"/>
      <c r="M3" s="216" t="s">
        <v>56</v>
      </c>
      <c r="N3" s="216"/>
      <c r="O3" s="216"/>
      <c r="P3" s="216"/>
      <c r="Q3" s="216"/>
      <c r="R3" s="216"/>
      <c r="S3" s="216"/>
      <c r="T3" s="216"/>
      <c r="U3" s="265" t="s">
        <v>28</v>
      </c>
    </row>
    <row r="4" spans="1:21" ht="26.25" customHeight="1">
      <c r="A4" s="216"/>
      <c r="B4" s="211"/>
      <c r="C4" s="211"/>
      <c r="D4" s="211"/>
      <c r="E4" s="11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266"/>
    </row>
    <row r="5" spans="1:21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12.75">
      <c r="A6" s="12"/>
      <c r="B6" s="217" t="s">
        <v>114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9"/>
    </row>
    <row r="7" spans="1:21" ht="12.75">
      <c r="A7" s="12">
        <v>1</v>
      </c>
      <c r="B7" s="217" t="s">
        <v>115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</row>
    <row r="8" spans="1:21" ht="16.5" customHeight="1">
      <c r="A8" s="192" t="s">
        <v>5</v>
      </c>
      <c r="B8" s="212" t="s">
        <v>116</v>
      </c>
      <c r="C8" s="177" t="s">
        <v>94</v>
      </c>
      <c r="D8" s="13" t="s">
        <v>4</v>
      </c>
      <c r="E8" s="14">
        <f>E10+E11+E12+E13</f>
        <v>148378.58000000002</v>
      </c>
      <c r="F8" s="14">
        <f aca="true" t="shared" si="0" ref="F8:L8">F10+F11+F12+F13</f>
        <v>52040</v>
      </c>
      <c r="G8" s="14">
        <f t="shared" si="0"/>
        <v>49358.58</v>
      </c>
      <c r="H8" s="14">
        <f t="shared" si="0"/>
        <v>46980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83" t="s">
        <v>117</v>
      </c>
      <c r="N8" s="239">
        <v>2.2</v>
      </c>
      <c r="O8" s="239">
        <v>2.4</v>
      </c>
      <c r="P8" s="239">
        <v>2.4</v>
      </c>
      <c r="Q8" s="239">
        <v>0</v>
      </c>
      <c r="R8" s="239">
        <v>0</v>
      </c>
      <c r="S8" s="239">
        <v>0</v>
      </c>
      <c r="T8" s="239">
        <v>0</v>
      </c>
      <c r="U8" s="239"/>
    </row>
    <row r="9" spans="1:21" ht="16.5" customHeight="1">
      <c r="A9" s="192"/>
      <c r="B9" s="212"/>
      <c r="C9" s="178"/>
      <c r="D9" s="180" t="s">
        <v>29</v>
      </c>
      <c r="E9" s="181"/>
      <c r="F9" s="181"/>
      <c r="G9" s="181"/>
      <c r="H9" s="181"/>
      <c r="I9" s="181"/>
      <c r="J9" s="181"/>
      <c r="K9" s="181"/>
      <c r="L9" s="182"/>
      <c r="M9" s="184"/>
      <c r="N9" s="242"/>
      <c r="O9" s="242"/>
      <c r="P9" s="242"/>
      <c r="Q9" s="242"/>
      <c r="R9" s="242"/>
      <c r="S9" s="242"/>
      <c r="T9" s="242"/>
      <c r="U9" s="242"/>
    </row>
    <row r="10" spans="1:21" ht="12.75">
      <c r="A10" s="192"/>
      <c r="B10" s="212"/>
      <c r="C10" s="178"/>
      <c r="D10" s="15" t="s">
        <v>2</v>
      </c>
      <c r="E10" s="16">
        <f>F10+G10+H10+I10+J10+K10+L10</f>
        <v>148378.58000000002</v>
      </c>
      <c r="F10" s="16">
        <v>52040</v>
      </c>
      <c r="G10" s="16">
        <v>49358.58</v>
      </c>
      <c r="H10" s="16">
        <v>46980</v>
      </c>
      <c r="I10" s="16">
        <v>0</v>
      </c>
      <c r="J10" s="16">
        <v>0</v>
      </c>
      <c r="K10" s="16">
        <v>0</v>
      </c>
      <c r="L10" s="16">
        <v>0</v>
      </c>
      <c r="M10" s="184"/>
      <c r="N10" s="242">
        <v>557</v>
      </c>
      <c r="O10" s="242">
        <v>605</v>
      </c>
      <c r="P10" s="242">
        <v>656</v>
      </c>
      <c r="Q10" s="242">
        <v>0</v>
      </c>
      <c r="R10" s="242">
        <v>0</v>
      </c>
      <c r="S10" s="242">
        <v>0</v>
      </c>
      <c r="T10" s="242">
        <v>0</v>
      </c>
      <c r="U10" s="242" t="s">
        <v>118</v>
      </c>
    </row>
    <row r="11" spans="1:21" ht="12.75">
      <c r="A11" s="192"/>
      <c r="B11" s="212"/>
      <c r="C11" s="178"/>
      <c r="D11" s="15" t="s">
        <v>0</v>
      </c>
      <c r="E11" s="16">
        <f>F11+G11+H11+I11+J11+K11+L11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84"/>
      <c r="N11" s="242"/>
      <c r="O11" s="242"/>
      <c r="P11" s="242"/>
      <c r="Q11" s="242"/>
      <c r="R11" s="242"/>
      <c r="S11" s="242"/>
      <c r="T11" s="242"/>
      <c r="U11" s="242"/>
    </row>
    <row r="12" spans="1:21" ht="12.75">
      <c r="A12" s="192"/>
      <c r="B12" s="212"/>
      <c r="C12" s="178"/>
      <c r="D12" s="15" t="s">
        <v>1</v>
      </c>
      <c r="E12" s="16">
        <f>F12+G12+H12+I12+J12+K12+L12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84"/>
      <c r="N12" s="242"/>
      <c r="O12" s="242"/>
      <c r="P12" s="242"/>
      <c r="Q12" s="242"/>
      <c r="R12" s="242"/>
      <c r="S12" s="242"/>
      <c r="T12" s="242"/>
      <c r="U12" s="242"/>
    </row>
    <row r="13" spans="1:21" ht="12.75" customHeight="1">
      <c r="A13" s="192"/>
      <c r="B13" s="212"/>
      <c r="C13" s="179"/>
      <c r="D13" s="15" t="s">
        <v>3</v>
      </c>
      <c r="E13" s="16">
        <f>F13+G13+H13+I13+J13+K13+L13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85"/>
      <c r="N13" s="63"/>
      <c r="O13" s="63"/>
      <c r="P13" s="63"/>
      <c r="Q13" s="63"/>
      <c r="R13" s="63"/>
      <c r="S13" s="63"/>
      <c r="T13" s="63"/>
      <c r="U13" s="64"/>
    </row>
    <row r="14" spans="1:21" ht="15" customHeight="1">
      <c r="A14" s="192" t="s">
        <v>89</v>
      </c>
      <c r="B14" s="212" t="s">
        <v>119</v>
      </c>
      <c r="C14" s="177" t="s">
        <v>94</v>
      </c>
      <c r="D14" s="13" t="s">
        <v>4</v>
      </c>
      <c r="E14" s="14">
        <f>E16+E17+E18+E19</f>
        <v>1193537.9</v>
      </c>
      <c r="F14" s="14">
        <f aca="true" t="shared" si="1" ref="F14:L14">F16+F17+F18+F19</f>
        <v>418460</v>
      </c>
      <c r="G14" s="14">
        <f t="shared" si="1"/>
        <v>397520.7</v>
      </c>
      <c r="H14" s="14">
        <f t="shared" si="1"/>
        <v>377557.2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83" t="s">
        <v>120</v>
      </c>
      <c r="N14" s="239">
        <v>212</v>
      </c>
      <c r="O14" s="239">
        <v>233</v>
      </c>
      <c r="P14" s="239">
        <v>254</v>
      </c>
      <c r="Q14" s="239">
        <v>0</v>
      </c>
      <c r="R14" s="239">
        <v>0</v>
      </c>
      <c r="S14" s="239">
        <v>0</v>
      </c>
      <c r="T14" s="239">
        <v>0</v>
      </c>
      <c r="U14" s="166" t="s">
        <v>118</v>
      </c>
    </row>
    <row r="15" spans="1:21" ht="15" customHeight="1">
      <c r="A15" s="192"/>
      <c r="B15" s="212"/>
      <c r="C15" s="178"/>
      <c r="D15" s="180" t="s">
        <v>29</v>
      </c>
      <c r="E15" s="181"/>
      <c r="F15" s="181"/>
      <c r="G15" s="181"/>
      <c r="H15" s="181"/>
      <c r="I15" s="181"/>
      <c r="J15" s="181"/>
      <c r="K15" s="181"/>
      <c r="L15" s="182"/>
      <c r="M15" s="184"/>
      <c r="N15" s="242"/>
      <c r="O15" s="242"/>
      <c r="P15" s="242"/>
      <c r="Q15" s="242"/>
      <c r="R15" s="242"/>
      <c r="S15" s="242"/>
      <c r="T15" s="242"/>
      <c r="U15" s="167"/>
    </row>
    <row r="16" spans="1:21" ht="15" customHeight="1">
      <c r="A16" s="192"/>
      <c r="B16" s="212"/>
      <c r="C16" s="178"/>
      <c r="D16" s="15" t="s">
        <v>2</v>
      </c>
      <c r="E16" s="16">
        <f>F16+G16+H16+I16+J16+K16+L16</f>
        <v>1193537.9</v>
      </c>
      <c r="F16" s="16">
        <v>418460</v>
      </c>
      <c r="G16" s="16">
        <v>397520.7</v>
      </c>
      <c r="H16" s="16">
        <v>377557.2</v>
      </c>
      <c r="I16" s="16">
        <v>0</v>
      </c>
      <c r="J16" s="16">
        <v>0</v>
      </c>
      <c r="K16" s="16">
        <v>0</v>
      </c>
      <c r="L16" s="16">
        <v>0</v>
      </c>
      <c r="M16" s="184"/>
      <c r="N16" s="242"/>
      <c r="O16" s="242"/>
      <c r="P16" s="242"/>
      <c r="Q16" s="242"/>
      <c r="R16" s="242"/>
      <c r="S16" s="242"/>
      <c r="T16" s="242"/>
      <c r="U16" s="167"/>
    </row>
    <row r="17" spans="1:21" ht="14.25" customHeight="1">
      <c r="A17" s="192"/>
      <c r="B17" s="212"/>
      <c r="C17" s="178"/>
      <c r="D17" s="15" t="s">
        <v>0</v>
      </c>
      <c r="E17" s="16">
        <f>F17+G17+H17+I17+J17+K17+L17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84"/>
      <c r="N17" s="242"/>
      <c r="O17" s="242"/>
      <c r="P17" s="242"/>
      <c r="Q17" s="242"/>
      <c r="R17" s="242"/>
      <c r="S17" s="242"/>
      <c r="T17" s="242"/>
      <c r="U17" s="167"/>
    </row>
    <row r="18" spans="1:21" ht="15" customHeight="1">
      <c r="A18" s="192"/>
      <c r="B18" s="212"/>
      <c r="C18" s="178"/>
      <c r="D18" s="15" t="s">
        <v>1</v>
      </c>
      <c r="E18" s="16">
        <f>F18+G18+H18+I18+J18+K18+L18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84"/>
      <c r="N18" s="242"/>
      <c r="O18" s="242"/>
      <c r="P18" s="242"/>
      <c r="Q18" s="242"/>
      <c r="R18" s="242"/>
      <c r="S18" s="242"/>
      <c r="T18" s="242"/>
      <c r="U18" s="167"/>
    </row>
    <row r="19" spans="1:21" ht="23.25" customHeight="1">
      <c r="A19" s="192"/>
      <c r="B19" s="212"/>
      <c r="C19" s="179"/>
      <c r="D19" s="15" t="s">
        <v>3</v>
      </c>
      <c r="E19" s="16">
        <f>F19+G19+H19+I19+J19+K19+L19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84"/>
      <c r="N19" s="242"/>
      <c r="O19" s="242"/>
      <c r="P19" s="242"/>
      <c r="Q19" s="242"/>
      <c r="R19" s="242"/>
      <c r="S19" s="242"/>
      <c r="T19" s="242"/>
      <c r="U19" s="167"/>
    </row>
    <row r="20" spans="1:21" ht="20.25" customHeight="1">
      <c r="A20" s="192" t="s">
        <v>121</v>
      </c>
      <c r="B20" s="212" t="s">
        <v>122</v>
      </c>
      <c r="C20" s="177" t="s">
        <v>63</v>
      </c>
      <c r="D20" s="13" t="s">
        <v>4</v>
      </c>
      <c r="E20" s="14">
        <f>E22+E23+E24+E25</f>
        <v>1713295.35</v>
      </c>
      <c r="F20" s="14">
        <f aca="true" t="shared" si="2" ref="F20:L20">F22+F23+F24+F25</f>
        <v>0</v>
      </c>
      <c r="G20" s="14">
        <f t="shared" si="2"/>
        <v>0</v>
      </c>
      <c r="H20" s="14">
        <f t="shared" si="2"/>
        <v>0</v>
      </c>
      <c r="I20" s="14">
        <f t="shared" si="2"/>
        <v>403464</v>
      </c>
      <c r="J20" s="14">
        <f t="shared" si="2"/>
        <v>419602.56</v>
      </c>
      <c r="K20" s="14">
        <f t="shared" si="2"/>
        <v>436386.66</v>
      </c>
      <c r="L20" s="14">
        <f t="shared" si="2"/>
        <v>453842.13</v>
      </c>
      <c r="M20" s="183" t="s">
        <v>123</v>
      </c>
      <c r="N20" s="239">
        <v>0</v>
      </c>
      <c r="O20" s="239">
        <v>0</v>
      </c>
      <c r="P20" s="239">
        <v>0</v>
      </c>
      <c r="Q20" s="239">
        <v>30669</v>
      </c>
      <c r="R20" s="239">
        <v>30931</v>
      </c>
      <c r="S20" s="239">
        <v>30931</v>
      </c>
      <c r="T20" s="239">
        <v>30931</v>
      </c>
      <c r="U20" s="166" t="s">
        <v>118</v>
      </c>
    </row>
    <row r="21" spans="1:21" ht="12" customHeight="1">
      <c r="A21" s="192"/>
      <c r="B21" s="212"/>
      <c r="C21" s="178"/>
      <c r="D21" s="180" t="s">
        <v>29</v>
      </c>
      <c r="E21" s="181"/>
      <c r="F21" s="181"/>
      <c r="G21" s="181"/>
      <c r="H21" s="181"/>
      <c r="I21" s="181"/>
      <c r="J21" s="181"/>
      <c r="K21" s="181"/>
      <c r="L21" s="182"/>
      <c r="M21" s="184"/>
      <c r="N21" s="242"/>
      <c r="O21" s="242"/>
      <c r="P21" s="242"/>
      <c r="Q21" s="242"/>
      <c r="R21" s="242"/>
      <c r="S21" s="242"/>
      <c r="T21" s="242"/>
      <c r="U21" s="167"/>
    </row>
    <row r="22" spans="1:21" ht="15" customHeight="1">
      <c r="A22" s="192"/>
      <c r="B22" s="212"/>
      <c r="C22" s="178"/>
      <c r="D22" s="15" t="s">
        <v>2</v>
      </c>
      <c r="E22" s="16">
        <f>F22+G22+H22+I22+J22+K22+L22</f>
        <v>1713295.35</v>
      </c>
      <c r="F22" s="16">
        <v>0</v>
      </c>
      <c r="G22" s="16">
        <v>0</v>
      </c>
      <c r="H22" s="16">
        <v>0</v>
      </c>
      <c r="I22" s="16">
        <v>403464</v>
      </c>
      <c r="J22" s="16">
        <v>419602.56</v>
      </c>
      <c r="K22" s="16">
        <v>436386.66</v>
      </c>
      <c r="L22" s="16">
        <v>453842.13</v>
      </c>
      <c r="M22" s="184"/>
      <c r="N22" s="242"/>
      <c r="O22" s="242"/>
      <c r="P22" s="242"/>
      <c r="Q22" s="242"/>
      <c r="R22" s="242"/>
      <c r="S22" s="242"/>
      <c r="T22" s="242"/>
      <c r="U22" s="167"/>
    </row>
    <row r="23" spans="1:21" ht="12.75">
      <c r="A23" s="192"/>
      <c r="B23" s="212"/>
      <c r="C23" s="178"/>
      <c r="D23" s="15" t="s">
        <v>0</v>
      </c>
      <c r="E23" s="16">
        <f>F23+G23+H23+I23+J23+K23+L23</f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84"/>
      <c r="N23" s="242"/>
      <c r="O23" s="242"/>
      <c r="P23" s="242"/>
      <c r="Q23" s="242"/>
      <c r="R23" s="242"/>
      <c r="S23" s="242"/>
      <c r="T23" s="242"/>
      <c r="U23" s="167"/>
    </row>
    <row r="24" spans="1:21" ht="15" customHeight="1">
      <c r="A24" s="192"/>
      <c r="B24" s="212"/>
      <c r="C24" s="178"/>
      <c r="D24" s="15" t="s">
        <v>1</v>
      </c>
      <c r="E24" s="16">
        <f>F24+G24+H24+I24+J24+K24+L24</f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84"/>
      <c r="N24" s="242"/>
      <c r="O24" s="242"/>
      <c r="P24" s="242"/>
      <c r="Q24" s="242"/>
      <c r="R24" s="242"/>
      <c r="S24" s="242"/>
      <c r="T24" s="242"/>
      <c r="U24" s="167"/>
    </row>
    <row r="25" spans="1:21" ht="18.75" customHeight="1">
      <c r="A25" s="192"/>
      <c r="B25" s="212"/>
      <c r="C25" s="179"/>
      <c r="D25" s="15" t="s">
        <v>3</v>
      </c>
      <c r="E25" s="16">
        <f>F25+G25+H25+I25+J25+K25+L25</f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84"/>
      <c r="N25" s="242"/>
      <c r="O25" s="242"/>
      <c r="P25" s="242"/>
      <c r="Q25" s="242"/>
      <c r="R25" s="242"/>
      <c r="S25" s="242"/>
      <c r="T25" s="242"/>
      <c r="U25" s="167"/>
    </row>
    <row r="26" spans="1:21" ht="12.75">
      <c r="A26" s="171"/>
      <c r="B26" s="174" t="s">
        <v>91</v>
      </c>
      <c r="C26" s="177"/>
      <c r="D26" s="13" t="s">
        <v>4</v>
      </c>
      <c r="E26" s="14">
        <f>E28+E29+E30+E31</f>
        <v>3055211.83</v>
      </c>
      <c r="F26" s="14">
        <f aca="true" t="shared" si="3" ref="F26:L26">F28+F29+F30+F31</f>
        <v>470500</v>
      </c>
      <c r="G26" s="14">
        <f t="shared" si="3"/>
        <v>446879.28</v>
      </c>
      <c r="H26" s="14">
        <f t="shared" si="3"/>
        <v>424537.2</v>
      </c>
      <c r="I26" s="14">
        <f t="shared" si="3"/>
        <v>403464</v>
      </c>
      <c r="J26" s="14">
        <f t="shared" si="3"/>
        <v>419602.56</v>
      </c>
      <c r="K26" s="14">
        <f t="shared" si="3"/>
        <v>436386.66</v>
      </c>
      <c r="L26" s="65">
        <f t="shared" si="3"/>
        <v>453842.13</v>
      </c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21" ht="12.75">
      <c r="A27" s="159"/>
      <c r="B27" s="188"/>
      <c r="C27" s="159"/>
      <c r="D27" s="180" t="s">
        <v>29</v>
      </c>
      <c r="E27" s="181"/>
      <c r="F27" s="181"/>
      <c r="G27" s="181"/>
      <c r="H27" s="181"/>
      <c r="I27" s="181"/>
      <c r="J27" s="181"/>
      <c r="K27" s="181"/>
      <c r="L27" s="181"/>
      <c r="M27" s="165"/>
      <c r="N27" s="165"/>
      <c r="O27" s="165"/>
      <c r="P27" s="165"/>
      <c r="Q27" s="165"/>
      <c r="R27" s="165"/>
      <c r="S27" s="165"/>
      <c r="T27" s="165"/>
      <c r="U27" s="165"/>
    </row>
    <row r="28" spans="1:21" ht="12.75">
      <c r="A28" s="159"/>
      <c r="B28" s="188"/>
      <c r="C28" s="159"/>
      <c r="D28" s="15" t="s">
        <v>2</v>
      </c>
      <c r="E28" s="16">
        <f>F28+G28+H28+I28+J28+K28+L28</f>
        <v>3055211.83</v>
      </c>
      <c r="F28" s="16">
        <f>F10+F16</f>
        <v>470500</v>
      </c>
      <c r="G28" s="16">
        <f>G10+G16</f>
        <v>446879.28</v>
      </c>
      <c r="H28" s="16">
        <f>H10+H16</f>
        <v>424537.2</v>
      </c>
      <c r="I28" s="16">
        <f>I22</f>
        <v>403464</v>
      </c>
      <c r="J28" s="16">
        <f>J22</f>
        <v>419602.56</v>
      </c>
      <c r="K28" s="16">
        <f>K22</f>
        <v>436386.66</v>
      </c>
      <c r="L28" s="66">
        <f>L22</f>
        <v>453842.13</v>
      </c>
      <c r="M28" s="165"/>
      <c r="N28" s="165"/>
      <c r="O28" s="165"/>
      <c r="P28" s="165"/>
      <c r="Q28" s="165"/>
      <c r="R28" s="165"/>
      <c r="S28" s="165"/>
      <c r="T28" s="165"/>
      <c r="U28" s="165"/>
    </row>
    <row r="29" spans="1:21" ht="12.75">
      <c r="A29" s="159"/>
      <c r="B29" s="188"/>
      <c r="C29" s="159"/>
      <c r="D29" s="15" t="s">
        <v>0</v>
      </c>
      <c r="E29" s="16">
        <f>F29+G29+H29+I29+J29+K29+L29</f>
        <v>0</v>
      </c>
      <c r="F29" s="16">
        <f>F11</f>
        <v>0</v>
      </c>
      <c r="G29" s="16">
        <f aca="true" t="shared" si="4" ref="G29:L31">G11</f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66">
        <f t="shared" si="4"/>
        <v>0</v>
      </c>
      <c r="M29" s="165"/>
      <c r="N29" s="165"/>
      <c r="O29" s="165"/>
      <c r="P29" s="165"/>
      <c r="Q29" s="165"/>
      <c r="R29" s="165"/>
      <c r="S29" s="165"/>
      <c r="T29" s="165"/>
      <c r="U29" s="165"/>
    </row>
    <row r="30" spans="1:21" ht="12.75">
      <c r="A30" s="159"/>
      <c r="B30" s="188"/>
      <c r="C30" s="159"/>
      <c r="D30" s="15" t="s">
        <v>1</v>
      </c>
      <c r="E30" s="16">
        <f>F30+G30+H30+I30+J30+K30+L30</f>
        <v>0</v>
      </c>
      <c r="F30" s="16">
        <f>F12</f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66">
        <f t="shared" si="4"/>
        <v>0</v>
      </c>
      <c r="M30" s="165"/>
      <c r="N30" s="165"/>
      <c r="O30" s="165"/>
      <c r="P30" s="165"/>
      <c r="Q30" s="165"/>
      <c r="R30" s="165"/>
      <c r="S30" s="165"/>
      <c r="T30" s="165"/>
      <c r="U30" s="165"/>
    </row>
    <row r="31" spans="1:21" ht="12.75">
      <c r="A31" s="128"/>
      <c r="B31" s="189"/>
      <c r="C31" s="128"/>
      <c r="D31" s="15" t="s">
        <v>3</v>
      </c>
      <c r="E31" s="16">
        <f>F31+G31+H31+I31+J31+K31+L31</f>
        <v>0</v>
      </c>
      <c r="F31" s="16">
        <f>F13</f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66">
        <f t="shared" si="4"/>
        <v>0</v>
      </c>
      <c r="M31" s="191"/>
      <c r="N31" s="191"/>
      <c r="O31" s="191"/>
      <c r="P31" s="191"/>
      <c r="Q31" s="191"/>
      <c r="R31" s="191"/>
      <c r="S31" s="191"/>
      <c r="T31" s="191"/>
      <c r="U31" s="191"/>
    </row>
    <row r="32" spans="1:21" ht="18.75" customHeight="1">
      <c r="A32" s="37">
        <v>2</v>
      </c>
      <c r="B32" s="217" t="s">
        <v>124</v>
      </c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67"/>
      <c r="N32" s="267"/>
      <c r="O32" s="267"/>
      <c r="P32" s="267"/>
      <c r="Q32" s="267"/>
      <c r="R32" s="267"/>
      <c r="S32" s="267"/>
      <c r="T32" s="267"/>
      <c r="U32" s="268"/>
    </row>
    <row r="33" spans="1:21" ht="20.25" customHeight="1">
      <c r="A33" s="171" t="s">
        <v>6</v>
      </c>
      <c r="B33" s="212" t="s">
        <v>125</v>
      </c>
      <c r="C33" s="177" t="s">
        <v>94</v>
      </c>
      <c r="D33" s="13" t="s">
        <v>4</v>
      </c>
      <c r="E33" s="14">
        <f>E35+E36+E37+E38</f>
        <v>38550913.349999994</v>
      </c>
      <c r="F33" s="14">
        <f aca="true" t="shared" si="5" ref="F33:L33">F35+F36+F37+F38</f>
        <v>12029177.440000001</v>
      </c>
      <c r="G33" s="14">
        <f t="shared" si="5"/>
        <v>13115517.17</v>
      </c>
      <c r="H33" s="14">
        <f t="shared" si="5"/>
        <v>13406218.739999998</v>
      </c>
      <c r="I33" s="14">
        <f t="shared" si="5"/>
        <v>0</v>
      </c>
      <c r="J33" s="14">
        <f t="shared" si="5"/>
        <v>0</v>
      </c>
      <c r="K33" s="14">
        <f t="shared" si="5"/>
        <v>0</v>
      </c>
      <c r="L33" s="14">
        <f t="shared" si="5"/>
        <v>0</v>
      </c>
      <c r="M33" s="164" t="s">
        <v>126</v>
      </c>
      <c r="N33" s="166">
        <v>13.65</v>
      </c>
      <c r="O33" s="177">
        <v>14.16</v>
      </c>
      <c r="P33" s="177">
        <v>14.59</v>
      </c>
      <c r="Q33" s="177">
        <v>0</v>
      </c>
      <c r="R33" s="177">
        <v>0</v>
      </c>
      <c r="S33" s="177">
        <v>0</v>
      </c>
      <c r="T33" s="177">
        <v>0</v>
      </c>
      <c r="U33" s="177" t="s">
        <v>118</v>
      </c>
    </row>
    <row r="34" spans="1:21" ht="34.5" customHeight="1">
      <c r="A34" s="159"/>
      <c r="B34" s="212"/>
      <c r="C34" s="178"/>
      <c r="D34" s="180" t="s">
        <v>29</v>
      </c>
      <c r="E34" s="181"/>
      <c r="F34" s="181"/>
      <c r="G34" s="181"/>
      <c r="H34" s="181"/>
      <c r="I34" s="181"/>
      <c r="J34" s="181"/>
      <c r="K34" s="181"/>
      <c r="L34" s="182"/>
      <c r="M34" s="191"/>
      <c r="N34" s="269"/>
      <c r="O34" s="128"/>
      <c r="P34" s="128"/>
      <c r="Q34" s="128"/>
      <c r="R34" s="128"/>
      <c r="S34" s="128"/>
      <c r="T34" s="128"/>
      <c r="U34" s="128"/>
    </row>
    <row r="35" spans="1:21" ht="18.75" customHeight="1">
      <c r="A35" s="159"/>
      <c r="B35" s="212"/>
      <c r="C35" s="178"/>
      <c r="D35" s="15" t="s">
        <v>2</v>
      </c>
      <c r="E35" s="16">
        <f>F35+G35+H35+I35+J35+K35+L35</f>
        <v>37164234.70999999</v>
      </c>
      <c r="F35" s="16">
        <v>11937140.3</v>
      </c>
      <c r="G35" s="16">
        <f>12326155.91+205661.26</f>
        <v>12531817.17</v>
      </c>
      <c r="H35" s="16">
        <f>12687854.62+7422.62</f>
        <v>12695277.239999998</v>
      </c>
      <c r="I35" s="16">
        <v>0</v>
      </c>
      <c r="J35" s="16">
        <v>0</v>
      </c>
      <c r="K35" s="16">
        <v>0</v>
      </c>
      <c r="L35" s="16">
        <v>0</v>
      </c>
      <c r="M35" s="270" t="s">
        <v>127</v>
      </c>
      <c r="N35" s="177">
        <v>37</v>
      </c>
      <c r="O35" s="177">
        <v>43</v>
      </c>
      <c r="P35" s="177">
        <v>50</v>
      </c>
      <c r="Q35" s="177">
        <v>0</v>
      </c>
      <c r="R35" s="177">
        <v>0</v>
      </c>
      <c r="S35" s="177">
        <v>0</v>
      </c>
      <c r="T35" s="177">
        <v>0</v>
      </c>
      <c r="U35" s="177" t="s">
        <v>118</v>
      </c>
    </row>
    <row r="36" spans="1:21" ht="15.75" customHeight="1">
      <c r="A36" s="159"/>
      <c r="B36" s="212"/>
      <c r="C36" s="178"/>
      <c r="D36" s="15" t="s">
        <v>0</v>
      </c>
      <c r="E36" s="16">
        <f>G36+H36</f>
        <v>1060212</v>
      </c>
      <c r="F36" s="16">
        <v>0</v>
      </c>
      <c r="G36" s="16">
        <v>477700</v>
      </c>
      <c r="H36" s="16">
        <v>582512</v>
      </c>
      <c r="I36" s="16">
        <v>0</v>
      </c>
      <c r="J36" s="16">
        <v>0</v>
      </c>
      <c r="K36" s="16">
        <v>0</v>
      </c>
      <c r="L36" s="16">
        <v>0</v>
      </c>
      <c r="M36" s="271"/>
      <c r="N36" s="179"/>
      <c r="O36" s="179"/>
      <c r="P36" s="179"/>
      <c r="Q36" s="179"/>
      <c r="R36" s="179"/>
      <c r="S36" s="179"/>
      <c r="T36" s="179"/>
      <c r="U36" s="179"/>
    </row>
    <row r="37" spans="1:21" ht="19.5" customHeight="1">
      <c r="A37" s="159"/>
      <c r="B37" s="212"/>
      <c r="C37" s="178"/>
      <c r="D37" s="15" t="s">
        <v>1</v>
      </c>
      <c r="E37" s="16">
        <f>F37+G37+H37+I37+J37+K37+L37</f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270" t="s">
        <v>128</v>
      </c>
      <c r="N37" s="177">
        <v>300</v>
      </c>
      <c r="O37" s="177">
        <v>305</v>
      </c>
      <c r="P37" s="177">
        <v>310</v>
      </c>
      <c r="Q37" s="177">
        <v>0</v>
      </c>
      <c r="R37" s="177">
        <v>0</v>
      </c>
      <c r="S37" s="177">
        <v>0</v>
      </c>
      <c r="T37" s="177">
        <v>0</v>
      </c>
      <c r="U37" s="177" t="s">
        <v>118</v>
      </c>
    </row>
    <row r="38" spans="1:21" ht="21.75" customHeight="1">
      <c r="A38" s="128"/>
      <c r="B38" s="212"/>
      <c r="C38" s="179"/>
      <c r="D38" s="15" t="s">
        <v>3</v>
      </c>
      <c r="E38" s="16">
        <f>F38+G38+H38+I38+J38+K38+L38</f>
        <v>326466.64</v>
      </c>
      <c r="F38" s="16">
        <v>92037.14</v>
      </c>
      <c r="G38" s="16">
        <f>92000+14000</f>
        <v>106000</v>
      </c>
      <c r="H38" s="16">
        <f>125000+3429+0.5</f>
        <v>128429.5</v>
      </c>
      <c r="I38" s="16">
        <v>0</v>
      </c>
      <c r="J38" s="16">
        <v>0</v>
      </c>
      <c r="K38" s="16">
        <v>0</v>
      </c>
      <c r="L38" s="16">
        <v>0</v>
      </c>
      <c r="M38" s="272"/>
      <c r="N38" s="178"/>
      <c r="O38" s="178"/>
      <c r="P38" s="178"/>
      <c r="Q38" s="178"/>
      <c r="R38" s="178"/>
      <c r="S38" s="178"/>
      <c r="T38" s="178"/>
      <c r="U38" s="178"/>
    </row>
    <row r="39" spans="1:21" ht="15" customHeight="1">
      <c r="A39" s="171" t="s">
        <v>41</v>
      </c>
      <c r="B39" s="212" t="s">
        <v>129</v>
      </c>
      <c r="C39" s="177" t="s">
        <v>63</v>
      </c>
      <c r="D39" s="13" t="s">
        <v>4</v>
      </c>
      <c r="E39" s="14">
        <f>E41+E42+E43+E44</f>
        <v>40239718.62</v>
      </c>
      <c r="F39" s="14">
        <f aca="true" t="shared" si="6" ref="F39:L39">F41+F42+F43+F44</f>
        <v>0</v>
      </c>
      <c r="G39" s="14">
        <f t="shared" si="6"/>
        <v>0</v>
      </c>
      <c r="H39" s="14">
        <f t="shared" si="6"/>
        <v>0</v>
      </c>
      <c r="I39" s="14">
        <f t="shared" si="6"/>
        <v>10869877.07</v>
      </c>
      <c r="J39" s="14">
        <f t="shared" si="6"/>
        <v>11303016.16</v>
      </c>
      <c r="K39" s="14">
        <f t="shared" si="6"/>
        <v>10036849.309999999</v>
      </c>
      <c r="L39" s="14">
        <f t="shared" si="6"/>
        <v>10168889.36</v>
      </c>
      <c r="M39" s="164" t="s">
        <v>130</v>
      </c>
      <c r="N39" s="166">
        <v>0</v>
      </c>
      <c r="O39" s="177">
        <v>0</v>
      </c>
      <c r="P39" s="177">
        <v>0</v>
      </c>
      <c r="Q39" s="177">
        <v>16455</v>
      </c>
      <c r="R39" s="177">
        <v>17364</v>
      </c>
      <c r="S39" s="177">
        <v>17556</v>
      </c>
      <c r="T39" s="177">
        <v>17556</v>
      </c>
      <c r="U39" s="177" t="s">
        <v>118</v>
      </c>
    </row>
    <row r="40" spans="1:21" ht="13.5" customHeight="1">
      <c r="A40" s="159"/>
      <c r="B40" s="212"/>
      <c r="C40" s="178"/>
      <c r="D40" s="180" t="s">
        <v>29</v>
      </c>
      <c r="E40" s="181"/>
      <c r="F40" s="181"/>
      <c r="G40" s="181"/>
      <c r="H40" s="181"/>
      <c r="I40" s="181"/>
      <c r="J40" s="181"/>
      <c r="K40" s="181"/>
      <c r="L40" s="182"/>
      <c r="M40" s="165"/>
      <c r="N40" s="273"/>
      <c r="O40" s="159"/>
      <c r="P40" s="159"/>
      <c r="Q40" s="159"/>
      <c r="R40" s="159"/>
      <c r="S40" s="159"/>
      <c r="T40" s="159"/>
      <c r="U40" s="159"/>
    </row>
    <row r="41" spans="1:21" ht="13.5" customHeight="1">
      <c r="A41" s="159"/>
      <c r="B41" s="212"/>
      <c r="C41" s="178"/>
      <c r="D41" s="15" t="s">
        <v>2</v>
      </c>
      <c r="E41" s="16">
        <f>F41+G41+H41+I41+J41+K41+L41</f>
        <v>37774814.86</v>
      </c>
      <c r="F41" s="16">
        <v>0</v>
      </c>
      <c r="G41" s="16">
        <v>0</v>
      </c>
      <c r="H41" s="16">
        <v>0</v>
      </c>
      <c r="I41" s="16">
        <f>9623952.76+88843.72</f>
        <v>9712796.48</v>
      </c>
      <c r="J41" s="16">
        <v>10215192.99</v>
      </c>
      <c r="K41" s="16">
        <v>8881181.61</v>
      </c>
      <c r="L41" s="16">
        <v>8965643.78</v>
      </c>
      <c r="M41" s="165"/>
      <c r="N41" s="159"/>
      <c r="O41" s="159"/>
      <c r="P41" s="159"/>
      <c r="Q41" s="159"/>
      <c r="R41" s="159"/>
      <c r="S41" s="159"/>
      <c r="T41" s="159"/>
      <c r="U41" s="159"/>
    </row>
    <row r="42" spans="1:21" ht="12.75" customHeight="1">
      <c r="A42" s="159"/>
      <c r="B42" s="212"/>
      <c r="C42" s="178"/>
      <c r="D42" s="15" t="s">
        <v>0</v>
      </c>
      <c r="E42" s="16">
        <f>I42+J42</f>
        <v>1918037.76</v>
      </c>
      <c r="F42" s="16">
        <v>0</v>
      </c>
      <c r="G42" s="16">
        <v>0</v>
      </c>
      <c r="H42" s="16">
        <v>0</v>
      </c>
      <c r="I42" s="16">
        <f>757305.37+182909.22</f>
        <v>940214.59</v>
      </c>
      <c r="J42" s="16">
        <v>977823.17</v>
      </c>
      <c r="K42" s="16">
        <v>1045667.7</v>
      </c>
      <c r="L42" s="16">
        <v>1093245.58</v>
      </c>
      <c r="M42" s="165"/>
      <c r="N42" s="159"/>
      <c r="O42" s="159"/>
      <c r="P42" s="159"/>
      <c r="Q42" s="159"/>
      <c r="R42" s="159"/>
      <c r="S42" s="159"/>
      <c r="T42" s="159"/>
      <c r="U42" s="159"/>
    </row>
    <row r="43" spans="1:21" ht="13.5" customHeight="1">
      <c r="A43" s="159"/>
      <c r="B43" s="212"/>
      <c r="C43" s="178"/>
      <c r="D43" s="15" t="s">
        <v>1</v>
      </c>
      <c r="E43" s="16">
        <f>F43+G43+H43+I43+J43+K43+L43</f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5"/>
      <c r="N43" s="159"/>
      <c r="O43" s="159"/>
      <c r="P43" s="159"/>
      <c r="Q43" s="159"/>
      <c r="R43" s="159"/>
      <c r="S43" s="159"/>
      <c r="T43" s="159"/>
      <c r="U43" s="159"/>
    </row>
    <row r="44" spans="1:21" ht="12" customHeight="1">
      <c r="A44" s="128"/>
      <c r="B44" s="212"/>
      <c r="C44" s="179"/>
      <c r="D44" s="15" t="s">
        <v>3</v>
      </c>
      <c r="E44" s="16">
        <f>F44+G44+H44+I44+J44+K44+L44</f>
        <v>546866</v>
      </c>
      <c r="F44" s="16">
        <v>0</v>
      </c>
      <c r="G44" s="16">
        <v>0</v>
      </c>
      <c r="H44" s="16">
        <v>0</v>
      </c>
      <c r="I44" s="16">
        <f>106000+94000+15000+1866</f>
        <v>216866</v>
      </c>
      <c r="J44" s="16">
        <v>110000</v>
      </c>
      <c r="K44" s="16">
        <v>110000</v>
      </c>
      <c r="L44" s="16">
        <v>110000</v>
      </c>
      <c r="M44" s="191"/>
      <c r="N44" s="128"/>
      <c r="O44" s="128"/>
      <c r="P44" s="128"/>
      <c r="Q44" s="128"/>
      <c r="R44" s="128"/>
      <c r="S44" s="128"/>
      <c r="T44" s="128"/>
      <c r="U44" s="128"/>
    </row>
    <row r="45" spans="1:21" ht="15" customHeight="1">
      <c r="A45" s="171" t="s">
        <v>57</v>
      </c>
      <c r="B45" s="212" t="s">
        <v>131</v>
      </c>
      <c r="C45" s="177" t="s">
        <v>63</v>
      </c>
      <c r="D45" s="13" t="s">
        <v>4</v>
      </c>
      <c r="E45" s="14">
        <f>E47+E48+E49+E50</f>
        <v>16680878.409999998</v>
      </c>
      <c r="F45" s="14">
        <f aca="true" t="shared" si="7" ref="F45:L45">F47+F48+F49+F50</f>
        <v>0</v>
      </c>
      <c r="G45" s="14">
        <f t="shared" si="7"/>
        <v>0</v>
      </c>
      <c r="H45" s="14">
        <f t="shared" si="7"/>
        <v>0</v>
      </c>
      <c r="I45" s="14">
        <f t="shared" si="7"/>
        <v>4226312.74</v>
      </c>
      <c r="J45" s="14">
        <f t="shared" si="7"/>
        <v>4367094.23</v>
      </c>
      <c r="K45" s="14">
        <f t="shared" si="7"/>
        <v>4438574.21</v>
      </c>
      <c r="L45" s="14">
        <f t="shared" si="7"/>
        <v>4494555.49</v>
      </c>
      <c r="M45" s="164" t="s">
        <v>132</v>
      </c>
      <c r="N45" s="166">
        <v>0</v>
      </c>
      <c r="O45" s="177">
        <v>0</v>
      </c>
      <c r="P45" s="177">
        <v>0</v>
      </c>
      <c r="Q45" s="177">
        <v>56</v>
      </c>
      <c r="R45" s="177">
        <v>64</v>
      </c>
      <c r="S45" s="177">
        <v>64</v>
      </c>
      <c r="T45" s="177">
        <v>64</v>
      </c>
      <c r="U45" s="177" t="s">
        <v>118</v>
      </c>
    </row>
    <row r="46" spans="1:21" ht="12" customHeight="1">
      <c r="A46" s="159"/>
      <c r="B46" s="212"/>
      <c r="C46" s="178"/>
      <c r="D46" s="180" t="s">
        <v>29</v>
      </c>
      <c r="E46" s="181"/>
      <c r="F46" s="181"/>
      <c r="G46" s="181"/>
      <c r="H46" s="181"/>
      <c r="I46" s="181"/>
      <c r="J46" s="181"/>
      <c r="K46" s="181"/>
      <c r="L46" s="182"/>
      <c r="M46" s="165"/>
      <c r="N46" s="273"/>
      <c r="O46" s="159"/>
      <c r="P46" s="159"/>
      <c r="Q46" s="159"/>
      <c r="R46" s="159"/>
      <c r="S46" s="159"/>
      <c r="T46" s="159"/>
      <c r="U46" s="159"/>
    </row>
    <row r="47" spans="1:21" ht="12.75" customHeight="1">
      <c r="A47" s="159"/>
      <c r="B47" s="212"/>
      <c r="C47" s="178"/>
      <c r="D47" s="15" t="s">
        <v>2</v>
      </c>
      <c r="E47" s="16">
        <f>F47+G47+H47+I47+J47+K47+L47</f>
        <v>15912345.879999999</v>
      </c>
      <c r="F47" s="16">
        <v>0</v>
      </c>
      <c r="G47" s="16">
        <v>0</v>
      </c>
      <c r="H47" s="16">
        <v>0</v>
      </c>
      <c r="I47" s="16">
        <v>3849581.11</v>
      </c>
      <c r="J47" s="16">
        <v>3975293.33</v>
      </c>
      <c r="K47" s="16">
        <v>4025224.26</v>
      </c>
      <c r="L47" s="16">
        <v>4062247.18</v>
      </c>
      <c r="M47" s="165"/>
      <c r="N47" s="159"/>
      <c r="O47" s="159"/>
      <c r="P47" s="159"/>
      <c r="Q47" s="159"/>
      <c r="R47" s="159"/>
      <c r="S47" s="159"/>
      <c r="T47" s="159"/>
      <c r="U47" s="159"/>
    </row>
    <row r="48" spans="1:21" ht="12.75" customHeight="1">
      <c r="A48" s="159"/>
      <c r="B48" s="212"/>
      <c r="C48" s="178"/>
      <c r="D48" s="15" t="s">
        <v>0</v>
      </c>
      <c r="E48" s="16">
        <f>I48+J48</f>
        <v>768532.53</v>
      </c>
      <c r="F48" s="16">
        <v>0</v>
      </c>
      <c r="G48" s="16">
        <v>0</v>
      </c>
      <c r="H48" s="16">
        <v>0</v>
      </c>
      <c r="I48" s="16">
        <v>376731.63</v>
      </c>
      <c r="J48" s="16">
        <v>391800.9</v>
      </c>
      <c r="K48" s="16">
        <v>413349.95</v>
      </c>
      <c r="L48" s="16">
        <v>432308.31</v>
      </c>
      <c r="M48" s="165"/>
      <c r="N48" s="159"/>
      <c r="O48" s="159"/>
      <c r="P48" s="159"/>
      <c r="Q48" s="159"/>
      <c r="R48" s="159"/>
      <c r="S48" s="159"/>
      <c r="T48" s="159"/>
      <c r="U48" s="159"/>
    </row>
    <row r="49" spans="1:21" ht="12" customHeight="1">
      <c r="A49" s="159"/>
      <c r="B49" s="212"/>
      <c r="C49" s="178"/>
      <c r="D49" s="15" t="s">
        <v>1</v>
      </c>
      <c r="E49" s="16">
        <f>F49+G49+H49+I49+J49+K49+L49</f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5"/>
      <c r="N49" s="159"/>
      <c r="O49" s="159"/>
      <c r="P49" s="159"/>
      <c r="Q49" s="159"/>
      <c r="R49" s="159"/>
      <c r="S49" s="159"/>
      <c r="T49" s="159"/>
      <c r="U49" s="159"/>
    </row>
    <row r="50" spans="1:21" ht="15" customHeight="1">
      <c r="A50" s="128"/>
      <c r="B50" s="212"/>
      <c r="C50" s="179"/>
      <c r="D50" s="15" t="s">
        <v>3</v>
      </c>
      <c r="E50" s="16">
        <f>F50+G50+H50+I50+J50+K50+L50</f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91"/>
      <c r="N50" s="128"/>
      <c r="O50" s="128"/>
      <c r="P50" s="128"/>
      <c r="Q50" s="128"/>
      <c r="R50" s="128"/>
      <c r="S50" s="128"/>
      <c r="T50" s="128"/>
      <c r="U50" s="128"/>
    </row>
    <row r="51" spans="1:21" ht="12.75" customHeight="1">
      <c r="A51" s="171" t="s">
        <v>58</v>
      </c>
      <c r="B51" s="212" t="s">
        <v>68</v>
      </c>
      <c r="C51" s="177" t="s">
        <v>63</v>
      </c>
      <c r="D51" s="13" t="s">
        <v>4</v>
      </c>
      <c r="E51" s="14">
        <f>E53+E54+E55+E56</f>
        <v>1382380.7</v>
      </c>
      <c r="F51" s="14">
        <f aca="true" t="shared" si="8" ref="F51:L51">F53+F54+F55+F56</f>
        <v>0</v>
      </c>
      <c r="G51" s="14">
        <f t="shared" si="8"/>
        <v>0</v>
      </c>
      <c r="H51" s="14">
        <f t="shared" si="8"/>
        <v>0</v>
      </c>
      <c r="I51" s="14">
        <f t="shared" si="8"/>
        <v>350722.7</v>
      </c>
      <c r="J51" s="14">
        <f t="shared" si="8"/>
        <v>343886</v>
      </c>
      <c r="K51" s="14">
        <f t="shared" si="8"/>
        <v>343886</v>
      </c>
      <c r="L51" s="14">
        <f t="shared" si="8"/>
        <v>343886</v>
      </c>
      <c r="M51" s="164" t="s">
        <v>73</v>
      </c>
      <c r="N51" s="166">
        <v>0</v>
      </c>
      <c r="O51" s="177">
        <v>0</v>
      </c>
      <c r="P51" s="177">
        <v>0</v>
      </c>
      <c r="Q51" s="177">
        <v>20</v>
      </c>
      <c r="R51" s="177">
        <v>10</v>
      </c>
      <c r="S51" s="177">
        <v>26</v>
      </c>
      <c r="T51" s="177">
        <v>26</v>
      </c>
      <c r="U51" s="177" t="s">
        <v>118</v>
      </c>
    </row>
    <row r="52" spans="1:21" ht="12.75" customHeight="1">
      <c r="A52" s="159"/>
      <c r="B52" s="212"/>
      <c r="C52" s="178"/>
      <c r="D52" s="180" t="s">
        <v>29</v>
      </c>
      <c r="E52" s="181"/>
      <c r="F52" s="181"/>
      <c r="G52" s="181"/>
      <c r="H52" s="181"/>
      <c r="I52" s="181"/>
      <c r="J52" s="181"/>
      <c r="K52" s="181"/>
      <c r="L52" s="182"/>
      <c r="M52" s="165"/>
      <c r="N52" s="273"/>
      <c r="O52" s="159"/>
      <c r="P52" s="159"/>
      <c r="Q52" s="159"/>
      <c r="R52" s="159"/>
      <c r="S52" s="159"/>
      <c r="T52" s="159"/>
      <c r="U52" s="159"/>
    </row>
    <row r="53" spans="1:21" ht="12.75" customHeight="1">
      <c r="A53" s="159"/>
      <c r="B53" s="212"/>
      <c r="C53" s="178"/>
      <c r="D53" s="15" t="s">
        <v>2</v>
      </c>
      <c r="E53" s="16">
        <f>F53+G53+H53+I53+J53+K53+L53</f>
        <v>1382380.7</v>
      </c>
      <c r="F53" s="16">
        <v>0</v>
      </c>
      <c r="G53" s="16">
        <v>0</v>
      </c>
      <c r="H53" s="16">
        <v>0</v>
      </c>
      <c r="I53" s="16">
        <f>343886+6836.7</f>
        <v>350722.7</v>
      </c>
      <c r="J53" s="16">
        <v>343886</v>
      </c>
      <c r="K53" s="16">
        <v>343886</v>
      </c>
      <c r="L53" s="16">
        <v>343886</v>
      </c>
      <c r="M53" s="165"/>
      <c r="N53" s="159"/>
      <c r="O53" s="159"/>
      <c r="P53" s="159"/>
      <c r="Q53" s="159"/>
      <c r="R53" s="159"/>
      <c r="S53" s="159"/>
      <c r="T53" s="159"/>
      <c r="U53" s="159"/>
    </row>
    <row r="54" spans="1:21" ht="13.5" customHeight="1">
      <c r="A54" s="159"/>
      <c r="B54" s="212"/>
      <c r="C54" s="178"/>
      <c r="D54" s="15" t="s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5"/>
      <c r="N54" s="159"/>
      <c r="O54" s="159"/>
      <c r="P54" s="159"/>
      <c r="Q54" s="159"/>
      <c r="R54" s="159"/>
      <c r="S54" s="159"/>
      <c r="T54" s="159"/>
      <c r="U54" s="159"/>
    </row>
    <row r="55" spans="1:21" ht="15" customHeight="1">
      <c r="A55" s="159"/>
      <c r="B55" s="212"/>
      <c r="C55" s="178"/>
      <c r="D55" s="15" t="s">
        <v>1</v>
      </c>
      <c r="E55" s="16">
        <f>F55+G55+H55+I55+J55+K55+L55</f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5"/>
      <c r="N55" s="159"/>
      <c r="O55" s="159"/>
      <c r="P55" s="159"/>
      <c r="Q55" s="159"/>
      <c r="R55" s="159"/>
      <c r="S55" s="159"/>
      <c r="T55" s="159"/>
      <c r="U55" s="159"/>
    </row>
    <row r="56" spans="1:21" ht="12.75">
      <c r="A56" s="128"/>
      <c r="B56" s="212"/>
      <c r="C56" s="179"/>
      <c r="D56" s="15" t="s">
        <v>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91"/>
      <c r="N56" s="128"/>
      <c r="O56" s="128"/>
      <c r="P56" s="128"/>
      <c r="Q56" s="128"/>
      <c r="R56" s="128"/>
      <c r="S56" s="128"/>
      <c r="T56" s="128"/>
      <c r="U56" s="128"/>
    </row>
    <row r="57" spans="1:21" ht="12.75">
      <c r="A57" s="171"/>
      <c r="B57" s="174" t="s">
        <v>101</v>
      </c>
      <c r="C57" s="177"/>
      <c r="D57" s="13" t="s">
        <v>4</v>
      </c>
      <c r="E57" s="14">
        <f>E59+E60+E61+E62</f>
        <v>99838462.61999999</v>
      </c>
      <c r="F57" s="14">
        <f aca="true" t="shared" si="9" ref="F57:L57">F59+F60+F61+F62</f>
        <v>12029177.440000001</v>
      </c>
      <c r="G57" s="14">
        <f t="shared" si="9"/>
        <v>13115517.17</v>
      </c>
      <c r="H57" s="14">
        <f t="shared" si="9"/>
        <v>13406218.739999998</v>
      </c>
      <c r="I57" s="14">
        <f t="shared" si="9"/>
        <v>15446912.51</v>
      </c>
      <c r="J57" s="14">
        <f t="shared" si="9"/>
        <v>16013996.39</v>
      </c>
      <c r="K57" s="14">
        <f t="shared" si="9"/>
        <v>14819309.52</v>
      </c>
      <c r="L57" s="65">
        <f t="shared" si="9"/>
        <v>15007330.85</v>
      </c>
      <c r="M57" s="274"/>
      <c r="N57" s="277"/>
      <c r="O57" s="277"/>
      <c r="P57" s="277"/>
      <c r="Q57" s="277"/>
      <c r="R57" s="277"/>
      <c r="S57" s="277"/>
      <c r="T57" s="277"/>
      <c r="U57" s="280"/>
    </row>
    <row r="58" spans="1:21" ht="12.75">
      <c r="A58" s="159"/>
      <c r="B58" s="188"/>
      <c r="C58" s="159"/>
      <c r="D58" s="180" t="s">
        <v>29</v>
      </c>
      <c r="E58" s="181"/>
      <c r="F58" s="181"/>
      <c r="G58" s="181"/>
      <c r="H58" s="181"/>
      <c r="I58" s="181"/>
      <c r="J58" s="181"/>
      <c r="K58" s="181"/>
      <c r="L58" s="181"/>
      <c r="M58" s="275"/>
      <c r="N58" s="278"/>
      <c r="O58" s="278"/>
      <c r="P58" s="278"/>
      <c r="Q58" s="278"/>
      <c r="R58" s="278"/>
      <c r="S58" s="278"/>
      <c r="T58" s="278"/>
      <c r="U58" s="281"/>
    </row>
    <row r="59" spans="1:21" ht="12.75">
      <c r="A59" s="159"/>
      <c r="B59" s="188"/>
      <c r="C59" s="159"/>
      <c r="D59" s="15" t="s">
        <v>2</v>
      </c>
      <c r="E59" s="16">
        <f>F59+G59+H59+I59+J59+K59+L59</f>
        <v>92233776.14999999</v>
      </c>
      <c r="F59" s="16">
        <f>F35</f>
        <v>11937140.3</v>
      </c>
      <c r="G59" s="16">
        <f>G35</f>
        <v>12531817.17</v>
      </c>
      <c r="H59" s="16">
        <f>H35</f>
        <v>12695277.239999998</v>
      </c>
      <c r="I59" s="16">
        <f>I41+I47+I53</f>
        <v>13913100.29</v>
      </c>
      <c r="J59" s="16">
        <f>J41+J47+J53</f>
        <v>14534372.32</v>
      </c>
      <c r="K59" s="16">
        <f>K41+K47+K53</f>
        <v>13250291.87</v>
      </c>
      <c r="L59" s="16">
        <f>L41+L47+L53</f>
        <v>13371776.959999999</v>
      </c>
      <c r="M59" s="275"/>
      <c r="N59" s="278"/>
      <c r="O59" s="278"/>
      <c r="P59" s="278"/>
      <c r="Q59" s="278"/>
      <c r="R59" s="278"/>
      <c r="S59" s="278"/>
      <c r="T59" s="278"/>
      <c r="U59" s="281"/>
    </row>
    <row r="60" spans="1:21" ht="12.75">
      <c r="A60" s="159"/>
      <c r="B60" s="188"/>
      <c r="C60" s="159"/>
      <c r="D60" s="15" t="s">
        <v>0</v>
      </c>
      <c r="E60" s="16">
        <f>F60+G60+H60+I60+J60+K60+L60</f>
        <v>6731353.83</v>
      </c>
      <c r="F60" s="16">
        <v>0</v>
      </c>
      <c r="G60" s="16">
        <f>G36</f>
        <v>477700</v>
      </c>
      <c r="H60" s="16">
        <f>H36</f>
        <v>582512</v>
      </c>
      <c r="I60" s="16">
        <f>I42+I48</f>
        <v>1316946.22</v>
      </c>
      <c r="J60" s="16">
        <f>J42+J48</f>
        <v>1369624.07</v>
      </c>
      <c r="K60" s="16">
        <f>K42+K48</f>
        <v>1459017.65</v>
      </c>
      <c r="L60" s="16">
        <f>L42+L48</f>
        <v>1525553.8900000001</v>
      </c>
      <c r="M60" s="275"/>
      <c r="N60" s="278"/>
      <c r="O60" s="278"/>
      <c r="P60" s="278"/>
      <c r="Q60" s="278"/>
      <c r="R60" s="278"/>
      <c r="S60" s="278"/>
      <c r="T60" s="278"/>
      <c r="U60" s="281"/>
    </row>
    <row r="61" spans="1:21" ht="12.75">
      <c r="A61" s="159"/>
      <c r="B61" s="188"/>
      <c r="C61" s="159"/>
      <c r="D61" s="15" t="s">
        <v>1</v>
      </c>
      <c r="E61" s="16">
        <f>F61+G61+H61+I61+J61+K61+L61</f>
        <v>0</v>
      </c>
      <c r="F61" s="16">
        <v>0</v>
      </c>
      <c r="G61" s="16">
        <v>0</v>
      </c>
      <c r="H61" s="16"/>
      <c r="I61" s="16">
        <v>0</v>
      </c>
      <c r="J61" s="16">
        <v>0</v>
      </c>
      <c r="K61" s="16">
        <v>0</v>
      </c>
      <c r="L61" s="16">
        <v>0</v>
      </c>
      <c r="M61" s="275"/>
      <c r="N61" s="278"/>
      <c r="O61" s="278"/>
      <c r="P61" s="278"/>
      <c r="Q61" s="278"/>
      <c r="R61" s="278"/>
      <c r="S61" s="278"/>
      <c r="T61" s="278"/>
      <c r="U61" s="281"/>
    </row>
    <row r="62" spans="1:21" ht="12.75">
      <c r="A62" s="128"/>
      <c r="B62" s="189"/>
      <c r="C62" s="128"/>
      <c r="D62" s="15" t="s">
        <v>3</v>
      </c>
      <c r="E62" s="16">
        <f>F62+G62+H62+I62+J62+K62+L62</f>
        <v>873332.64</v>
      </c>
      <c r="F62" s="16">
        <f>F38</f>
        <v>92037.14</v>
      </c>
      <c r="G62" s="16">
        <f>G38</f>
        <v>106000</v>
      </c>
      <c r="H62" s="16">
        <f>H38</f>
        <v>128429.5</v>
      </c>
      <c r="I62" s="16">
        <f>I44</f>
        <v>216866</v>
      </c>
      <c r="J62" s="16">
        <f>J44</f>
        <v>110000</v>
      </c>
      <c r="K62" s="16">
        <f>K44</f>
        <v>110000</v>
      </c>
      <c r="L62" s="16">
        <f>L44</f>
        <v>110000</v>
      </c>
      <c r="M62" s="276"/>
      <c r="N62" s="279"/>
      <c r="O62" s="279"/>
      <c r="P62" s="279"/>
      <c r="Q62" s="279"/>
      <c r="R62" s="279"/>
      <c r="S62" s="279"/>
      <c r="T62" s="279"/>
      <c r="U62" s="282"/>
    </row>
    <row r="63" spans="1:21" ht="12.75">
      <c r="A63" s="37">
        <v>3</v>
      </c>
      <c r="B63" s="217" t="s">
        <v>133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67"/>
      <c r="N63" s="267"/>
      <c r="O63" s="267"/>
      <c r="P63" s="267"/>
      <c r="Q63" s="267"/>
      <c r="R63" s="267"/>
      <c r="S63" s="267"/>
      <c r="T63" s="267"/>
      <c r="U63" s="268"/>
    </row>
    <row r="64" spans="1:21" ht="12.75">
      <c r="A64" s="171" t="s">
        <v>32</v>
      </c>
      <c r="B64" s="212" t="s">
        <v>134</v>
      </c>
      <c r="C64" s="177">
        <v>2014</v>
      </c>
      <c r="D64" s="13" t="s">
        <v>4</v>
      </c>
      <c r="E64" s="14">
        <f>E66+E67+E68+E69</f>
        <v>34020</v>
      </c>
      <c r="F64" s="14">
        <f aca="true" t="shared" si="10" ref="F64:L64">F66+F67+F68+F69</f>
        <v>34020</v>
      </c>
      <c r="G64" s="14">
        <f t="shared" si="10"/>
        <v>0</v>
      </c>
      <c r="H64" s="14">
        <f t="shared" si="10"/>
        <v>0</v>
      </c>
      <c r="I64" s="14">
        <f t="shared" si="10"/>
        <v>0</v>
      </c>
      <c r="J64" s="14">
        <f t="shared" si="10"/>
        <v>0</v>
      </c>
      <c r="K64" s="14">
        <f t="shared" si="10"/>
        <v>0</v>
      </c>
      <c r="L64" s="14">
        <f t="shared" si="10"/>
        <v>0</v>
      </c>
      <c r="M64" s="183" t="s">
        <v>135</v>
      </c>
      <c r="N64" s="283">
        <v>81</v>
      </c>
      <c r="O64" s="283">
        <v>0</v>
      </c>
      <c r="P64" s="283">
        <v>0</v>
      </c>
      <c r="Q64" s="283">
        <v>0</v>
      </c>
      <c r="R64" s="283">
        <v>0</v>
      </c>
      <c r="S64" s="283">
        <v>0</v>
      </c>
      <c r="T64" s="283">
        <v>0</v>
      </c>
      <c r="U64" s="166" t="s">
        <v>118</v>
      </c>
    </row>
    <row r="65" spans="1:21" ht="12.75" customHeight="1">
      <c r="A65" s="159"/>
      <c r="B65" s="212"/>
      <c r="C65" s="178"/>
      <c r="D65" s="180" t="s">
        <v>29</v>
      </c>
      <c r="E65" s="181"/>
      <c r="F65" s="181"/>
      <c r="G65" s="181"/>
      <c r="H65" s="181"/>
      <c r="I65" s="181"/>
      <c r="J65" s="181"/>
      <c r="K65" s="181"/>
      <c r="L65" s="182"/>
      <c r="M65" s="184"/>
      <c r="N65" s="284"/>
      <c r="O65" s="284"/>
      <c r="P65" s="284"/>
      <c r="Q65" s="284"/>
      <c r="R65" s="284"/>
      <c r="S65" s="284"/>
      <c r="T65" s="284"/>
      <c r="U65" s="167"/>
    </row>
    <row r="66" spans="1:21" ht="12.75" customHeight="1">
      <c r="A66" s="159"/>
      <c r="B66" s="212"/>
      <c r="C66" s="178"/>
      <c r="D66" s="15" t="s">
        <v>2</v>
      </c>
      <c r="E66" s="16">
        <f>F66+G66+H66+I66+J66+K66+L66</f>
        <v>34020</v>
      </c>
      <c r="F66" s="16">
        <v>34020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84"/>
      <c r="N66" s="284"/>
      <c r="O66" s="284"/>
      <c r="P66" s="284"/>
      <c r="Q66" s="284"/>
      <c r="R66" s="284"/>
      <c r="S66" s="284"/>
      <c r="T66" s="284"/>
      <c r="U66" s="167"/>
    </row>
    <row r="67" spans="1:21" ht="12.75" customHeight="1">
      <c r="A67" s="159"/>
      <c r="B67" s="212"/>
      <c r="C67" s="178"/>
      <c r="D67" s="15" t="s">
        <v>0</v>
      </c>
      <c r="E67" s="16">
        <f>F67+G67+H67+I67+J67+K67+L67</f>
        <v>0</v>
      </c>
      <c r="F67" s="16"/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84"/>
      <c r="N67" s="284"/>
      <c r="O67" s="284"/>
      <c r="P67" s="284"/>
      <c r="Q67" s="284"/>
      <c r="R67" s="284"/>
      <c r="S67" s="284"/>
      <c r="T67" s="284"/>
      <c r="U67" s="167"/>
    </row>
    <row r="68" spans="1:21" ht="12.75" customHeight="1">
      <c r="A68" s="159"/>
      <c r="B68" s="212"/>
      <c r="C68" s="178"/>
      <c r="D68" s="15" t="s">
        <v>1</v>
      </c>
      <c r="E68" s="16">
        <f>F68+G68+H68+I68+J68+K68+L68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84"/>
      <c r="N68" s="284"/>
      <c r="O68" s="284"/>
      <c r="P68" s="284"/>
      <c r="Q68" s="284"/>
      <c r="R68" s="284"/>
      <c r="S68" s="284"/>
      <c r="T68" s="284"/>
      <c r="U68" s="167"/>
    </row>
    <row r="69" spans="1:21" ht="12.75" customHeight="1">
      <c r="A69" s="128"/>
      <c r="B69" s="212"/>
      <c r="C69" s="179"/>
      <c r="D69" s="15" t="s">
        <v>3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84"/>
      <c r="N69" s="284"/>
      <c r="O69" s="284"/>
      <c r="P69" s="284"/>
      <c r="Q69" s="284"/>
      <c r="R69" s="284"/>
      <c r="S69" s="284"/>
      <c r="T69" s="284"/>
      <c r="U69" s="167"/>
    </row>
    <row r="70" spans="1:21" ht="12.75">
      <c r="A70" s="192"/>
      <c r="B70" s="174" t="s">
        <v>104</v>
      </c>
      <c r="C70" s="177"/>
      <c r="D70" s="13" t="s">
        <v>4</v>
      </c>
      <c r="E70" s="14">
        <f>E72+E73+E74+E75</f>
        <v>34020</v>
      </c>
      <c r="F70" s="14">
        <f aca="true" t="shared" si="11" ref="F70:L70">F72+F73+F74+F75</f>
        <v>34020</v>
      </c>
      <c r="G70" s="14">
        <f t="shared" si="11"/>
        <v>0</v>
      </c>
      <c r="H70" s="14">
        <f t="shared" si="11"/>
        <v>0</v>
      </c>
      <c r="I70" s="14">
        <f t="shared" si="11"/>
        <v>0</v>
      </c>
      <c r="J70" s="14">
        <f t="shared" si="11"/>
        <v>0</v>
      </c>
      <c r="K70" s="14">
        <f t="shared" si="11"/>
        <v>0</v>
      </c>
      <c r="L70" s="65">
        <f t="shared" si="11"/>
        <v>0</v>
      </c>
      <c r="M70" s="274"/>
      <c r="N70" s="277"/>
      <c r="O70" s="277"/>
      <c r="P70" s="277"/>
      <c r="Q70" s="277"/>
      <c r="R70" s="277"/>
      <c r="S70" s="277"/>
      <c r="T70" s="277"/>
      <c r="U70" s="285"/>
    </row>
    <row r="71" spans="1:21" ht="12.75">
      <c r="A71" s="192"/>
      <c r="B71" s="188"/>
      <c r="C71" s="178"/>
      <c r="D71" s="180" t="s">
        <v>29</v>
      </c>
      <c r="E71" s="181"/>
      <c r="F71" s="181"/>
      <c r="G71" s="181"/>
      <c r="H71" s="181"/>
      <c r="I71" s="181"/>
      <c r="J71" s="181"/>
      <c r="K71" s="181"/>
      <c r="L71" s="181"/>
      <c r="M71" s="275"/>
      <c r="N71" s="278"/>
      <c r="O71" s="278"/>
      <c r="P71" s="278"/>
      <c r="Q71" s="278"/>
      <c r="R71" s="278"/>
      <c r="S71" s="278"/>
      <c r="T71" s="278"/>
      <c r="U71" s="286"/>
    </row>
    <row r="72" spans="1:21" ht="12.75">
      <c r="A72" s="192"/>
      <c r="B72" s="188"/>
      <c r="C72" s="178"/>
      <c r="D72" s="15" t="s">
        <v>2</v>
      </c>
      <c r="E72" s="16">
        <f>F72+G72+H72+I72+J72+K72+L72</f>
        <v>34020</v>
      </c>
      <c r="F72" s="16">
        <f>F66</f>
        <v>34020</v>
      </c>
      <c r="G72" s="16">
        <f aca="true" t="shared" si="12" ref="G72:L73">G66</f>
        <v>0</v>
      </c>
      <c r="H72" s="16">
        <f t="shared" si="12"/>
        <v>0</v>
      </c>
      <c r="I72" s="16">
        <f t="shared" si="12"/>
        <v>0</v>
      </c>
      <c r="J72" s="16">
        <f t="shared" si="12"/>
        <v>0</v>
      </c>
      <c r="K72" s="16">
        <f t="shared" si="12"/>
        <v>0</v>
      </c>
      <c r="L72" s="66">
        <f t="shared" si="12"/>
        <v>0</v>
      </c>
      <c r="M72" s="275"/>
      <c r="N72" s="278"/>
      <c r="O72" s="278"/>
      <c r="P72" s="278"/>
      <c r="Q72" s="278"/>
      <c r="R72" s="278"/>
      <c r="S72" s="278"/>
      <c r="T72" s="278"/>
      <c r="U72" s="286"/>
    </row>
    <row r="73" spans="1:21" ht="12.75">
      <c r="A73" s="192"/>
      <c r="B73" s="188"/>
      <c r="C73" s="178"/>
      <c r="D73" s="15" t="s">
        <v>0</v>
      </c>
      <c r="E73" s="16">
        <f>F73+G73+H73+I73+J73+K73+L73</f>
        <v>0</v>
      </c>
      <c r="F73" s="16">
        <f>F67</f>
        <v>0</v>
      </c>
      <c r="G73" s="16">
        <f t="shared" si="12"/>
        <v>0</v>
      </c>
      <c r="H73" s="16">
        <f t="shared" si="12"/>
        <v>0</v>
      </c>
      <c r="I73" s="16">
        <f t="shared" si="12"/>
        <v>0</v>
      </c>
      <c r="J73" s="16">
        <f t="shared" si="12"/>
        <v>0</v>
      </c>
      <c r="K73" s="16">
        <f t="shared" si="12"/>
        <v>0</v>
      </c>
      <c r="L73" s="66">
        <f t="shared" si="12"/>
        <v>0</v>
      </c>
      <c r="M73" s="275"/>
      <c r="N73" s="278"/>
      <c r="O73" s="278"/>
      <c r="P73" s="278"/>
      <c r="Q73" s="278"/>
      <c r="R73" s="278"/>
      <c r="S73" s="278"/>
      <c r="T73" s="278"/>
      <c r="U73" s="286"/>
    </row>
    <row r="74" spans="1:21" ht="12.75">
      <c r="A74" s="192"/>
      <c r="B74" s="188"/>
      <c r="C74" s="178"/>
      <c r="D74" s="15" t="s">
        <v>1</v>
      </c>
      <c r="E74" s="16">
        <f>F74+G74+H74+I74+J74+K74+L74</f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66">
        <v>0</v>
      </c>
      <c r="M74" s="275"/>
      <c r="N74" s="278"/>
      <c r="O74" s="278"/>
      <c r="P74" s="278"/>
      <c r="Q74" s="278"/>
      <c r="R74" s="278"/>
      <c r="S74" s="278"/>
      <c r="T74" s="278"/>
      <c r="U74" s="286"/>
    </row>
    <row r="75" spans="1:21" ht="12.75">
      <c r="A75" s="192"/>
      <c r="B75" s="189"/>
      <c r="C75" s="179"/>
      <c r="D75" s="15" t="s">
        <v>3</v>
      </c>
      <c r="E75" s="16">
        <f>F75+G75+H75+I75+J75+K75+L75</f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66">
        <v>0</v>
      </c>
      <c r="M75" s="275"/>
      <c r="N75" s="278"/>
      <c r="O75" s="278"/>
      <c r="P75" s="278"/>
      <c r="Q75" s="278"/>
      <c r="R75" s="278"/>
      <c r="S75" s="278"/>
      <c r="T75" s="278"/>
      <c r="U75" s="286"/>
    </row>
    <row r="76" spans="1:21" s="19" customFormat="1" ht="15.75">
      <c r="A76" s="287"/>
      <c r="B76" s="290" t="s">
        <v>136</v>
      </c>
      <c r="C76" s="254"/>
      <c r="D76" s="67" t="s">
        <v>4</v>
      </c>
      <c r="E76" s="52">
        <f aca="true" t="shared" si="13" ref="E76:L76">E78+E79+E80+E81</f>
        <v>102927694.45</v>
      </c>
      <c r="F76" s="52">
        <f t="shared" si="13"/>
        <v>12533697.440000001</v>
      </c>
      <c r="G76" s="52">
        <f t="shared" si="13"/>
        <v>13562396.45</v>
      </c>
      <c r="H76" s="52">
        <f t="shared" si="13"/>
        <v>13830755.939999998</v>
      </c>
      <c r="I76" s="52">
        <f t="shared" si="13"/>
        <v>15850376.51</v>
      </c>
      <c r="J76" s="52">
        <f t="shared" si="13"/>
        <v>16433598.950000001</v>
      </c>
      <c r="K76" s="52">
        <f t="shared" si="13"/>
        <v>15255696.18</v>
      </c>
      <c r="L76" s="52">
        <f t="shared" si="13"/>
        <v>15461172.98</v>
      </c>
      <c r="M76" s="293"/>
      <c r="N76" s="296"/>
      <c r="O76" s="296"/>
      <c r="P76" s="296"/>
      <c r="Q76" s="296"/>
      <c r="R76" s="296"/>
      <c r="S76" s="296"/>
      <c r="T76" s="296"/>
      <c r="U76" s="302"/>
    </row>
    <row r="77" spans="1:21" s="19" customFormat="1" ht="15.75">
      <c r="A77" s="288"/>
      <c r="B77" s="291"/>
      <c r="C77" s="254"/>
      <c r="D77" s="299" t="s">
        <v>29</v>
      </c>
      <c r="E77" s="300"/>
      <c r="F77" s="300"/>
      <c r="G77" s="300"/>
      <c r="H77" s="300"/>
      <c r="I77" s="300"/>
      <c r="J77" s="300"/>
      <c r="K77" s="300"/>
      <c r="L77" s="301"/>
      <c r="M77" s="294"/>
      <c r="N77" s="297"/>
      <c r="O77" s="297"/>
      <c r="P77" s="297"/>
      <c r="Q77" s="297"/>
      <c r="R77" s="297"/>
      <c r="S77" s="297"/>
      <c r="T77" s="297"/>
      <c r="U77" s="303"/>
    </row>
    <row r="78" spans="1:21" s="19" customFormat="1" ht="15.75">
      <c r="A78" s="288"/>
      <c r="B78" s="291"/>
      <c r="C78" s="254"/>
      <c r="D78" s="51" t="s">
        <v>2</v>
      </c>
      <c r="E78" s="52">
        <f>F78+G78+H78+I78+J78+K78+L78</f>
        <v>95323007.98</v>
      </c>
      <c r="F78" s="53">
        <f>F72+F59+F28</f>
        <v>12441660.3</v>
      </c>
      <c r="G78" s="53">
        <f>G72+G59+G28</f>
        <v>12978696.45</v>
      </c>
      <c r="H78" s="53">
        <f>H72+H59+H28</f>
        <v>13119814.439999998</v>
      </c>
      <c r="I78" s="53">
        <f>I59+I28</f>
        <v>14316564.29</v>
      </c>
      <c r="J78" s="53">
        <f>J59+J28</f>
        <v>14953974.88</v>
      </c>
      <c r="K78" s="53">
        <f>K59+K28</f>
        <v>13686678.53</v>
      </c>
      <c r="L78" s="53">
        <f>L59+L28</f>
        <v>13825619.09</v>
      </c>
      <c r="M78" s="294"/>
      <c r="N78" s="297"/>
      <c r="O78" s="297"/>
      <c r="P78" s="297"/>
      <c r="Q78" s="297"/>
      <c r="R78" s="297"/>
      <c r="S78" s="297"/>
      <c r="T78" s="297"/>
      <c r="U78" s="303"/>
    </row>
    <row r="79" spans="1:21" s="19" customFormat="1" ht="15.75">
      <c r="A79" s="288"/>
      <c r="B79" s="291"/>
      <c r="C79" s="254"/>
      <c r="D79" s="51" t="s">
        <v>0</v>
      </c>
      <c r="E79" s="52">
        <f>F79+G79+H79+I79+J79+K79+L79</f>
        <v>6731353.83</v>
      </c>
      <c r="F79" s="53">
        <f>F29</f>
        <v>0</v>
      </c>
      <c r="G79" s="53">
        <f aca="true" t="shared" si="14" ref="G79:L79">G60</f>
        <v>477700</v>
      </c>
      <c r="H79" s="53">
        <f t="shared" si="14"/>
        <v>582512</v>
      </c>
      <c r="I79" s="53">
        <f t="shared" si="14"/>
        <v>1316946.22</v>
      </c>
      <c r="J79" s="53">
        <f t="shared" si="14"/>
        <v>1369624.07</v>
      </c>
      <c r="K79" s="53">
        <f t="shared" si="14"/>
        <v>1459017.65</v>
      </c>
      <c r="L79" s="53">
        <f t="shared" si="14"/>
        <v>1525553.8900000001</v>
      </c>
      <c r="M79" s="294"/>
      <c r="N79" s="297"/>
      <c r="O79" s="297"/>
      <c r="P79" s="297"/>
      <c r="Q79" s="297"/>
      <c r="R79" s="297"/>
      <c r="S79" s="297"/>
      <c r="T79" s="297"/>
      <c r="U79" s="303"/>
    </row>
    <row r="80" spans="1:21" s="19" customFormat="1" ht="15.75">
      <c r="A80" s="288"/>
      <c r="B80" s="291"/>
      <c r="C80" s="254"/>
      <c r="D80" s="51" t="s">
        <v>1</v>
      </c>
      <c r="E80" s="52">
        <f>F80+G80+H80+I80+J80+K80+L80</f>
        <v>0</v>
      </c>
      <c r="F80" s="53">
        <f>F30</f>
        <v>0</v>
      </c>
      <c r="G80" s="53">
        <f aca="true" t="shared" si="15" ref="G80:L80">G37</f>
        <v>0</v>
      </c>
      <c r="H80" s="53">
        <f t="shared" si="15"/>
        <v>0</v>
      </c>
      <c r="I80" s="53">
        <f t="shared" si="15"/>
        <v>0</v>
      </c>
      <c r="J80" s="53">
        <f t="shared" si="15"/>
        <v>0</v>
      </c>
      <c r="K80" s="53">
        <f t="shared" si="15"/>
        <v>0</v>
      </c>
      <c r="L80" s="53">
        <f t="shared" si="15"/>
        <v>0</v>
      </c>
      <c r="M80" s="294"/>
      <c r="N80" s="297"/>
      <c r="O80" s="297"/>
      <c r="P80" s="297"/>
      <c r="Q80" s="297"/>
      <c r="R80" s="297"/>
      <c r="S80" s="297"/>
      <c r="T80" s="297"/>
      <c r="U80" s="303"/>
    </row>
    <row r="81" spans="1:21" s="19" customFormat="1" ht="15.75">
      <c r="A81" s="289"/>
      <c r="B81" s="292"/>
      <c r="C81" s="254"/>
      <c r="D81" s="51" t="s">
        <v>3</v>
      </c>
      <c r="E81" s="52">
        <f>F81+G81+H81+I81+J81+K81+L81</f>
        <v>873332.64</v>
      </c>
      <c r="F81" s="53">
        <f aca="true" t="shared" si="16" ref="F81:L81">F62</f>
        <v>92037.14</v>
      </c>
      <c r="G81" s="53">
        <f t="shared" si="16"/>
        <v>106000</v>
      </c>
      <c r="H81" s="53">
        <f t="shared" si="16"/>
        <v>128429.5</v>
      </c>
      <c r="I81" s="53">
        <f t="shared" si="16"/>
        <v>216866</v>
      </c>
      <c r="J81" s="53">
        <f t="shared" si="16"/>
        <v>110000</v>
      </c>
      <c r="K81" s="53">
        <f t="shared" si="16"/>
        <v>110000</v>
      </c>
      <c r="L81" s="53">
        <f t="shared" si="16"/>
        <v>110000</v>
      </c>
      <c r="M81" s="295"/>
      <c r="N81" s="298"/>
      <c r="O81" s="298"/>
      <c r="P81" s="298"/>
      <c r="Q81" s="298"/>
      <c r="R81" s="298"/>
      <c r="S81" s="298"/>
      <c r="T81" s="298"/>
      <c r="U81" s="304"/>
    </row>
    <row r="83" ht="12.75">
      <c r="B83" s="4"/>
    </row>
    <row r="84" ht="12.75">
      <c r="B84" s="4"/>
    </row>
    <row r="92" ht="12.75">
      <c r="H92" s="22"/>
    </row>
    <row r="93" ht="12.75">
      <c r="H93" s="22"/>
    </row>
  </sheetData>
  <sheetProtection/>
  <mergeCells count="194">
    <mergeCell ref="P76:P81"/>
    <mergeCell ref="Q76:Q81"/>
    <mergeCell ref="R76:R81"/>
    <mergeCell ref="S76:S81"/>
    <mergeCell ref="T76:T81"/>
    <mergeCell ref="U76:U81"/>
    <mergeCell ref="A76:A81"/>
    <mergeCell ref="B76:B81"/>
    <mergeCell ref="C76:C81"/>
    <mergeCell ref="M76:M81"/>
    <mergeCell ref="N76:N81"/>
    <mergeCell ref="O76:O81"/>
    <mergeCell ref="D77:L77"/>
    <mergeCell ref="P70:P75"/>
    <mergeCell ref="Q70:Q75"/>
    <mergeCell ref="R70:R75"/>
    <mergeCell ref="S70:S75"/>
    <mergeCell ref="T70:T75"/>
    <mergeCell ref="U70:U75"/>
    <mergeCell ref="A70:A75"/>
    <mergeCell ref="B70:B75"/>
    <mergeCell ref="C70:C75"/>
    <mergeCell ref="M70:M75"/>
    <mergeCell ref="N70:N75"/>
    <mergeCell ref="O70:O75"/>
    <mergeCell ref="D71:L71"/>
    <mergeCell ref="Q64:Q69"/>
    <mergeCell ref="R64:R69"/>
    <mergeCell ref="S64:S69"/>
    <mergeCell ref="T64:T69"/>
    <mergeCell ref="U64:U69"/>
    <mergeCell ref="D65:L65"/>
    <mergeCell ref="U57:U62"/>
    <mergeCell ref="D58:L58"/>
    <mergeCell ref="B63:U63"/>
    <mergeCell ref="A64:A69"/>
    <mergeCell ref="B64:B69"/>
    <mergeCell ref="C64:C69"/>
    <mergeCell ref="M64:M69"/>
    <mergeCell ref="N64:N69"/>
    <mergeCell ref="O64:O69"/>
    <mergeCell ref="P64:P69"/>
    <mergeCell ref="O57:O62"/>
    <mergeCell ref="P57:P62"/>
    <mergeCell ref="Q57:Q62"/>
    <mergeCell ref="R57:R62"/>
    <mergeCell ref="S57:S62"/>
    <mergeCell ref="T57:T62"/>
    <mergeCell ref="R51:R56"/>
    <mergeCell ref="S51:S56"/>
    <mergeCell ref="T51:T56"/>
    <mergeCell ref="U51:U56"/>
    <mergeCell ref="D52:L52"/>
    <mergeCell ref="A57:A62"/>
    <mergeCell ref="B57:B62"/>
    <mergeCell ref="C57:C62"/>
    <mergeCell ref="M57:M62"/>
    <mergeCell ref="N57:N62"/>
    <mergeCell ref="U45:U50"/>
    <mergeCell ref="D46:L46"/>
    <mergeCell ref="A51:A56"/>
    <mergeCell ref="B51:B56"/>
    <mergeCell ref="C51:C56"/>
    <mergeCell ref="M51:M56"/>
    <mergeCell ref="N51:N56"/>
    <mergeCell ref="O51:O56"/>
    <mergeCell ref="P51:P56"/>
    <mergeCell ref="Q51:Q56"/>
    <mergeCell ref="O45:O50"/>
    <mergeCell ref="P45:P50"/>
    <mergeCell ref="Q45:Q50"/>
    <mergeCell ref="R45:R50"/>
    <mergeCell ref="S45:S50"/>
    <mergeCell ref="T45:T50"/>
    <mergeCell ref="R39:R44"/>
    <mergeCell ref="S39:S44"/>
    <mergeCell ref="T39:T44"/>
    <mergeCell ref="U39:U44"/>
    <mergeCell ref="D40:L40"/>
    <mergeCell ref="A45:A50"/>
    <mergeCell ref="B45:B50"/>
    <mergeCell ref="C45:C50"/>
    <mergeCell ref="M45:M50"/>
    <mergeCell ref="N45:N50"/>
    <mergeCell ref="T37:T38"/>
    <mergeCell ref="U37:U38"/>
    <mergeCell ref="A39:A44"/>
    <mergeCell ref="B39:B44"/>
    <mergeCell ref="C39:C44"/>
    <mergeCell ref="M39:M44"/>
    <mergeCell ref="N39:N44"/>
    <mergeCell ref="O39:O44"/>
    <mergeCell ref="P39:P44"/>
    <mergeCell ref="Q39:Q44"/>
    <mergeCell ref="S35:S36"/>
    <mergeCell ref="T35:T36"/>
    <mergeCell ref="U35:U36"/>
    <mergeCell ref="M37:M38"/>
    <mergeCell ref="N37:N38"/>
    <mergeCell ref="O37:O38"/>
    <mergeCell ref="P37:P38"/>
    <mergeCell ref="Q37:Q38"/>
    <mergeCell ref="R37:R38"/>
    <mergeCell ref="S37:S38"/>
    <mergeCell ref="S33:S34"/>
    <mergeCell ref="T33:T34"/>
    <mergeCell ref="U33:U34"/>
    <mergeCell ref="D34:L34"/>
    <mergeCell ref="M35:M36"/>
    <mergeCell ref="N35:N36"/>
    <mergeCell ref="O35:O36"/>
    <mergeCell ref="P35:P36"/>
    <mergeCell ref="Q35:Q36"/>
    <mergeCell ref="R35:R36"/>
    <mergeCell ref="B32:U32"/>
    <mergeCell ref="A33:A38"/>
    <mergeCell ref="B33:B38"/>
    <mergeCell ref="C33:C38"/>
    <mergeCell ref="M33:M34"/>
    <mergeCell ref="N33:N34"/>
    <mergeCell ref="O33:O34"/>
    <mergeCell ref="P33:P34"/>
    <mergeCell ref="Q33:Q34"/>
    <mergeCell ref="R33:R34"/>
    <mergeCell ref="P26:P31"/>
    <mergeCell ref="Q26:Q31"/>
    <mergeCell ref="R26:R31"/>
    <mergeCell ref="S26:S31"/>
    <mergeCell ref="T26:T31"/>
    <mergeCell ref="U26:U31"/>
    <mergeCell ref="A26:A31"/>
    <mergeCell ref="B26:B31"/>
    <mergeCell ref="C26:C31"/>
    <mergeCell ref="M26:M31"/>
    <mergeCell ref="N26:N31"/>
    <mergeCell ref="O26:O31"/>
    <mergeCell ref="D27:L27"/>
    <mergeCell ref="P20:P25"/>
    <mergeCell ref="Q20:Q25"/>
    <mergeCell ref="R20:R25"/>
    <mergeCell ref="S20:S25"/>
    <mergeCell ref="T20:T25"/>
    <mergeCell ref="U20:U25"/>
    <mergeCell ref="A20:A25"/>
    <mergeCell ref="B20:B25"/>
    <mergeCell ref="C20:C25"/>
    <mergeCell ref="M20:M25"/>
    <mergeCell ref="N20:N25"/>
    <mergeCell ref="O20:O25"/>
    <mergeCell ref="D21:L21"/>
    <mergeCell ref="Q14:Q19"/>
    <mergeCell ref="R14:R19"/>
    <mergeCell ref="S14:S19"/>
    <mergeCell ref="T14:T19"/>
    <mergeCell ref="U14:U19"/>
    <mergeCell ref="D15:L15"/>
    <mergeCell ref="S10:S12"/>
    <mergeCell ref="T10:T12"/>
    <mergeCell ref="U10:U12"/>
    <mergeCell ref="A14:A19"/>
    <mergeCell ref="B14:B19"/>
    <mergeCell ref="C14:C19"/>
    <mergeCell ref="M14:M19"/>
    <mergeCell ref="N14:N19"/>
    <mergeCell ref="O14:O19"/>
    <mergeCell ref="P14:P19"/>
    <mergeCell ref="R8:R9"/>
    <mergeCell ref="S8:S9"/>
    <mergeCell ref="T8:T9"/>
    <mergeCell ref="U8:U9"/>
    <mergeCell ref="D9:L9"/>
    <mergeCell ref="N10:N12"/>
    <mergeCell ref="O10:O12"/>
    <mergeCell ref="P10:P12"/>
    <mergeCell ref="Q10:Q12"/>
    <mergeCell ref="R10:R12"/>
    <mergeCell ref="B6:U6"/>
    <mergeCell ref="B7:U7"/>
    <mergeCell ref="A8:A13"/>
    <mergeCell ref="B8:B13"/>
    <mergeCell ref="C8:C13"/>
    <mergeCell ref="M8:M13"/>
    <mergeCell ref="N8:N9"/>
    <mergeCell ref="O8:O9"/>
    <mergeCell ref="P8:P9"/>
    <mergeCell ref="Q8:Q9"/>
    <mergeCell ref="A2:U2"/>
    <mergeCell ref="A3:A4"/>
    <mergeCell ref="B3:B4"/>
    <mergeCell ref="C3:C4"/>
    <mergeCell ref="D3:D4"/>
    <mergeCell ref="E3:L3"/>
    <mergeCell ref="M3:T3"/>
    <mergeCell ref="U3:U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1" r:id="rId1"/>
  <rowBreaks count="1" manualBreakCount="1">
    <brk id="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SheetLayoutView="11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2" sqref="K22"/>
    </sheetView>
  </sheetViews>
  <sheetFormatPr defaultColWidth="9.140625" defaultRowHeight="15"/>
  <cols>
    <col min="1" max="1" width="30.140625" style="10" customWidth="1"/>
    <col min="2" max="2" width="14.28125" style="10" customWidth="1"/>
    <col min="3" max="3" width="15.28125" style="10" customWidth="1"/>
    <col min="4" max="4" width="15.00390625" style="10" customWidth="1"/>
    <col min="5" max="6" width="11.8515625" style="10" bestFit="1" customWidth="1"/>
    <col min="7" max="7" width="13.28125" style="10" customWidth="1"/>
    <col min="8" max="9" width="10.7109375" style="10" customWidth="1"/>
    <col min="10" max="11" width="7.421875" style="10" bestFit="1" customWidth="1"/>
    <col min="12" max="12" width="7.421875" style="81" bestFit="1" customWidth="1"/>
    <col min="13" max="13" width="25.421875" style="81" customWidth="1"/>
    <col min="14" max="14" width="7.28125" style="10" customWidth="1"/>
    <col min="15" max="20" width="7.421875" style="10" bestFit="1" customWidth="1"/>
    <col min="21" max="21" width="20.57421875" style="10" customWidth="1"/>
    <col min="22" max="16384" width="9.140625" style="10" customWidth="1"/>
  </cols>
  <sheetData>
    <row r="1" spans="1:9" ht="11.25" customHeight="1">
      <c r="A1" s="23"/>
      <c r="B1" s="77"/>
      <c r="C1" s="77"/>
      <c r="D1" s="23"/>
      <c r="E1" s="24"/>
      <c r="F1" s="78"/>
      <c r="G1" s="129" t="s">
        <v>144</v>
      </c>
      <c r="H1" s="129"/>
      <c r="I1" s="129"/>
    </row>
    <row r="2" spans="1:9" ht="15.75">
      <c r="A2" s="23"/>
      <c r="B2" s="23"/>
      <c r="C2" s="23"/>
      <c r="D2" s="23"/>
      <c r="E2" s="23"/>
      <c r="F2" s="78"/>
      <c r="G2" s="23"/>
      <c r="H2" s="23"/>
      <c r="I2" s="23"/>
    </row>
    <row r="3" spans="1:9" ht="30.75" customHeight="1">
      <c r="A3" s="130" t="s">
        <v>145</v>
      </c>
      <c r="B3" s="130"/>
      <c r="C3" s="130"/>
      <c r="D3" s="130"/>
      <c r="E3" s="130"/>
      <c r="F3" s="130"/>
      <c r="G3" s="130"/>
      <c r="H3" s="130"/>
      <c r="I3" s="130"/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9" ht="12.75">
      <c r="A5" s="234" t="s">
        <v>10</v>
      </c>
      <c r="B5" s="236" t="s">
        <v>11</v>
      </c>
      <c r="C5" s="211" t="s">
        <v>12</v>
      </c>
      <c r="D5" s="211"/>
      <c r="E5" s="211"/>
      <c r="F5" s="211"/>
      <c r="G5" s="211"/>
      <c r="H5" s="211"/>
      <c r="I5" s="211"/>
    </row>
    <row r="6" spans="1:9" ht="12.75">
      <c r="A6" s="235"/>
      <c r="B6" s="237"/>
      <c r="C6" s="42">
        <v>2014</v>
      </c>
      <c r="D6" s="42">
        <v>2015</v>
      </c>
      <c r="E6" s="42">
        <v>2016</v>
      </c>
      <c r="F6" s="42">
        <v>2017</v>
      </c>
      <c r="G6" s="42">
        <v>2018</v>
      </c>
      <c r="H6" s="42">
        <v>2019</v>
      </c>
      <c r="I6" s="2">
        <v>2020</v>
      </c>
    </row>
    <row r="7" spans="1:9" ht="12.75">
      <c r="A7" s="1">
        <v>1</v>
      </c>
      <c r="B7" s="41">
        <v>2</v>
      </c>
      <c r="C7" s="42">
        <v>3</v>
      </c>
      <c r="D7" s="42">
        <v>4</v>
      </c>
      <c r="E7" s="42">
        <v>5</v>
      </c>
      <c r="F7" s="42"/>
      <c r="G7" s="42">
        <v>7</v>
      </c>
      <c r="H7" s="42">
        <v>8</v>
      </c>
      <c r="I7" s="2">
        <v>9</v>
      </c>
    </row>
    <row r="8" spans="1:9" ht="12.75">
      <c r="A8" s="43" t="s">
        <v>146</v>
      </c>
      <c r="B8" s="44">
        <f>B10</f>
        <v>3144148.59</v>
      </c>
      <c r="C8" s="44">
        <f>C10</f>
        <v>1870000</v>
      </c>
      <c r="D8" s="79">
        <f>D10</f>
        <v>1166717.59</v>
      </c>
      <c r="E8" s="79">
        <f>E10</f>
        <v>107431</v>
      </c>
      <c r="F8" s="79">
        <v>0</v>
      </c>
      <c r="G8" s="79">
        <v>0</v>
      </c>
      <c r="H8" s="79">
        <v>0</v>
      </c>
      <c r="I8" s="79">
        <v>0</v>
      </c>
    </row>
    <row r="9" spans="1:9" ht="12.75">
      <c r="A9" s="231" t="s">
        <v>13</v>
      </c>
      <c r="B9" s="232"/>
      <c r="C9" s="232"/>
      <c r="D9" s="232"/>
      <c r="E9" s="232"/>
      <c r="F9" s="232"/>
      <c r="G9" s="232"/>
      <c r="H9" s="232"/>
      <c r="I9" s="233"/>
    </row>
    <row r="10" spans="1:9" ht="19.5" customHeight="1">
      <c r="A10" s="45" t="s">
        <v>14</v>
      </c>
      <c r="B10" s="46">
        <f>SUM(C10:I10)</f>
        <v>3144148.59</v>
      </c>
      <c r="C10" s="46">
        <f>C17+C24</f>
        <v>1870000</v>
      </c>
      <c r="D10" s="46">
        <f aca="true" t="shared" si="0" ref="D10:I10">D17+D24</f>
        <v>1166717.59</v>
      </c>
      <c r="E10" s="46">
        <f t="shared" si="0"/>
        <v>107431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46">
        <f t="shared" si="0"/>
        <v>0</v>
      </c>
    </row>
    <row r="11" spans="1:9" ht="18" customHeight="1">
      <c r="A11" s="45" t="s">
        <v>15</v>
      </c>
      <c r="B11" s="46">
        <v>0</v>
      </c>
      <c r="C11" s="46">
        <v>0</v>
      </c>
      <c r="D11" s="46">
        <v>0</v>
      </c>
      <c r="E11" s="46">
        <v>0</v>
      </c>
      <c r="F11" s="46">
        <f>F18</f>
        <v>0</v>
      </c>
      <c r="G11" s="46">
        <v>0</v>
      </c>
      <c r="H11" s="46">
        <v>0</v>
      </c>
      <c r="I11" s="46">
        <v>0</v>
      </c>
    </row>
    <row r="12" spans="1:9" ht="20.25" customHeight="1">
      <c r="A12" s="45" t="s">
        <v>16</v>
      </c>
      <c r="B12" s="46">
        <f>B19</f>
        <v>0</v>
      </c>
      <c r="C12" s="46">
        <f>C19</f>
        <v>0</v>
      </c>
      <c r="D12" s="46">
        <f>D19</f>
        <v>0</v>
      </c>
      <c r="E12" s="46">
        <f>E19</f>
        <v>0</v>
      </c>
      <c r="F12" s="46">
        <f>F19</f>
        <v>0</v>
      </c>
      <c r="G12" s="46">
        <f>G19</f>
        <v>0</v>
      </c>
      <c r="H12" s="46">
        <f>H19</f>
        <v>0</v>
      </c>
      <c r="I12" s="46">
        <f>I19</f>
        <v>0</v>
      </c>
    </row>
    <row r="13" spans="1:9" ht="18" customHeight="1">
      <c r="A13" s="45" t="s">
        <v>17</v>
      </c>
      <c r="B13" s="46">
        <v>0</v>
      </c>
      <c r="C13" s="46">
        <v>0</v>
      </c>
      <c r="D13" s="46">
        <v>0</v>
      </c>
      <c r="E13" s="46">
        <v>0</v>
      </c>
      <c r="F13" s="46">
        <f>+F20</f>
        <v>0</v>
      </c>
      <c r="G13" s="46">
        <v>0</v>
      </c>
      <c r="H13" s="46">
        <v>0</v>
      </c>
      <c r="I13" s="46">
        <v>0</v>
      </c>
    </row>
    <row r="14" spans="1:9" ht="12.75">
      <c r="A14" s="228" t="s">
        <v>18</v>
      </c>
      <c r="B14" s="229"/>
      <c r="C14" s="229"/>
      <c r="D14" s="229"/>
      <c r="E14" s="229"/>
      <c r="F14" s="229"/>
      <c r="G14" s="229"/>
      <c r="H14" s="229"/>
      <c r="I14" s="230"/>
    </row>
    <row r="15" spans="1:9" ht="51">
      <c r="A15" s="80" t="s">
        <v>30</v>
      </c>
      <c r="B15" s="44">
        <f>B17</f>
        <v>25000</v>
      </c>
      <c r="C15" s="44">
        <f>C17</f>
        <v>0</v>
      </c>
      <c r="D15" s="79">
        <f>D17</f>
        <v>0</v>
      </c>
      <c r="E15" s="79">
        <f>E17</f>
        <v>25000</v>
      </c>
      <c r="F15" s="79">
        <v>0</v>
      </c>
      <c r="G15" s="79">
        <v>0</v>
      </c>
      <c r="H15" s="79">
        <v>0</v>
      </c>
      <c r="I15" s="79">
        <v>0</v>
      </c>
    </row>
    <row r="16" spans="1:9" ht="12.75">
      <c r="A16" s="231" t="s">
        <v>13</v>
      </c>
      <c r="B16" s="232"/>
      <c r="C16" s="232"/>
      <c r="D16" s="232"/>
      <c r="E16" s="232"/>
      <c r="F16" s="232"/>
      <c r="G16" s="232"/>
      <c r="H16" s="232"/>
      <c r="I16" s="233"/>
    </row>
    <row r="17" spans="1:9" ht="17.25" customHeight="1">
      <c r="A17" s="45" t="s">
        <v>14</v>
      </c>
      <c r="B17" s="46">
        <f>C17+D17+E17+F17+G17+H17+I17</f>
        <v>25000</v>
      </c>
      <c r="C17" s="46">
        <v>0</v>
      </c>
      <c r="D17" s="46">
        <v>0</v>
      </c>
      <c r="E17" s="46">
        <f>'[3]табл.3'!H47</f>
        <v>25000</v>
      </c>
      <c r="F17" s="46">
        <v>0</v>
      </c>
      <c r="G17" s="46">
        <v>0</v>
      </c>
      <c r="H17" s="46">
        <v>0</v>
      </c>
      <c r="I17" s="46">
        <v>0</v>
      </c>
    </row>
    <row r="18" spans="1:9" ht="16.5" customHeight="1">
      <c r="A18" s="45" t="s">
        <v>15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</row>
    <row r="19" spans="1:9" ht="16.5" customHeight="1">
      <c r="A19" s="45" t="s">
        <v>16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</row>
    <row r="20" spans="1:9" ht="16.5" customHeight="1">
      <c r="A20" s="45" t="s">
        <v>17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</row>
    <row r="21" spans="1:9" ht="29.25" customHeight="1">
      <c r="A21" s="62" t="s">
        <v>112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</row>
    <row r="22" spans="1:9" ht="38.25">
      <c r="A22" s="80" t="s">
        <v>147</v>
      </c>
      <c r="B22" s="44">
        <f>B24</f>
        <v>3119148.59</v>
      </c>
      <c r="C22" s="44">
        <f>C24</f>
        <v>1870000</v>
      </c>
      <c r="D22" s="79">
        <f>D24</f>
        <v>1166717.59</v>
      </c>
      <c r="E22" s="79">
        <f>E24</f>
        <v>82431</v>
      </c>
      <c r="F22" s="79">
        <v>0</v>
      </c>
      <c r="G22" s="79">
        <v>0</v>
      </c>
      <c r="H22" s="79">
        <v>0</v>
      </c>
      <c r="I22" s="79">
        <v>0</v>
      </c>
    </row>
    <row r="23" spans="1:9" ht="12.75">
      <c r="A23" s="231" t="s">
        <v>13</v>
      </c>
      <c r="B23" s="232"/>
      <c r="C23" s="232"/>
      <c r="D23" s="232"/>
      <c r="E23" s="232"/>
      <c r="F23" s="232"/>
      <c r="G23" s="232"/>
      <c r="H23" s="232"/>
      <c r="I23" s="233"/>
    </row>
    <row r="24" spans="1:9" ht="12.75">
      <c r="A24" s="45" t="s">
        <v>14</v>
      </c>
      <c r="B24" s="46">
        <f>C24+D24+E24+F24+G24+H24+I24</f>
        <v>3119148.59</v>
      </c>
      <c r="C24" s="46">
        <f>'[3]табл.3'!F175</f>
        <v>1870000</v>
      </c>
      <c r="D24" s="46">
        <f>'[3]табл.3'!G175</f>
        <v>1166717.59</v>
      </c>
      <c r="E24" s="46">
        <f>'[3]табл.3'!H35</f>
        <v>82431</v>
      </c>
      <c r="F24" s="46">
        <v>0</v>
      </c>
      <c r="G24" s="46">
        <v>0</v>
      </c>
      <c r="H24" s="46">
        <v>0</v>
      </c>
      <c r="I24" s="46">
        <v>0</v>
      </c>
    </row>
    <row r="25" spans="1:9" ht="12.75">
      <c r="A25" s="45" t="s">
        <v>15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</row>
    <row r="26" spans="1:9" ht="12.75">
      <c r="A26" s="45" t="s">
        <v>16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</row>
    <row r="27" spans="1:9" ht="12.75">
      <c r="A27" s="45" t="s">
        <v>17</v>
      </c>
      <c r="B27" s="46" t="s">
        <v>148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</row>
    <row r="28" spans="1:9" ht="25.5">
      <c r="A28" s="62" t="s">
        <v>112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</row>
  </sheetData>
  <sheetProtection/>
  <mergeCells count="9">
    <mergeCell ref="A14:I14"/>
    <mergeCell ref="A16:I16"/>
    <mergeCell ref="A23:I23"/>
    <mergeCell ref="G1:I1"/>
    <mergeCell ref="A3:I3"/>
    <mergeCell ref="A5:A6"/>
    <mergeCell ref="B5:B6"/>
    <mergeCell ref="C5:I5"/>
    <mergeCell ref="A9:I9"/>
  </mergeCells>
  <printOptions horizontalCentered="1"/>
  <pageMargins left="0.1968503937007874" right="0" top="0.5905511811023623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2017-12-26T08:18:07Z</cp:lastPrinted>
  <dcterms:created xsi:type="dcterms:W3CDTF">2013-06-06T11:09:14Z</dcterms:created>
  <dcterms:modified xsi:type="dcterms:W3CDTF">2017-12-28T09:31:25Z</dcterms:modified>
  <cp:category/>
  <cp:version/>
  <cp:contentType/>
  <cp:contentStatus/>
</cp:coreProperties>
</file>