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2" yWindow="55" windowWidth="11343" windowHeight="9349" tabRatio="775" activeTab="6"/>
  </bookViews>
  <sheets>
    <sheet name="прил 1" sheetId="1" r:id="rId1"/>
    <sheet name="прил4" sheetId="2" r:id="rId2"/>
    <sheet name="прил5" sheetId="3" r:id="rId3"/>
    <sheet name="прил6" sheetId="4" r:id="rId4"/>
    <sheet name="прил7" sheetId="5" r:id="rId5"/>
    <sheet name="прил 8" sheetId="6" r:id="rId6"/>
    <sheet name="прил 9" sheetId="7" r:id="rId7"/>
  </sheets>
  <definedNames>
    <definedName name="_xlnm.Print_Titles" localSheetId="0">'прил 1'!$9:$10</definedName>
    <definedName name="_xlnm.Print_Titles" localSheetId="5">'прил 8'!$7:$8</definedName>
    <definedName name="_xlnm.Print_Titles" localSheetId="6">'прил 9'!$7:$9</definedName>
    <definedName name="_xlnm.Print_Titles" localSheetId="1">'прил4'!$9:$10</definedName>
    <definedName name="_xlnm.Print_Titles" localSheetId="3">'прил6'!$7:$8</definedName>
    <definedName name="_xlnm.Print_Titles" localSheetId="4">'прил7'!$7:$8</definedName>
    <definedName name="_xlnm.Print_Area" localSheetId="0">'прил 1'!$A$1:$D$134</definedName>
  </definedNames>
  <calcPr fullCalcOnLoad="1"/>
</workbook>
</file>

<file path=xl/comments4.xml><?xml version="1.0" encoding="utf-8"?>
<comments xmlns="http://schemas.openxmlformats.org/spreadsheetml/2006/main">
  <authors>
    <author>CvindinaGV</author>
  </authors>
  <commentList>
    <comment ref="A223" authorId="0">
      <text>
        <r>
          <rPr>
            <b/>
            <sz val="9"/>
            <rFont val="Tahoma"/>
            <family val="2"/>
          </rPr>
          <t>CvindinaGV:</t>
        </r>
        <r>
          <rPr>
            <sz val="9"/>
            <rFont val="Tahoma"/>
            <family val="2"/>
          </rPr>
          <t xml:space="preserve">
поправила слово "органов"</t>
        </r>
      </text>
    </comment>
  </commentList>
</comments>
</file>

<file path=xl/comments5.xml><?xml version="1.0" encoding="utf-8"?>
<comments xmlns="http://schemas.openxmlformats.org/spreadsheetml/2006/main">
  <authors>
    <author>CvindinaGV</author>
  </authors>
  <commentList>
    <comment ref="A137" authorId="0">
      <text>
        <r>
          <rPr>
            <b/>
            <sz val="9"/>
            <rFont val="Tahoma"/>
            <family val="2"/>
          </rPr>
          <t>CvindinaGV:</t>
        </r>
        <r>
          <rPr>
            <sz val="9"/>
            <rFont val="Tahoma"/>
            <family val="2"/>
          </rPr>
          <t xml:space="preserve">
поправила слово "органов"</t>
        </r>
      </text>
    </comment>
    <comment ref="G303" authorId="0">
      <text>
        <r>
          <rPr>
            <b/>
            <sz val="8"/>
            <rFont val="Tahoma"/>
            <family val="2"/>
          </rPr>
          <t>CvindinaGV:</t>
        </r>
        <r>
          <rPr>
            <sz val="8"/>
            <rFont val="Tahoma"/>
            <family val="2"/>
          </rPr>
          <t xml:space="preserve">
АПК Безопасный город</t>
        </r>
      </text>
    </comment>
    <comment ref="A640" authorId="0">
      <text>
        <r>
          <rPr>
            <b/>
            <sz val="9"/>
            <rFont val="Tahoma"/>
            <family val="2"/>
          </rPr>
          <t>CvindinaGV:</t>
        </r>
        <r>
          <rPr>
            <sz val="9"/>
            <rFont val="Tahoma"/>
            <family val="2"/>
          </rPr>
          <t xml:space="preserve">
поправила наименование</t>
        </r>
      </text>
    </comment>
    <comment ref="A649" authorId="0">
      <text>
        <r>
          <rPr>
            <b/>
            <sz val="9"/>
            <rFont val="Tahoma"/>
            <family val="2"/>
          </rPr>
          <t>CvindinaGV:</t>
        </r>
        <r>
          <rPr>
            <sz val="9"/>
            <rFont val="Tahoma"/>
            <family val="2"/>
          </rPr>
          <t xml:space="preserve">
поправила наименование</t>
        </r>
      </text>
    </comment>
    <comment ref="A655" authorId="0">
      <text>
        <r>
          <rPr>
            <b/>
            <sz val="9"/>
            <rFont val="Tahoma"/>
            <family val="2"/>
          </rPr>
          <t>CvindinaGV:</t>
        </r>
        <r>
          <rPr>
            <sz val="9"/>
            <rFont val="Tahoma"/>
            <family val="2"/>
          </rPr>
          <t xml:space="preserve">
поправила наименование</t>
        </r>
      </text>
    </comment>
    <comment ref="A355" authorId="0">
      <text>
        <r>
          <rPr>
            <b/>
            <sz val="9"/>
            <rFont val="Tahoma"/>
            <family val="2"/>
          </rPr>
          <t>CvindinaGV:</t>
        </r>
        <r>
          <rPr>
            <sz val="9"/>
            <rFont val="Tahoma"/>
            <family val="2"/>
          </rPr>
          <t xml:space="preserve">
поправила слово "органов"</t>
        </r>
      </text>
    </comment>
    <comment ref="A602" authorId="0">
      <text>
        <r>
          <rPr>
            <b/>
            <sz val="9"/>
            <rFont val="Tahoma"/>
            <family val="2"/>
          </rPr>
          <t>CvindinaGV:</t>
        </r>
        <r>
          <rPr>
            <sz val="9"/>
            <rFont val="Tahoma"/>
            <family val="2"/>
          </rPr>
          <t xml:space="preserve">
поправила слово "органов"</t>
        </r>
      </text>
    </comment>
  </commentList>
</comments>
</file>

<file path=xl/comments6.xml><?xml version="1.0" encoding="utf-8"?>
<comments xmlns="http://schemas.openxmlformats.org/spreadsheetml/2006/main">
  <authors>
    <author>CvindinaGV</author>
  </authors>
  <commentList>
    <comment ref="A1225" authorId="0">
      <text>
        <r>
          <rPr>
            <b/>
            <sz val="9"/>
            <rFont val="Tahoma"/>
            <family val="2"/>
          </rPr>
          <t>CvindinaGV:</t>
        </r>
        <r>
          <rPr>
            <sz val="9"/>
            <rFont val="Tahoma"/>
            <family val="2"/>
          </rPr>
          <t xml:space="preserve">
поправила слово "органов"</t>
        </r>
      </text>
    </comment>
  </commentList>
</comments>
</file>

<file path=xl/sharedStrings.xml><?xml version="1.0" encoding="utf-8"?>
<sst xmlns="http://schemas.openxmlformats.org/spreadsheetml/2006/main" count="14192" uniqueCount="1245">
  <si>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</si>
  <si>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Подпрограмма 6 "Транспортное обслуживание населения ЗАТО Александровск"</t>
  </si>
  <si>
    <t>Подпрограмма 5 "Осуществление муниципальных функций, направленных на повышение эффективности управления муниципальным имуществом"</t>
  </si>
  <si>
    <t>Подпрограмма 2 "Библиотечное дело ЗАТО Александровск"</t>
  </si>
  <si>
    <t>Подпрограмма 8 "Развитие современной инфраструктуры системы образования ЗАТО Александровск"</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</si>
  <si>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</si>
  <si>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</si>
  <si>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</si>
  <si>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</si>
  <si>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</si>
  <si>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</si>
  <si>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</si>
  <si>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</si>
  <si>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Прочие поступления от денежных взысканий (штрафов) и иных сумм в возмещение ущерба</t>
  </si>
  <si>
    <t xml:space="preserve">000 1 16 90040 04 0000 140 </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</si>
  <si>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</si>
  <si>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</si>
  <si>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</si>
  <si>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</si>
  <si>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000 2 02 01000 00 0000 151</t>
  </si>
  <si>
    <t>Дотации бюджетам субъектов Российской Федерации и муниципальных образований</t>
  </si>
  <si>
    <t>000 2 02 01001 00 0000 151</t>
  </si>
  <si>
    <t>000 2 02 01001 04 0000 151</t>
  </si>
  <si>
    <t>000 2 02 01007 00 0000 151</t>
  </si>
  <si>
    <t>Дотации бюджетам, связанные с особым режимом безопасного функционирования закрытых административно-территориальных образований</t>
  </si>
  <si>
    <t>000 2 02 01007 04 0000 151</t>
  </si>
  <si>
    <t>000 2 02 02000 00 0000 151</t>
  </si>
  <si>
    <t>000 2 02 02999 00 0000 151</t>
  </si>
  <si>
    <t>Прочие субсидии</t>
  </si>
  <si>
    <t>000 2 02 02999 04 0000 151</t>
  </si>
  <si>
    <t>Прочие субсидии бюджетам городских округов</t>
  </si>
  <si>
    <t>000 2 02 03000 00 0000 151</t>
  </si>
  <si>
    <t>Субвенции бюджетам субъектов Российской Федерации и муниципальных образований</t>
  </si>
  <si>
    <t>000 2 02 03003 00 0000 151</t>
  </si>
  <si>
    <t>Субвенции бюджетам на государственную регистрацию актов гражданского состояния</t>
  </si>
  <si>
    <t>000 2 02 03003 04 0000 151</t>
  </si>
  <si>
    <t>000 2 02 03999 00 0000 151</t>
  </si>
  <si>
    <t>Прочие субвенции</t>
  </si>
  <si>
    <t>000 2 02 03999 04 0000 151</t>
  </si>
  <si>
    <t>000 2 02 04000 00 0000 151</t>
  </si>
  <si>
    <t>Иные межбюджетные трансферты</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</si>
  <si>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</si>
  <si>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</si>
  <si>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</si>
  <si>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</si>
  <si>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</si>
  <si>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</si>
  <si>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</si>
  <si>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</si>
  <si>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</si>
  <si>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</si>
  <si>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</si>
  <si>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</si>
  <si>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</si>
  <si>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</si>
  <si>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</si>
  <si>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</si>
  <si>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</si>
  <si>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</si>
  <si>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</si>
  <si>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</si>
  <si>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</si>
  <si>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</si>
  <si>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</si>
  <si>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финансовой и бухгалтерской отчетности, обеспечение ее достоверности, контроль деятельности подведомственных учреждений</t>
  </si>
  <si>
    <t>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t>
  </si>
  <si>
    <t>общеобразовательных программ в соответствии с федеральными государственными образовательными стандартами)</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</si>
  <si>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t>
  </si>
  <si>
    <t>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</si>
  <si>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t>
  </si>
  <si>
    <t>которыми сохранено за детьми-сиротами и детьми, оставшимися без попечения родителей</t>
  </si>
  <si>
    <t>Проведение  фестивалей, выставок, смотров, конкурсов, конференций и иных программных мероприятий силами учреждений</t>
  </si>
  <si>
    <t>Муниципальная программа ЗАТО Александровск "Повышение качества жизни отдельных категорий граждан ЗАТО Александровск" на 2014 - 2020 годы</t>
  </si>
  <si>
    <t>Адаптация  муниципальных учреждений культуры (устройство пандусов, поручней, установка кнопок вызова, капитальный ремонт помещений для беспрепятственного доступа)</t>
  </si>
  <si>
    <t>7101200000</t>
  </si>
  <si>
    <t>входящими в состав ЗАТО Александровск</t>
  </si>
  <si>
    <r>
      <t>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t>
    </r>
    <r>
      <rPr>
        <sz val="12"/>
        <color indexed="10"/>
        <rFont val="Times New Roman"/>
        <family val="1"/>
      </rPr>
      <t xml:space="preserve"> </t>
    </r>
  </si>
  <si>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</si>
  <si>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</si>
  <si>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</si>
  <si>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</si>
  <si>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</si>
  <si>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</si>
  <si>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</si>
  <si>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</si>
  <si>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</si>
  <si>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000 1 11 07000 00 0000 120</t>
  </si>
  <si>
    <t>Платежи от государственных и муниципальных унитарных предприятий</t>
  </si>
  <si>
    <t>000 1 11 07010 00 0000 120</t>
  </si>
  <si>
    <t>Муниципальная программа ЗАТО Александровск "Энергоэффективность и развитие энергетики" на 2014 - 2020 годы</t>
  </si>
  <si>
    <t>Муниципальная программа "Развитие инвестиционной деятельности муниципального образования ЗАТО Александровск" на 2014 - 2020 годы</t>
  </si>
  <si>
    <t>Непрограммная деятельность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</si>
  <si>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</si>
  <si>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</si>
  <si>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Подпрограмма 2 "Развитие информационного общества и формирование электронного правительства"</t>
  </si>
  <si>
    <t>Прочие направления деятельности муниципальной программы</t>
  </si>
  <si>
    <t>Подпрограмма 1 "Обеспечение деятельности администрации ЗАТО Александровск"</t>
  </si>
  <si>
    <t>Непрограммная часть</t>
  </si>
  <si>
    <t>Резервный фонд администрации ЗАТО Александровск</t>
  </si>
  <si>
    <t>7531400020</t>
  </si>
  <si>
    <t>8022529990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</si>
  <si>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</si>
  <si>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ЗАТО Александровск "Развитие образования" на 2014 - 2020 годы</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</si>
  <si>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2014 - 2020 годы</t>
  </si>
  <si>
    <t>Муниципальная программа ЗАТО Александровск "Эффективное муниципальное управление" на 2014 - 2020 годы</t>
  </si>
  <si>
    <t>Муниципальная программа "Повышение качества жизни отдельных категорий граждан ЗАТО Александровск" на 2014 - 2020 годы</t>
  </si>
  <si>
    <t>Муниципальная программа ЗАТО Александровск "Развитие физической культуры, спорта и молодежной политики" на 2014 - 2020 годы</t>
  </si>
  <si>
    <t>Муниципальная программа ЗАТО Александровск "Развитие культуры и сохранение культурного наследия" на 2014 - 2020 годы</t>
  </si>
  <si>
    <t>Муниципальная программа "Обеспечение комплексной безопасности населения ЗАТО Александровск" на 2014 - 2020 годы</t>
  </si>
  <si>
    <t>7531100000</t>
  </si>
  <si>
    <t>7531129990</t>
  </si>
  <si>
    <t>Организация и проведение работ по предупреждению и ликвидации чрезвычайных ситуаций и их последствий, гражданская оборона</t>
  </si>
  <si>
    <t>7531400000</t>
  </si>
  <si>
    <t>7531413060</t>
  </si>
  <si>
    <t>Обслуживание МАСЦО ЗАТО Александровск</t>
  </si>
  <si>
    <t>7531600000</t>
  </si>
  <si>
    <t>7531629990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</si>
  <si>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</si>
  <si>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</si>
  <si>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</si>
  <si>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</si>
  <si>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</si>
  <si>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</si>
  <si>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Подпрограмма 6 "Обслуживание деятельности органов местного самоуправления"</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</si>
  <si>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</si>
  <si>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Подпрограмма 1 "Совершенствование финансовой и бюджетной политики"</t>
  </si>
  <si>
    <t>Обслуживание государственного внутреннего и муниципального долга</t>
  </si>
  <si>
    <t>Подпрограмма 2 "Эффективное управление муниципальным долгом"</t>
  </si>
  <si>
    <t>Процентные платежи по муниципальному долгу</t>
  </si>
  <si>
    <t>Содержание автомобильных дорог общего пользования местного значения, за исключением капитального ремонта и ремонта</t>
  </si>
  <si>
    <t>Подпрограмма 1 "Профилактика правонарушений, обеспечение безопасности населения ЗАТО Александровск"</t>
  </si>
  <si>
    <t>Мероприятия по развитию и обслуживанию системы АПК "Безопасный город"</t>
  </si>
  <si>
    <t>Подпрограмма 3 "Защита населения и территории ЗАТО Александровск от чрезвычайных ситуаций, мероприятия в области гражданской обороны"</t>
  </si>
  <si>
    <t>Подпрограмма 8 "Развитие муниципальной службы ЗАТО Александровск"</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</si>
  <si>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</si>
  <si>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Подпрограмма 3 "Музейное дело ЗАТО Александровск"</t>
  </si>
  <si>
    <t>Подпрограмма 2 "Молодежь ЗАТО Александровск"</t>
  </si>
  <si>
    <t>Стипендии и премии главы администрации ЗАТО Александровск</t>
  </si>
  <si>
    <t>Подпрограмма 3 "Патриотическое воспитание граждан"</t>
  </si>
  <si>
    <t>Подпрограмма 3 "Обеспечение деятельности управления культуры, спорта и молодежной политики администрации ЗАТО Александровск"</t>
  </si>
  <si>
    <t>Мероприятия по землеустройству и землепользованию</t>
  </si>
  <si>
    <t>Периодическая печать и издательства</t>
  </si>
  <si>
    <t>Физическая культура и спорт</t>
  </si>
  <si>
    <t>Обслуживание государственного и муниципального долга</t>
  </si>
  <si>
    <t>11</t>
  </si>
  <si>
    <t>Целевая статья</t>
  </si>
  <si>
    <t>Вид расхода</t>
  </si>
  <si>
    <t>Раздел</t>
  </si>
  <si>
    <t>Подраздел</t>
  </si>
  <si>
    <t>контрольно-счетная палата ЗАТО Александровск</t>
  </si>
  <si>
    <t>Подпрограмма 1 "Развитие творческого потенциала и организация досуга населения ЗАТО Александровск"</t>
  </si>
  <si>
    <t>Субсидия муниципальным образованиям на предоставление поддержки малоимущим гражданам на установку приборов учета используемых энергоресурсов (подтвержденные остатки прошлых лет)</t>
  </si>
  <si>
    <t>7807917</t>
  </si>
  <si>
    <t>Охрана объектов растительного и животного мира и среды их обитания</t>
  </si>
  <si>
    <t>Реализация переданных государственных полномочий по опеке и попечительству в отношении несовершеннолетних</t>
  </si>
  <si>
    <t>Субвенция на реализацию Закона  Мурманской области "О наделении органов местного самоуправления муниципальных образований со статусом городского</t>
  </si>
  <si>
    <t>округа и муниципального района отдельными государственными полномочиями по опеке и попечительству в отношении несовершеннолетних"</t>
  </si>
  <si>
    <t>7032100000</t>
  </si>
  <si>
    <t>7032175520</t>
  </si>
  <si>
    <t>Выплата денежного вознаграждения лицам, осуществляющим постинтернатный патронат в отношении несовершеннолетних и социальный патронат</t>
  </si>
  <si>
    <t>7032500000</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</si>
  <si>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</si>
  <si>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7032575350</t>
  </si>
  <si>
    <t>Содержание ребенка в семье опекуна (попечителя) и приемной семье, а также вознаграждение, причитающееся приемному родителю</t>
  </si>
  <si>
    <t>7032600000</t>
  </si>
  <si>
    <t>Субвенция на содержание ребенка в семье опекуна (попечителя) и приемной семье, а также вознаграждение, причитающееся приемному родителю</t>
  </si>
  <si>
    <t>7032675340</t>
  </si>
  <si>
    <t>Улучшение технического состояния и приведение в качественное состояние объектов инфраструктуры и благоустройства на территории ЗАТО Александровск</t>
  </si>
  <si>
    <t>7441300000</t>
  </si>
  <si>
    <t>7441320090</t>
  </si>
  <si>
    <t>7441400000</t>
  </si>
  <si>
    <t>7441429990</t>
  </si>
  <si>
    <t>Подпрограмма 2 "Подготовка объектов и систем жизнеобеспечения ЗАТО Александровск к работе в осенне-зимний период"</t>
  </si>
  <si>
    <t>Подпрограмма 3 "Обеспечение собираемости платежей населения за оказанные жилищно-коммунальные услуги в ЗАТО Александровск"</t>
  </si>
  <si>
    <t>Возмещение убытков по жилищно-коммунальному хозяйству</t>
  </si>
  <si>
    <t>Подпрограмма 4 "Благоустройство территории муниципального образования ЗАТО Александровск"</t>
  </si>
  <si>
    <t>Организация наружного освещения улиц и дворовых территорий муниципального образования</t>
  </si>
  <si>
    <t>Обеспечение сохранности, технического обслуживания и содержания прочих объектов благоустройства</t>
  </si>
  <si>
    <t>Содержание и эксплуатация установленного оборудования АПК "Безопасный город"</t>
  </si>
  <si>
    <t>7511100000</t>
  </si>
  <si>
    <t>7900000000</t>
  </si>
  <si>
    <t>7902300000</t>
  </si>
  <si>
    <t>7902329990</t>
  </si>
  <si>
    <t>Организация работ по проведению оценки рыночной стоимости объектов недвижимого имущества, находящегося в собственности муниципального образования ЗАТО Александровск</t>
  </si>
  <si>
    <t>8221300000</t>
  </si>
  <si>
    <t>8221320140</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</si>
  <si>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</si>
  <si>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</si>
  <si>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</si>
  <si>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</si>
  <si>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</si>
  <si>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</si>
  <si>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000 1 05 01050 01 0000 110</t>
  </si>
  <si>
    <t>Минимальный налог, зачисляемый в бюджеты субъектов Российской Федерации</t>
  </si>
  <si>
    <t>000 1 05 02000 02 0000 110</t>
  </si>
  <si>
    <t>000 1 05 02010 02 0000 110</t>
  </si>
  <si>
    <t>Единый налог на вмененный доход для отдельных видов деятельности</t>
  </si>
  <si>
    <t>000 1 05 02020 02 0000 110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</si>
  <si>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</si>
  <si>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</si>
  <si>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</si>
  <si>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</si>
  <si>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000 1 13 00000 00 0000 000</t>
  </si>
  <si>
    <t>9900051200</t>
  </si>
  <si>
    <t>Улучшение положения и качества жизни инвалидов и других МГН</t>
  </si>
  <si>
    <t>7101600000</t>
  </si>
  <si>
    <t>7101629990</t>
  </si>
  <si>
    <t>Создание условий для повышения эффективности деятельности социально ориентированным некоммерческим организациям инвалидов</t>
  </si>
  <si>
    <t>7101700000</t>
  </si>
  <si>
    <t>Предоставление субсидий социально-ориентрованным некоммерческим организациям</t>
  </si>
  <si>
    <t>7101760040</t>
  </si>
  <si>
    <t>8261113060</t>
  </si>
  <si>
    <t>Содержание муниципального имущества ЗАТО Александровск, закрепленного за МКУ "ЦАХиТО" на праве оперативного управления</t>
  </si>
  <si>
    <t>8262100000</t>
  </si>
  <si>
    <t>8262100020</t>
  </si>
  <si>
    <t>8262200000</t>
  </si>
  <si>
    <t>8262200020</t>
  </si>
  <si>
    <t>Обеспечение безопасных условий труда</t>
  </si>
  <si>
    <t>8281200000</t>
  </si>
  <si>
    <t>Обеспечение выполнения служебного поручения муниципальными служащими вне места постоянной работы</t>
  </si>
  <si>
    <t>8281300000</t>
  </si>
  <si>
    <t>7511200000</t>
  </si>
  <si>
    <t>7511229990</t>
  </si>
  <si>
    <t>7903100000</t>
  </si>
  <si>
    <t>7903129990</t>
  </si>
  <si>
    <t>8251129990</t>
  </si>
  <si>
    <t>Проведение мероприятий по подготовке аукционов, конкурсов, тендеров и т. д. в целях получения дополнительных доходов в местный бюджет</t>
  </si>
  <si>
    <t>8251200000</t>
  </si>
  <si>
    <t>8251200020</t>
  </si>
  <si>
    <t>Своевременное распределение муниципальных жилых помещений гражданам в ЗАТО Александровск</t>
  </si>
  <si>
    <t>8252100000</t>
  </si>
  <si>
    <t>8252100020</t>
  </si>
  <si>
    <t>8252113060</t>
  </si>
  <si>
    <t>Качественное оформление документов граждан и представителей предприятий и организаций по вопросам получения разрешения на въезд на территорию ЗАТО Александровск</t>
  </si>
  <si>
    <t>8253100000</t>
  </si>
  <si>
    <t>8253100020</t>
  </si>
  <si>
    <t>8253113060</t>
  </si>
  <si>
    <t>Обеспечение  выполнения служебного поручения муниципальными служащими вне места постоянной работы</t>
  </si>
  <si>
    <t>Организация ритуальных услуг и содержание мест захоронения</t>
  </si>
  <si>
    <t>7441440010</t>
  </si>
  <si>
    <t>Создание эффективной системы управления в жилищно-коммунальном комплексе, основанной на конкурсном отборе подрядчиков в сфере управления и эксплуатации жилищного фонда, и инженерной инфраструктуры</t>
  </si>
  <si>
    <t>7452100000</t>
  </si>
  <si>
    <t>7452100020</t>
  </si>
  <si>
    <t>7452113060</t>
  </si>
  <si>
    <t>Организация и контроль за качеством предоставления муниципальных услуг</t>
  </si>
  <si>
    <t>7453100000</t>
  </si>
  <si>
    <t>7453100020</t>
  </si>
  <si>
    <t>7601300000</t>
  </si>
  <si>
    <t>7601329990</t>
  </si>
  <si>
    <t>Обеспечение пожарной и электрической безопасности учреждений</t>
  </si>
  <si>
    <t>8221500000</t>
  </si>
  <si>
    <t>8221529990</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</si>
  <si>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t>
  </si>
  <si>
    <t xml:space="preserve"> действующим законодательством Российской Федерации и (или) Мурманской области, контроль за соблюдением законодательства</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</si>
  <si>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t>
  </si>
  <si>
    <t>организаций за конкретными территориальными образованиями, входящими в состав ЗАТО Александровск</t>
  </si>
  <si>
    <t>Предоставление общедоступного бесплатного среднего общего образования по основным общеобразовательным программам в образовательных учреждениях</t>
  </si>
  <si>
    <t>7021300000</t>
  </si>
  <si>
    <t>7021375310</t>
  </si>
  <si>
    <t>7021700000</t>
  </si>
  <si>
    <t>7021700020</t>
  </si>
  <si>
    <t>Содержание имущества  муниципальных образовательных учреждений</t>
  </si>
  <si>
    <t>7021800000</t>
  </si>
  <si>
    <t>7021800020</t>
  </si>
  <si>
    <t>7021900000</t>
  </si>
  <si>
    <t>7021900020</t>
  </si>
  <si>
    <t>Предоставление дополнительного образования детям в учреждениях дополнительного образования детей</t>
  </si>
  <si>
    <t>7022100000</t>
  </si>
  <si>
    <t>7022100020</t>
  </si>
  <si>
    <t>7022170620</t>
  </si>
  <si>
    <t>Приобретение жилья, предоставление субсидий и выдача государственных жилищных сертификатов гражданам, выезжающим за пределы ЗАТО Александровск</t>
  </si>
  <si>
    <t>8252200000</t>
  </si>
  <si>
    <t>8252229990</t>
  </si>
  <si>
    <t>Оплата административных штрафов</t>
  </si>
  <si>
    <t>9900020160</t>
  </si>
  <si>
    <t>Реконструкция детской спортивной школы, г. Снежногорск</t>
  </si>
  <si>
    <t>7081200000</t>
  </si>
  <si>
    <t>7081240010</t>
  </si>
  <si>
    <t>Разработка проектно-сметной документации на создание АПК "Безопасный город"</t>
  </si>
  <si>
    <t>Разработка проекта комплексной системы мониторинга</t>
  </si>
  <si>
    <t>7511300000</t>
  </si>
  <si>
    <t>7511329990</t>
  </si>
  <si>
    <t>7511120110</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</si>
  <si>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</si>
  <si>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</si>
  <si>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</si>
  <si>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хозяйства</t>
  </si>
  <si>
    <t>000 1 16 30030 01 0000 140</t>
  </si>
  <si>
    <t>Прочие денежные взыскания (штрафы) за правонарушения в области дорожного хозяйства</t>
  </si>
  <si>
    <t>000 1 16 33000 00 0000 140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</si>
  <si>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</si>
  <si>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</si>
  <si>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</si>
  <si>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</si>
  <si>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</si>
  <si>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000 1 16 90000 00 0000 140</t>
  </si>
  <si>
    <t>Обеспечение доступа к информации о деятельности органов местного самоуправления с помощью интернет-сайта</t>
  </si>
  <si>
    <t>8022200000</t>
  </si>
  <si>
    <t>8022229990</t>
  </si>
  <si>
    <t>Развитие информационно-технологической инфраструктуры органов местного самоуправления</t>
  </si>
  <si>
    <t>8022300000</t>
  </si>
  <si>
    <t>8022329990</t>
  </si>
  <si>
    <t>Субсидия на техническое сопровождение программного обеспечения "Система автоматизированного рабочего места муниципального образования"</t>
  </si>
  <si>
    <t>8022370570</t>
  </si>
  <si>
    <t>80223S0570</t>
  </si>
  <si>
    <t>Приобретение средств (ЭЦП, VipNet) для подключения к системе межведомственного электронного взаимодействия</t>
  </si>
  <si>
    <t>8022500000</t>
  </si>
  <si>
    <t>Развитие информационно- технологической инфраструктуры муниципальных учреждений</t>
  </si>
  <si>
    <t>8023100000</t>
  </si>
  <si>
    <t>8023129990</t>
  </si>
  <si>
    <t>Защита информационных систем и ресурсов</t>
  </si>
  <si>
    <t>8024100000</t>
  </si>
  <si>
    <t>8024129990</t>
  </si>
  <si>
    <t>Мероприятия по технической защите информации</t>
  </si>
  <si>
    <t>8024200000</t>
  </si>
  <si>
    <t>8024229990</t>
  </si>
  <si>
    <t>Лицензирование программного обеспечения</t>
  </si>
  <si>
    <t>8024300000</t>
  </si>
  <si>
    <t>Реализация Закона Мурманской области «О некоторых вопросах в области регулирования торговой деятельности на территории Мурманской области"</t>
  </si>
  <si>
    <t>8211600000</t>
  </si>
  <si>
    <t>8211675510</t>
  </si>
  <si>
    <t>9900080010</t>
  </si>
  <si>
    <t>8211500000</t>
  </si>
  <si>
    <t>8211400000</t>
  </si>
  <si>
    <t>Управление культуры, спорта и молодежной политики администрации                                                                                                                                                                             ЗАТО Александровск</t>
  </si>
  <si>
    <t>2 02 04025 04 0000 151</t>
  </si>
  <si>
    <t>7030000000</t>
  </si>
  <si>
    <t>7031100000</t>
  </si>
  <si>
    <t>7031106010</t>
  </si>
  <si>
    <t>Контроль и диагностика деятельности муниципальных образовательных учреждений по обеспечению выполнения государственных стандартов образования, создания условий для осуществления присмотра и ухода за детьми</t>
  </si>
  <si>
    <t>7031200000</t>
  </si>
  <si>
    <t>7031206010</t>
  </si>
  <si>
    <t>7031213060</t>
  </si>
  <si>
    <t>7034300000</t>
  </si>
  <si>
    <t>7034306010</t>
  </si>
  <si>
    <t>7034313060</t>
  </si>
  <si>
    <t>7034400000</t>
  </si>
  <si>
    <t>7034406010</t>
  </si>
  <si>
    <t>7034406030</t>
  </si>
  <si>
    <t>7034413060</t>
  </si>
  <si>
    <t>7010000000</t>
  </si>
  <si>
    <t xml:space="preserve">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t>
  </si>
  <si>
    <t>7011100000</t>
  </si>
  <si>
    <t>Субвенция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</si>
  <si>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7011175380</t>
  </si>
  <si>
    <t>7011170620</t>
  </si>
  <si>
    <t>70111S0620</t>
  </si>
  <si>
    <t>Субсидия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</si>
  <si>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7011171030</t>
  </si>
  <si>
    <t>70111S1030</t>
  </si>
  <si>
    <t>Создание условий для осуществления присмотра и ухода за детьми, содержания детей в муниципальных дошкольных образовательных учреждениях</t>
  </si>
  <si>
    <t>7011200000</t>
  </si>
  <si>
    <t>7011200020</t>
  </si>
  <si>
    <t>Содержание недвижимого и особо ценного движимого имущества муниципальных дошкольных образовательных учреждений</t>
  </si>
  <si>
    <t>7011300000</t>
  </si>
  <si>
    <t>7011300020</t>
  </si>
  <si>
    <t>Предоставление социальных гарантий работникам</t>
  </si>
  <si>
    <t>7011400000</t>
  </si>
  <si>
    <t>7011400020</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</si>
  <si>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</si>
  <si>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7011475100</t>
  </si>
  <si>
    <t>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</si>
  <si>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7032275240</t>
  </si>
  <si>
    <t>Организация предоставления и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</si>
  <si>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7032300000</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</si>
  <si>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</si>
  <si>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7032375200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</si>
  <si>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</si>
  <si>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7032375210</t>
  </si>
  <si>
    <t>7032400000</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</si>
  <si>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t>
  </si>
  <si>
    <t>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</si>
  <si>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7032475250</t>
  </si>
  <si>
    <t>Выплата компенсации части родительской платы за присмотр и уход за ребенком в ДОУ</t>
  </si>
  <si>
    <t>Организация и проведение мероприятий, направленных на совершенствование культурно-досуговой сферы молодежной среды</t>
  </si>
  <si>
    <t>7221100000</t>
  </si>
  <si>
    <t>7221129990</t>
  </si>
  <si>
    <t>Обеспечение участия молодежных лидеров и активистов, молодых семей, специалистов в областных, межрегиональных, всероссийских и международных конкурсах, форумах, фестивалях, проектах и других мероприятиях</t>
  </si>
  <si>
    <t>7221200000</t>
  </si>
  <si>
    <t>7221229990</t>
  </si>
  <si>
    <t>Обеспечение функционирования молодежного сайта ЗАТО Александровск "ZatoRozetka"</t>
  </si>
  <si>
    <t>7221300000</t>
  </si>
  <si>
    <t>7221329990</t>
  </si>
  <si>
    <t>Организация и осуществление мероприятий, направленных на самореализацию и социализацию молодежи</t>
  </si>
  <si>
    <t>7231100000</t>
  </si>
  <si>
    <t>7231100020</t>
  </si>
  <si>
    <t>Выполнение работ по вовлечению молодежи в социальную практику, включая гражданско-патриотическое воспитание молодежи</t>
  </si>
  <si>
    <t>7231200000</t>
  </si>
  <si>
    <t>7231200020</t>
  </si>
  <si>
    <t>Организация и проведение культурно-массовых мероприятий в соответствии с годовым планом</t>
  </si>
  <si>
    <t>7311100000</t>
  </si>
  <si>
    <t>7311129990</t>
  </si>
  <si>
    <t>Проведение фестивалей, выставок, смотров, конкурсов, конференций и иных программных мероприятий силами учреждений</t>
  </si>
  <si>
    <t>7312200000</t>
  </si>
  <si>
    <t>7312200020</t>
  </si>
  <si>
    <t>Организация деятельности клубных формирований</t>
  </si>
  <si>
    <t>7313100000</t>
  </si>
  <si>
    <t>7313100020</t>
  </si>
  <si>
    <t>7313170620</t>
  </si>
  <si>
    <t>73131S0620</t>
  </si>
  <si>
    <t>7313171030</t>
  </si>
  <si>
    <t>73131S1030</t>
  </si>
  <si>
    <t>7313200000</t>
  </si>
  <si>
    <t>7313200020</t>
  </si>
  <si>
    <t>7320000000</t>
  </si>
  <si>
    <t>Осуществление библиотечного, библиографического и информационного обслуживания пользователей</t>
  </si>
  <si>
    <t>7321100000</t>
  </si>
  <si>
    <t>7321100020</t>
  </si>
  <si>
    <t>7321170620</t>
  </si>
  <si>
    <t>73211S0620</t>
  </si>
  <si>
    <t>7321171030</t>
  </si>
  <si>
    <t>73211S1030</t>
  </si>
  <si>
    <t>Выполнение работы по формированию и учету фондов библиотек</t>
  </si>
  <si>
    <t>7322100000</t>
  </si>
  <si>
    <t>7322100020</t>
  </si>
  <si>
    <t>7322151440</t>
  </si>
  <si>
    <t>7322200000</t>
  </si>
  <si>
    <t>7322200020</t>
  </si>
  <si>
    <t>Работа по проведению фестивалей, выставок, смотров, конкурсов, конференций, культурно-массовых, просветительских  и иных программных мероприятий силами учреждений</t>
  </si>
  <si>
    <t>7323100000</t>
  </si>
  <si>
    <t>7323100020</t>
  </si>
  <si>
    <t>7330000000</t>
  </si>
  <si>
    <t>Формирование и учет музейного фонда</t>
  </si>
  <si>
    <t>7331100000</t>
  </si>
  <si>
    <t>7331100020</t>
  </si>
  <si>
    <t>Выполнение работ по хранению, изучению и обеспечению сохранности предметов музейного фонда</t>
  </si>
  <si>
    <t>7331200000</t>
  </si>
  <si>
    <t>7331200020</t>
  </si>
  <si>
    <t>Публикация музейных предметов, музейных коллекций путем публичного показа, воспроизведение в печатных изданиях, на электронных и других видах носителей, в том числе в виртуальном режиме</t>
  </si>
  <si>
    <t>7332100000</t>
  </si>
  <si>
    <t>7332100020</t>
  </si>
  <si>
    <t>7332170620</t>
  </si>
  <si>
    <t>73321S0620</t>
  </si>
  <si>
    <t>7313175100</t>
  </si>
  <si>
    <t>7313175110</t>
  </si>
  <si>
    <t>7321175100</t>
  </si>
  <si>
    <t>7321175110</t>
  </si>
  <si>
    <t>7210000000</t>
  </si>
  <si>
    <t>Организация проведения официальных физкультурно-оздоровительных и спортивных мероприятий ЗАТО Александровск</t>
  </si>
  <si>
    <t>7211100000</t>
  </si>
  <si>
    <t>7211129990</t>
  </si>
  <si>
    <t>7212100000</t>
  </si>
  <si>
    <t>7212129990</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</si>
  <si>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</si>
  <si>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</si>
  <si>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Охрана семьи и детства</t>
  </si>
  <si>
    <t xml:space="preserve">                                             Приложение № 8</t>
  </si>
  <si>
    <t>400</t>
  </si>
  <si>
    <t>Осуществление переданных федеральных полномочий по государственной регистрации актов гражданского состояния</t>
  </si>
  <si>
    <t>8211200000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</si>
  <si>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</si>
  <si>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8211259300</t>
  </si>
  <si>
    <t>7530000000</t>
  </si>
  <si>
    <t>Обслуживание автоматической системы контроля за радиационной обстановкой г. Гаджиево, г. Снежногорск</t>
  </si>
  <si>
    <t>8250000000</t>
  </si>
  <si>
    <t>8251100000</t>
  </si>
  <si>
    <t>8251100020</t>
  </si>
  <si>
    <t>8251113060</t>
  </si>
  <si>
    <t>7440000000</t>
  </si>
  <si>
    <t>Организация регулирования численности безнадзорных животных</t>
  </si>
  <si>
    <t>7442200000</t>
  </si>
  <si>
    <t>7442275590</t>
  </si>
  <si>
    <t>Единый налог на вмененный доход для отдельных видов деятельности (за налоговые периоды, истекшие до 1 января 2011 года)</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</si>
  <si>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</si>
  <si>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</si>
  <si>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</si>
  <si>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</si>
  <si>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</si>
  <si>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</si>
  <si>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</si>
  <si>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</si>
  <si>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</si>
  <si>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</si>
  <si>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</si>
  <si>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 xml:space="preserve">Земельный налог </t>
  </si>
  <si>
    <t>Подпрограмма 7 "Обеспечение жильем молодых семей в ЗАТО Александровск"</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</si>
  <si>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</si>
  <si>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</si>
  <si>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</si>
  <si>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</si>
  <si>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</si>
  <si>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</si>
  <si>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</si>
  <si>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</si>
  <si>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</si>
  <si>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 xml:space="preserve">Государственная пошлина за выдачу разрешения на установку рекламной конструкции </t>
  </si>
  <si>
    <t>НЕНАЛОГОВЫЕ ДОХОДЫ</t>
  </si>
  <si>
    <t>000 1 11 00000 00 0000 000</t>
  </si>
  <si>
    <t xml:space="preserve">Организация предоставления общедоступного и бесплатного начального общего, основного общего, среднего общего образования по основным образовательным программам (за исключением государственных полномочий по финансовому обеспечению реализации основных </t>
  </si>
  <si>
    <t>Актуализация нормативных актов ЗАТО Александровск (в пределах своих полномочий), регламентирующих порядок, условия и качество предоставления муниципальных услуг (выполнения работ) подведомственными учреждениями, в соответствии с действующим законодательством</t>
  </si>
  <si>
    <t>7600000000</t>
  </si>
  <si>
    <t xml:space="preserve">Учет детей, подлежащих обучению по образовательным программам дошкольного, начального общего, основного общего и среднего общего образования, закрепление муниципальных образовательных организаций за конкретными территориальными образованиями, </t>
  </si>
  <si>
    <t xml:space="preserve">Распределение бюджетных ассигнований местного бюджета ЗАТО Александровск на реализацию муниципальных  программ ЗАТО Александровск на 2016 год </t>
  </si>
  <si>
    <t>Сумма на 2016 год</t>
  </si>
  <si>
    <t xml:space="preserve">Приложение № 9 </t>
  </si>
  <si>
    <t>Организация участия команд и делегаций спортсменов ЗАТО Александровск в чемпионатах, первенствах, кубках на межрегиональных, областных соревнованиях по различным видам</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</si>
  <si>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</si>
  <si>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7011475110</t>
  </si>
  <si>
    <t>7020000000</t>
  </si>
  <si>
    <t>Предоставление общедоступного бесплатного начального общего образования по основным общеобразовательным программам в образовательных учреждениях</t>
  </si>
  <si>
    <t>7021100000</t>
  </si>
  <si>
    <t>Субвенция на реализацию Закона Мурманской области "О региональных нормативах финансового обеспечения образовательной деятельности в Мурманской области"</t>
  </si>
  <si>
    <t>7021175310</t>
  </si>
  <si>
    <t>Предоставление общедоступного бесплатного основного общего образования по основным общеобразовательным программам в образовательных учреждениях</t>
  </si>
  <si>
    <t>7021200000</t>
  </si>
  <si>
    <t>7021275310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</si>
  <si>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</si>
  <si>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</si>
  <si>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7441340010</t>
  </si>
  <si>
    <t>Денежные взыскания (штрафы) за нарушение законодательства о налогах и сборах</t>
  </si>
  <si>
    <t>000 1 16 03010 01 0000 140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</si>
  <si>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</si>
  <si>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</si>
  <si>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</si>
  <si>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</si>
  <si>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000 1 16 25000 00 0000 140</t>
  </si>
  <si>
    <t>000 1 16 25030 01 0000 140</t>
  </si>
  <si>
    <t>Денежные взыскания (штрафы) за нарушение законодательства Российской Федерации об охране и использовании животного мира</t>
  </si>
  <si>
    <t>000 1 16 25060 01 0000 140</t>
  </si>
  <si>
    <t>Денежные взыскания (штрафы) за нарушение земельного законодательства</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</si>
  <si>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</si>
  <si>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</si>
  <si>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Начисление, учет, контроль за правильностью исчисления, полнотой и своевременностью осуществления неналоговых платежей, а также взыскание задолженности по платежам в бюджет по договорам аренды земельных участком и муниципального имущества (сокращение недоимки)</t>
  </si>
  <si>
    <t>Прочие направления расходов муниципальной программы</t>
  </si>
  <si>
    <t>Предоставление субсидий социально-ориентированным некоммерческим организациям</t>
  </si>
  <si>
    <t>Предоставление субсидий бюджетным, автономным учреждениям и иным некоммерческим организациям</t>
  </si>
  <si>
    <t>Подпрограмма 6 "Школьное здоровое питание"</t>
  </si>
  <si>
    <t>Подпрограмма 4 "Создание и развитие многофункционального центра предоставления государственных и муниципальных услуг ЗАТО Александровск"</t>
  </si>
  <si>
    <t>Подпрограмма 1 "Развитие физической культуры и спорта"</t>
  </si>
  <si>
    <t>Подпрограмма 2 "Обеспечение предоставления муниципальных услуг в сфере общего и дополнительного образования"</t>
  </si>
  <si>
    <t>Подпрограмма 1 "Качественное и доступное дошкольное образование"</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</si>
  <si>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</si>
  <si>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</si>
  <si>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Подпрограмма 3 "Развитие системы образования через эффективное выполнение муниципальных функций"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</si>
  <si>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</si>
  <si>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поступающие в порядке возмещения расходов, понесенных в связи с эксплуатацией имущества городских округов</t>
  </si>
  <si>
    <t>Субвенции бюджетам городских округов на государственную регистрацию актов гражданского состояния</t>
  </si>
  <si>
    <t>Управление образования  администрации ЗАТО Александровск</t>
  </si>
  <si>
    <t>918</t>
  </si>
  <si>
    <t>8024329990</t>
  </si>
  <si>
    <t>Создание условий и организация обустройства мест массового отдыха населения</t>
  </si>
  <si>
    <t>7442100000</t>
  </si>
  <si>
    <t>7442129990</t>
  </si>
  <si>
    <t>7450000000</t>
  </si>
  <si>
    <t>Обеспечение эффективной работы объектов жилищно-коммунальной инфраструктуры</t>
  </si>
  <si>
    <t>7451100000</t>
  </si>
  <si>
    <t>7451100020</t>
  </si>
  <si>
    <t>7451113060</t>
  </si>
  <si>
    <t>9900000020</t>
  </si>
  <si>
    <t>Проектирование и устройство очистных сооружений канализационных сточных вод с целью исключения сброса неочищенных сточных вод в ручей Безымянный №3 г. Снежногорск</t>
  </si>
  <si>
    <t>7602100000</t>
  </si>
  <si>
    <t>7602140010</t>
  </si>
  <si>
    <t>7000000000</t>
  </si>
  <si>
    <t>7080000000</t>
  </si>
  <si>
    <t>Обеспечение выполнения требований СанПиН и технической безопасности учреждений системы образования</t>
  </si>
  <si>
    <t>7082200000</t>
  </si>
  <si>
    <t>7082220090</t>
  </si>
  <si>
    <t>Обеспечение антитеррористической и противокриминальной безопасности учреждений системы образования</t>
  </si>
  <si>
    <t>7082400000</t>
  </si>
  <si>
    <t>7082420090</t>
  </si>
  <si>
    <t>7230000000</t>
  </si>
  <si>
    <t>7233100000</t>
  </si>
  <si>
    <t>7233120090</t>
  </si>
  <si>
    <t>7470000000</t>
  </si>
  <si>
    <t>7471100000</t>
  </si>
  <si>
    <t>Социальное обеспечение и иные выплаты населению</t>
  </si>
  <si>
    <t>300</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</si>
  <si>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</si>
  <si>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</si>
  <si>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</si>
  <si>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</si>
  <si>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 xml:space="preserve">                                             Приложение № 5</t>
  </si>
  <si>
    <t xml:space="preserve">Источники финансирования </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</si>
  <si>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</si>
  <si>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</si>
  <si>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</si>
  <si>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</si>
  <si>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</si>
  <si>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</si>
  <si>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</si>
  <si>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</si>
  <si>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</si>
  <si>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</si>
  <si>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</si>
  <si>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</si>
  <si>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Подпрограмма 5 "Управление развитием системы жилищно-коммунального хозяйства ЗАТО Александровск"</t>
  </si>
  <si>
    <t>Расходы на выплаты по оплате труда главы муниципального образования</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</si>
  <si>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</si>
  <si>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Расходы на выплаты по оплате труда депутатов представительного органа муниципального образования</t>
  </si>
  <si>
    <t>Расходы на выплаты по оплате труда работников органов местного самоуправления</t>
  </si>
  <si>
    <t>Расходы на обеспечение функций работников органов местного самоуправления</t>
  </si>
  <si>
    <t>Расходы на выплаты по оплате труда главы местной администрации</t>
  </si>
  <si>
    <t>Расходы на выплаты по оплате труда руководителя контрольно-счетной палаты муниципального образования и его заместителей</t>
  </si>
  <si>
    <t>Строительство, реконструкция, ремонт и капитальный ремонт автомобильных дорог общего пользования местного значения (на конкурсной основе)</t>
  </si>
  <si>
    <t>7707093</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</si>
  <si>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</si>
  <si>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</si>
  <si>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</si>
  <si>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</si>
  <si>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</si>
  <si>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</si>
  <si>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</si>
  <si>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</si>
  <si>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</si>
  <si>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</si>
  <si>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</si>
  <si>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</si>
  <si>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</si>
  <si>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</si>
  <si>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</si>
  <si>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</si>
  <si>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</si>
  <si>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</si>
  <si>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Код ведомства</t>
  </si>
  <si>
    <t>Субвенция на реализацию Закона Мурманской области "О комиссиях по делам несовершеннолетних и защите их прав в Мурманской области"</t>
  </si>
  <si>
    <t>8211475560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</si>
  <si>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</si>
  <si>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8211575530</t>
  </si>
  <si>
    <t>8030000000</t>
  </si>
  <si>
    <t>Предоставление субсидии из местного бюджета на возмещение затрат на производство и выпуск газеты "Полярный вестник"</t>
  </si>
  <si>
    <t>Возмещение расходов на опубликование нормативных актов ЗАТО Александровск</t>
  </si>
  <si>
    <t>8220000000</t>
  </si>
  <si>
    <t>Реализация функций в сфере управления муниципальным имуществом</t>
  </si>
  <si>
    <t>8221100000</t>
  </si>
  <si>
    <t>8221106010</t>
  </si>
  <si>
    <t>8221106030</t>
  </si>
  <si>
    <t>8221113060</t>
  </si>
  <si>
    <t>Проведение ремонта жилых помещений ветеранов Великой Отечественной войны</t>
  </si>
  <si>
    <t>7101800000</t>
  </si>
  <si>
    <t>7101820090</t>
  </si>
  <si>
    <t>7500000000</t>
  </si>
  <si>
    <t>7510000000</t>
  </si>
  <si>
    <t>7041100020</t>
  </si>
  <si>
    <t>7041300000</t>
  </si>
  <si>
    <t>7041300020</t>
  </si>
  <si>
    <t>7050000000</t>
  </si>
  <si>
    <t>Комплексное и качественное хозяйственно-эксплуатационное обслуживание учреждений системы образования ЗАТО Александровск</t>
  </si>
  <si>
    <t>7051100000</t>
  </si>
  <si>
    <t>7051100020</t>
  </si>
  <si>
    <t>7051300000</t>
  </si>
  <si>
    <t>7051300020</t>
  </si>
  <si>
    <t>7060000000</t>
  </si>
  <si>
    <t>Предоставление бесплатного молока обучающимся в 1-4 классах МОУ</t>
  </si>
  <si>
    <t>7061100000</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</si>
  <si>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</si>
  <si>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7061171040</t>
  </si>
  <si>
    <t>70611S1040</t>
  </si>
  <si>
    <t>Предоставление бесплатного питания отдельным категориям обучающихся МОУ</t>
  </si>
  <si>
    <t>7061200000</t>
  </si>
  <si>
    <t>Субвенция на обеспечение бесплатным питанием отдельных категорий обучающихся</t>
  </si>
  <si>
    <t>7061275320</t>
  </si>
  <si>
    <t>Предоставление социальных гарантий работникам МАУО "КШП"</t>
  </si>
  <si>
    <t>7061500000</t>
  </si>
  <si>
    <t>7061500020</t>
  </si>
  <si>
    <t>7021975100</t>
  </si>
  <si>
    <t>7021975110</t>
  </si>
  <si>
    <t>7032200000</t>
  </si>
  <si>
    <t>Субвенция на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t>
  </si>
  <si>
    <t>000 2 02 04025 00 0000 151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</si>
  <si>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</si>
  <si>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000 2 02 04025 04 0000 151</t>
  </si>
  <si>
    <t>ИТОГО ДОХОДОВ</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</si>
  <si>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1"/>
        <rFont val="Times New Roman"/>
        <family val="1"/>
      </rPr>
      <t>1</t>
    </r>
    <r>
      <rPr>
        <sz val="11"/>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</si>
  <si>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1"/>
        <rFont val="Times New Roman"/>
        <family val="1"/>
      </rPr>
      <t>1</t>
    </r>
    <r>
      <rPr>
        <sz val="11"/>
        <rFont val="Times New Roman"/>
        <family val="1"/>
      </rPr>
      <t xml:space="preserve"> Налогового кодекса Российской Федерации</t>
    </r>
  </si>
  <si>
    <t>8240000000</t>
  </si>
  <si>
    <t>Обеспечение сохранности, комплектования, учета и использования архивных документов</t>
  </si>
  <si>
    <t>8241100000</t>
  </si>
  <si>
    <t>8241100020</t>
  </si>
  <si>
    <t>8241113060</t>
  </si>
  <si>
    <t>Автотранспортная перевозка пассажиров и грузов и сопутствующие ей работы</t>
  </si>
  <si>
    <t>8261100000</t>
  </si>
  <si>
    <t>8261100020</t>
  </si>
  <si>
    <t>8262113060</t>
  </si>
  <si>
    <t>8281100000</t>
  </si>
  <si>
    <t>9900020130</t>
  </si>
  <si>
    <r>
      <t>Денежные взыскания (штрафы) за нарушение законодательства о налогах и сборах, предусмотренные статьями 116, 118, статьей 119</t>
    </r>
    <r>
      <rPr>
        <vertAlign val="superscript"/>
        <sz val="11"/>
        <rFont val="Times New Roman"/>
        <family val="1"/>
      </rPr>
      <t>1</t>
    </r>
    <r>
      <rPr>
        <sz val="11"/>
        <rFont val="Times New Roman"/>
        <family val="1"/>
      </rPr>
      <t>, пунктами 1 и 2 статьи 120, статьями 125, 126, 128, 129, 129</t>
    </r>
    <r>
      <rPr>
        <vertAlign val="superscript"/>
        <sz val="11"/>
        <rFont val="Times New Roman"/>
        <family val="1"/>
      </rPr>
      <t>1</t>
    </r>
    <r>
      <rPr>
        <sz val="11"/>
        <rFont val="Times New Roman"/>
        <family val="1"/>
      </rPr>
      <t>, 132, 133, 134, 135, 135</t>
    </r>
    <r>
      <rPr>
        <vertAlign val="superscript"/>
        <sz val="11"/>
        <rFont val="Times New Roman"/>
        <family val="1"/>
      </rPr>
      <t>1</t>
    </r>
    <r>
      <rPr>
        <sz val="11"/>
        <rFont val="Times New Roman"/>
        <family val="1"/>
      </rPr>
      <t xml:space="preserve"> Налогового кодекса Российской Федерации </t>
    </r>
  </si>
  <si>
    <t>Капитальные вложения в объекты государственной (муниципальной) собственности</t>
  </si>
  <si>
    <t>8230000000</t>
  </si>
  <si>
    <t>Обеспечение исполнения мероприятий в рамках муниципальных программ управления культуры, спорта и молодежной политики</t>
  </si>
  <si>
    <t>8231100000</t>
  </si>
  <si>
    <t>8231106010</t>
  </si>
  <si>
    <t>8231113060</t>
  </si>
  <si>
    <t>7300000000</t>
  </si>
  <si>
    <t>7310000000</t>
  </si>
  <si>
    <t>Реализация программ дополнительного образования в сфере культуры и искусства</t>
  </si>
  <si>
    <t>7312100000</t>
  </si>
  <si>
    <t>7312100020</t>
  </si>
  <si>
    <t>7312170620</t>
  </si>
  <si>
    <t>73121S0620</t>
  </si>
  <si>
    <t>7220000000</t>
  </si>
  <si>
    <t>Выплата премий и стипендий главы администрации ЗАТО Александровск одаренным детям и учащейся молодежи</t>
  </si>
  <si>
    <t>7222100000</t>
  </si>
  <si>
    <t>7222120010</t>
  </si>
  <si>
    <t>Совет депутатов ЗАТО Александровск</t>
  </si>
  <si>
    <t>1 11 05074 04 0000 120</t>
  </si>
  <si>
    <t>Доходы от сдачи в аренду имущества, составляющего казну городских округов (за исключением земельных участков)</t>
  </si>
  <si>
    <t xml:space="preserve">Перечень главных администраторов доходов бюджета ЗАТО Александровск - органов местного самоуправления или органов администрации ЗАТО Александровск с правами юридических лиц </t>
  </si>
  <si>
    <t>Приложение № 1</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</si>
  <si>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</si>
  <si>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</si>
  <si>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</si>
  <si>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Закупка товаров, работ и услуг для обеспечения государственных (муниципальных) нужд</t>
  </si>
  <si>
    <t>9900013060</t>
  </si>
  <si>
    <t>9900003010</t>
  </si>
  <si>
    <t>9900006010</t>
  </si>
  <si>
    <t>8200000000</t>
  </si>
  <si>
    <t>8260000000</t>
  </si>
  <si>
    <t>8262329990</t>
  </si>
  <si>
    <t>8280000000</t>
  </si>
  <si>
    <t>Представительские и иные прочие расходы органа местного самоуправления ЗАТО Александровск</t>
  </si>
  <si>
    <t>8262300000</t>
  </si>
  <si>
    <t>Обеспечение профессиональной подготовки, переподготовки, повышение квалификации муниципальных служащих, участие в семинарах и совещаниях</t>
  </si>
  <si>
    <t>8000000000</t>
  </si>
  <si>
    <t>8020000000</t>
  </si>
  <si>
    <t>Развитие телекоммуникационной инфраструктуры администрации ЗАТО Александровск</t>
  </si>
  <si>
    <t>8021100000</t>
  </si>
  <si>
    <t>8021129990</t>
  </si>
  <si>
    <t>8210000000</t>
  </si>
  <si>
    <t>Осуществление мероприятий по организационному, документационному, правовому, финансово-экономическому обеспечению деятельности администрации ЗАТО Александровск</t>
  </si>
  <si>
    <t>8211100000</t>
  </si>
  <si>
    <t>8211104010</t>
  </si>
  <si>
    <t>8211106010</t>
  </si>
  <si>
    <t>8211106030</t>
  </si>
  <si>
    <t>8211113060</t>
  </si>
  <si>
    <t>7100000000</t>
  </si>
  <si>
    <t>7200000000</t>
  </si>
  <si>
    <t>8040000000</t>
  </si>
  <si>
    <t>Организация предоставления государственных и муниципальных услуг по принципу "одного окна"</t>
  </si>
  <si>
    <t xml:space="preserve">Реализация Закона Мурманской области "Об административных комиссиях" </t>
  </si>
  <si>
    <t>8211300000</t>
  </si>
  <si>
    <t>8211375540</t>
  </si>
  <si>
    <t>Субвенция на реализацию Закона Мурманской области "Об административных комиссиях"</t>
  </si>
  <si>
    <t>8211375550</t>
  </si>
  <si>
    <t>Ведомственная структура расходов местного бюджета ЗАТО Александровск по главным распорядителям бюджетных средств,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2016 год</t>
  </si>
  <si>
    <t>9900000000</t>
  </si>
  <si>
    <t>9900001010</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</si>
  <si>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</si>
  <si>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</si>
  <si>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</si>
  <si>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</si>
  <si>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</si>
  <si>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</si>
  <si>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</si>
  <si>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</si>
  <si>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</si>
  <si>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</si>
  <si>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</si>
  <si>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Прочие расходы администрации ЗАТО Александровск</t>
  </si>
  <si>
    <t>9900005010</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</si>
  <si>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</si>
  <si>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Подпрограмма 4 "Обеспечение информационно-методического сопровождения образовательного процесса муниципальных учреждений"</t>
  </si>
  <si>
    <t>Подпрограмма 5 "Обеспечение хозяйственно-эксплуатационного обслуживания учреждений системы образования ЗАТО Александровск"</t>
  </si>
  <si>
    <t>Подпрограмма 7 "Организация отдыха, оздоровления и занятости детей и молодежи ЗАТО Александровск"</t>
  </si>
  <si>
    <t>Мероприятия, связанные со строительством (реконструкцией) объектов муниципальной собственности</t>
  </si>
  <si>
    <t>Возмещение затрат в связи с осуществлением регулярных пассажирских перевозок на социально-значимых маршрутах</t>
  </si>
  <si>
    <t>Подпрограмма 1 "Капитальный ремонт многоквартирных домов ЗАТО Александровск"</t>
  </si>
  <si>
    <t>Капитальный и текущий ремонт объектов муниципальной собственности</t>
  </si>
  <si>
    <t>Капитальный и текущий ремонт объектов жилищно-коммунального хозяйства</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</si>
  <si>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</si>
  <si>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</si>
  <si>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000 2 02 03027 00 0000 151</t>
  </si>
  <si>
    <t>Субвенции бюджетам на содержание ребенка в семье опекуна и приемной семье, а также вознаграждение, причитающееся приемному родителю</t>
  </si>
  <si>
    <t>000 2 02 03027 04 0000 151</t>
  </si>
  <si>
    <t>000 2 02 03029 00 0000 151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</si>
  <si>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</si>
  <si>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000 2 02 03029 04 0000 151</t>
  </si>
  <si>
    <t>Судебная система</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</si>
  <si>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</si>
  <si>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7442275600</t>
  </si>
  <si>
    <t>7700000000</t>
  </si>
  <si>
    <t>7701100000</t>
  </si>
  <si>
    <t>Содержание автомобильных дорог общего пользования на территории ЗАТО Александровск в соответствии с требованием ГОСТ  Р 50597-93</t>
  </si>
  <si>
    <t>7702100000</t>
  </si>
  <si>
    <t>7702120050</t>
  </si>
  <si>
    <t>7702129990</t>
  </si>
  <si>
    <t>Организация работ по проведению кадастровых работ объектов недвижимого имущества, в том числе земельные участки с постановкой объектов на государственный кадастр недвижимости</t>
  </si>
  <si>
    <t>8221200000</t>
  </si>
  <si>
    <t>8221220150</t>
  </si>
  <si>
    <t>8270000000</t>
  </si>
  <si>
    <t>Сбор информации об объекте: акт обследования  технического состояния объекта (дефектный акт), составление проекта производства работ, технического состояния  объекта, сметы</t>
  </si>
  <si>
    <t>8271100000</t>
  </si>
  <si>
    <t>8271100020</t>
  </si>
  <si>
    <t>Проведение процедуры размещения аукционной документации на электронной площадке с последующим заключением муниципальных контрактов на выполнение работ в области капитального строительства и капитального ремонта по результатам торгов</t>
  </si>
  <si>
    <t>8271200000</t>
  </si>
  <si>
    <t>8271200020</t>
  </si>
  <si>
    <t>8271213060</t>
  </si>
  <si>
    <t>Своевременный и постоянный контроль за ведением строительства и капитального ремонта, соблюдение норм правил СНиПов, сроков работ, применение качественных материалов, недопущение брака в ремонтных и строительных работах, соблюдение безопасности строительства</t>
  </si>
  <si>
    <t>8271300000</t>
  </si>
  <si>
    <t>8271300020</t>
  </si>
  <si>
    <t>7410000000</t>
  </si>
  <si>
    <t>7800000000</t>
  </si>
  <si>
    <t>Восстановление эксплуатационных характеристик помещений в целях сбережения энергоресурсов</t>
  </si>
  <si>
    <t>7801800000</t>
  </si>
  <si>
    <t>7801829990</t>
  </si>
  <si>
    <t>7420000000</t>
  </si>
  <si>
    <t>Капитальный ремонт сетей водоснабжения</t>
  </si>
  <si>
    <t>7421100000</t>
  </si>
  <si>
    <t>7421120100</t>
  </si>
  <si>
    <t>7421129990</t>
  </si>
  <si>
    <t>7430000000</t>
  </si>
  <si>
    <t>Предоставление субсидии на возмещение расходов, связанных с невозможностью взыскания задолженности по безнадежным долгам и за пустующий муниципальный фонд</t>
  </si>
  <si>
    <t>7432100000</t>
  </si>
  <si>
    <t>7432200000</t>
  </si>
  <si>
    <t>7432160030</t>
  </si>
  <si>
    <t>Оплата за содержание, текущий ремонт и коммунальные услуги по пустующему муниципальному жилищному фонду</t>
  </si>
  <si>
    <t>7432229990</t>
  </si>
  <si>
    <t>Улучшение качества освещения улиц на территории муниципального образования ЗАТО Александровск</t>
  </si>
  <si>
    <t>7441100000</t>
  </si>
  <si>
    <t>7441120060</t>
  </si>
  <si>
    <t>Повышение качества организации содержания лестничных сходов, детских площадок, тротуаров, дорожек и дворовых территорий муниципального образования ЗАТО Александровск</t>
  </si>
  <si>
    <t>7441200000</t>
  </si>
  <si>
    <t>7441220070</t>
  </si>
  <si>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2"/>
        <rFont val="Times New Roman"/>
        <family val="1"/>
      </rPr>
      <t xml:space="preserve"> </t>
    </r>
    <r>
      <rPr>
        <i/>
        <sz val="12"/>
        <rFont val="Times New Roman"/>
        <family val="1"/>
      </rPr>
      <t>земельного законодательства, лесного законодательства, водного законодательства</t>
    </r>
  </si>
  <si>
    <t>Субсидии бюджетам бюджетной системы Российской Федерации (межбюджетные субсидии)</t>
  </si>
  <si>
    <t>Функционирование высшего должностного лица субъекта Российской Федерации и муниципального образования</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</si>
  <si>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</si>
  <si>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</si>
  <si>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</si>
  <si>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</si>
  <si>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Штрафы, санкции, возмещение ущерба</t>
  </si>
  <si>
    <t>000 1 16 03000 00 0000 140</t>
  </si>
  <si>
    <t>Контрольно-счетная палата ЗАТО Александровск</t>
  </si>
  <si>
    <t>Объем поступлений доходов местного бюджета ЗАТО Александровск                                                                                                                                                                            на 2016 год</t>
  </si>
  <si>
    <t>000 2 02 03007 00 0000 151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</si>
  <si>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</si>
  <si>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000 2 02 03007 04 0000 151</t>
  </si>
  <si>
    <t>2 02 03007 04 0000 151</t>
  </si>
  <si>
    <t>Субсидии бюджетам муниципальных образований на реализацию мероприятий, направленных на снижение негативного воздействия отходов производства и потребления на природную среду (подтвержденные остатки прошлых лет)</t>
  </si>
  <si>
    <t>7607911</t>
  </si>
  <si>
    <t>Адресная программа поэтапного перехода на отпуск ресурсопотреблений в соответствии с показаниями коллективных приборов учета (подтвержденные остатки прошлых лет)</t>
  </si>
  <si>
    <t>7807918</t>
  </si>
  <si>
    <t>Доходы бюджетов городских округов от возврата автономными учреждениями остатков субсидий прошлых лет</t>
  </si>
  <si>
    <t>2 19 04000 04 0000 151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</si>
  <si>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</si>
  <si>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В пояснительную</t>
  </si>
  <si>
    <t>Изменения в областной бюджет нет в росписи</t>
  </si>
  <si>
    <t>Изм. В областной бюджет есть в росписи</t>
  </si>
  <si>
    <t>Изм. В областной бюджет нет в росписи</t>
  </si>
  <si>
    <t>учтено в росписи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</si>
  <si>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</si>
  <si>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</si>
  <si>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</si>
  <si>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</si>
  <si>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</si>
  <si>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</si>
  <si>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</si>
  <si>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</si>
  <si>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</si>
  <si>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</si>
  <si>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</si>
  <si>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</si>
  <si>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</si>
  <si>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</si>
  <si>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</si>
  <si>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</si>
  <si>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</si>
  <si>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</si>
  <si>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000 1 05 01000 00 0000 110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</si>
  <si>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</si>
  <si>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Субсидия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</si>
  <si>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</si>
  <si>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</si>
  <si>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</si>
  <si>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</si>
  <si>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</si>
  <si>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</si>
  <si>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доходы от компенсации затрат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</si>
  <si>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</si>
  <si>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Прочие субвенции бюджетам городских округов</t>
  </si>
  <si>
    <t>000 1 06 06030 00 0000 110</t>
  </si>
  <si>
    <t>Земельный налог с организаций</t>
  </si>
  <si>
    <t>000 1 06 06032 04 0000 110</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</si>
  <si>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</si>
  <si>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</si>
  <si>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</si>
  <si>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</si>
  <si>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</si>
  <si>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Бюджетные кредиты от других бюджетов бюджетной системы Российской Федерации в валюте Российской Федерации</t>
  </si>
  <si>
    <t>2.1.1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</si>
  <si>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</si>
  <si>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</si>
  <si>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2.1.2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</si>
  <si>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</si>
  <si>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</si>
  <si>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</si>
  <si>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</si>
  <si>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</si>
  <si>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</si>
  <si>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</si>
  <si>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</si>
  <si>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</si>
  <si>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3</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</si>
  <si>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</si>
  <si>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</si>
  <si>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</si>
  <si>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</si>
  <si>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</si>
  <si>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</si>
  <si>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3.2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</si>
  <si>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</si>
  <si>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</si>
  <si>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</si>
  <si>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</si>
  <si>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</si>
  <si>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</si>
  <si>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</si>
  <si>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</si>
  <si>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Сельское хозяйство и рыболовство</t>
  </si>
  <si>
    <t>Субвенция на осуществление деятельности по отлову и содержанию безнадзорных животных</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</si>
  <si>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</si>
  <si>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</si>
  <si>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</si>
  <si>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 xml:space="preserve">                                             Приложение № 6</t>
  </si>
  <si>
    <t xml:space="preserve">                                             Приложение № 7</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</si>
  <si>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</si>
  <si>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</si>
  <si>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</si>
  <si>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</si>
  <si>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от 25 декабря 2015 года № 62</t>
  </si>
  <si>
    <t>Оказание финансовой поддержки субъектам МСП (предоставление грантов начинающим предпринимателям на создание собственного бизнеса)</t>
  </si>
  <si>
    <t xml:space="preserve">Выплаты по решениям судов и оплата государственной пошлины </t>
  </si>
  <si>
    <t>9900099990</t>
  </si>
  <si>
    <t>Строительство детского сада  на 300 мест в г.Гаджиево</t>
  </si>
  <si>
    <t>7081100000</t>
  </si>
  <si>
    <t>7081140010</t>
  </si>
  <si>
    <t>70221S0620</t>
  </si>
  <si>
    <t>7022300000</t>
  </si>
  <si>
    <t>7022300020</t>
  </si>
  <si>
    <t>7021171030</t>
  </si>
  <si>
    <t>70211S1030</t>
  </si>
  <si>
    <t>7021271030</t>
  </si>
  <si>
    <t>70212S1030</t>
  </si>
  <si>
    <t>7070000000</t>
  </si>
  <si>
    <t>Организация отдыха и оздоровления детей в возрасте от 6 до 18 лет</t>
  </si>
  <si>
    <t>7071100000</t>
  </si>
  <si>
    <t>7071129990</t>
  </si>
  <si>
    <t>Предоставление питания детям, находящимся в оздоровительном лагере дневного пребывания в МОУ</t>
  </si>
  <si>
    <t>7071200000</t>
  </si>
  <si>
    <t>Субсидия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</si>
  <si>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7071271050</t>
  </si>
  <si>
    <t>70712S1050</t>
  </si>
  <si>
    <t>7040000000</t>
  </si>
  <si>
    <t>Информационно-методическое сопровождение образовательного процесса учреждений системы образования ЗАТО Александровск</t>
  </si>
  <si>
    <t>7041100000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</si>
  <si>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</si>
  <si>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000 1 11 07014 04 0000 120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</si>
  <si>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</si>
  <si>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</si>
  <si>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</si>
  <si>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</si>
  <si>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</si>
  <si>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</si>
  <si>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</si>
  <si>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</si>
  <si>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</si>
  <si>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</si>
  <si>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</si>
  <si>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</si>
  <si>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</si>
  <si>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</si>
  <si>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</si>
  <si>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</si>
  <si>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</si>
  <si>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Доходы от оказания платных услуг (работ) и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</si>
  <si>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</si>
  <si>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</si>
  <si>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000 1 13 02064 04 0000 130</t>
  </si>
  <si>
    <t>000 1 13 02990 00 0000 130</t>
  </si>
  <si>
    <t>Прочие доходы от компенсации затрат государства</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</si>
  <si>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</si>
  <si>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</si>
  <si>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</si>
  <si>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</si>
  <si>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</si>
  <si>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</si>
  <si>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</si>
  <si>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000 1 16 00000 00 0000 000</t>
  </si>
  <si>
    <t>7400000000</t>
  </si>
  <si>
    <t>7460000000</t>
  </si>
  <si>
    <t>Сохранение гарантированного и качественного транспортного обслуживания населения по социально значимым маршрутам в границах территории ЗАТО Александровск</t>
  </si>
  <si>
    <t>7461100000</t>
  </si>
  <si>
    <t>7461160010</t>
  </si>
  <si>
    <t>Обеспечение перевозок обучающихся государственных областных и муниципальных образовательных организаций городским и пригородным автомобильным транспортом общего пользования</t>
  </si>
  <si>
    <t>7462100000</t>
  </si>
  <si>
    <t>Субвенция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</si>
  <si>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7462176600</t>
  </si>
  <si>
    <t>8010000000</t>
  </si>
  <si>
    <t>Предоставление комплексных услуг по созданию, поддержке, развитию информационно- телекоммуникационной инфраструктуры в органах местного самоуправления и муниципальных казенных учреждениях</t>
  </si>
  <si>
    <t>8011100000</t>
  </si>
  <si>
    <t>8011100020</t>
  </si>
  <si>
    <t>8011113060</t>
  </si>
  <si>
    <t>Обеспечение доступа  работников к сети Интернет</t>
  </si>
  <si>
    <t>8022100000</t>
  </si>
  <si>
    <t>8022129990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</si>
  <si>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</si>
  <si>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Управление образования администрации ЗАТО Александровск</t>
  </si>
  <si>
    <t>2 02 03027 04 0000 151</t>
  </si>
  <si>
    <t>2 02 03029 04 0000 151</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</si>
  <si>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2016 год</t>
  </si>
  <si>
    <t>Доходы от компенсации затрат государства</t>
  </si>
  <si>
    <t>000 1 13 02000 00 0000 130</t>
  </si>
  <si>
    <t>000 1 13 02994 04 0000 130</t>
  </si>
  <si>
    <t xml:space="preserve">                                             Приложение № 4</t>
  </si>
  <si>
    <t>Коды бюджетной классификации Российской Федерации</t>
  </si>
  <si>
    <t>Наименование доходов</t>
  </si>
  <si>
    <t>000 1 00 00000 00 0000 000</t>
  </si>
  <si>
    <t>НАЛОГОВЫЕ И НЕНАЛОГОВЫЕ ДОХОДЫ</t>
  </si>
  <si>
    <t>НАЛОГОВЫЕ ДОХОДЫ</t>
  </si>
  <si>
    <t>из них:</t>
  </si>
  <si>
    <t>000 1 01 00000 00 0000 000</t>
  </si>
  <si>
    <t>Налоги на прибыль, доходы</t>
  </si>
  <si>
    <t>000 1 01 02000 01 0000 110</t>
  </si>
  <si>
    <t>Налог на доходы физических лиц</t>
  </si>
  <si>
    <t>000 1 01 02010 01 0000 110</t>
  </si>
  <si>
    <t>000 1 01 02020 01 0000 110</t>
  </si>
  <si>
    <t>Код бюджетной классификации Российской Федерации</t>
  </si>
  <si>
    <t>Наименование главного администратора (администратора) доходов местного бюджета</t>
  </si>
  <si>
    <t>код главного администратора</t>
  </si>
  <si>
    <t>код дохода</t>
  </si>
  <si>
    <t>Администрация ЗАТО Александровск</t>
  </si>
  <si>
    <t>1 11 07014 04 0000 120</t>
  </si>
  <si>
    <t>1 13 02064 04 0000 130</t>
  </si>
  <si>
    <t>1 14 02043 04 0000 410</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</si>
  <si>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</si>
  <si>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</si>
  <si>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2 02 03003 04 0000 151</t>
  </si>
  <si>
    <t>Государственная пошлина за выдачу разрешения на установку рекламной конструкции</t>
  </si>
  <si>
    <t>1 11 05012 04 0000 120</t>
  </si>
  <si>
    <t>1 11 05024 04 0000 120</t>
  </si>
  <si>
    <t>1 11 05034 04 0000 120</t>
  </si>
  <si>
    <t>1 11 09044 04 0000 120</t>
  </si>
  <si>
    <t>2 02 01001 04 0000 151</t>
  </si>
  <si>
    <t>2 02 01007 04 0000151</t>
  </si>
  <si>
    <t>2 08 04000 04 0000 180</t>
  </si>
  <si>
    <t>Муниципальная программа ЗАТО Александровск "Информационное общество" на 2014 - 2020 годы</t>
  </si>
  <si>
    <t>Муниципальная программа ЗАТО Александровск "Обеспечение комфортной среды проживания населения муниципального образования" на 2014 - 2020 годы</t>
  </si>
  <si>
    <t>Муниципальная программа "Развитие транспортной системы ЗАТО Александровск" на 2014 - 2020 годы</t>
  </si>
  <si>
    <t>Муниципальная программа ЗАТО Александровск "Охрана окружающей среды" на 2014 - 2020 годы</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</si>
  <si>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</si>
  <si>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Дорожное хозяйство (дорожные фонды)</t>
  </si>
  <si>
    <t>Иные бюджетные ассигнования</t>
  </si>
  <si>
    <t>8110000000</t>
  </si>
  <si>
    <t>8100000000</t>
  </si>
  <si>
    <t>Нормативно-методическое обеспечение и организация бюджетного процесса в ЗАТО Александровск</t>
  </si>
  <si>
    <t>8111100000</t>
  </si>
  <si>
    <t>8111106010</t>
  </si>
  <si>
    <t>8111113060</t>
  </si>
  <si>
    <t>Организация и осуществление контроля и надзора в финансово-бюджетной сфере</t>
  </si>
  <si>
    <t>8112100000</t>
  </si>
  <si>
    <t>8112106010</t>
  </si>
  <si>
    <t>9900020220</t>
  </si>
  <si>
    <t>8120000000</t>
  </si>
  <si>
    <t>Исполнение принятых обязательств по погашению и обслуживанию долговых обязательств ЗАТО Александровск</t>
  </si>
  <si>
    <t>8122100000</t>
  </si>
  <si>
    <t>8122120120</t>
  </si>
  <si>
    <t xml:space="preserve">Иные доходы местного бюджета, администрирование которых может осуществляться главными администраторами доходов - органами местного самоуправления или органами администрации ЗАТО Александровск с правами юридических лиц, в пределах их компетенции </t>
  </si>
  <si>
    <t xml:space="preserve"> 1 13 02994 04 0000 130</t>
  </si>
  <si>
    <t>1 16 90040 04 0000 140</t>
  </si>
  <si>
    <t>1 17 01040 04 0000 180</t>
  </si>
  <si>
    <t>Невыясненные поступления, зачисляемые в бюджеты городских округов</t>
  </si>
  <si>
    <t>2 02 02999 04 0000 151</t>
  </si>
  <si>
    <t>2 02 03999 04 0000 151</t>
  </si>
  <si>
    <t>2 18 04010 04 0000 180</t>
  </si>
  <si>
    <t>Доходы бюджетов городских округов от возврата бюджетными учреждениями остатков субсидий прошлых лет</t>
  </si>
  <si>
    <t>2 18 04020 04 0000 180</t>
  </si>
  <si>
    <t>Изменение остатков средств на счетах по учету средств бюджетов</t>
  </si>
  <si>
    <t>ИТОГО ИСТОЧНИКИ ВНУТРЕННЕГО ФИНАНСИРОВАНИЯ ДЕФИЦИТОВ БЮДЖЕТОВ</t>
  </si>
  <si>
    <t>дефицита местного бюджета ЗАТО Александровск на 2016 год</t>
  </si>
  <si>
    <t>Обеспечение проведения выборов и референдумов</t>
  </si>
  <si>
    <t>Проведение выборов в представительный орган местного самоуправления</t>
  </si>
  <si>
    <t>9900005100</t>
  </si>
  <si>
    <t>7011600000</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</si>
  <si>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</si>
  <si>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7011675370</t>
  </si>
  <si>
    <t>Организация мер по предоставлению и выплате компенсации части родительской платы за присмотр и уход за ребенком в ДОУ</t>
  </si>
  <si>
    <t>7011500000</t>
  </si>
  <si>
    <t>Субвенция на расходы, связанные с выплатой компенсации родительской платы за присмотр и уход за детьми, посещающими образовательные организации,</t>
  </si>
  <si>
    <t>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</si>
  <si>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7011575360</t>
  </si>
  <si>
    <t>7081129990</t>
  </si>
  <si>
    <t>Взносы на обеспечение реализации региональной программы капитального ремонта общего имущества в многоквартирных домах в части жилых муниципальных помещений</t>
  </si>
  <si>
    <t>7413100000</t>
  </si>
  <si>
    <t>Субсидия на софинансирование расходных обязательств муниципальных образований на оплату взносов на капитальный ремонт за муниципальный жилой фонд в многоквартирных домах Мурманской области</t>
  </si>
  <si>
    <t>74131S0850</t>
  </si>
  <si>
    <t>Взносы на обеспечение реализации региональной программы капитального ремонта общего имущества в многоквартирных домах в части нежилых муниципальных помещений</t>
  </si>
  <si>
    <t>7413200000</t>
  </si>
  <si>
    <t>7082229990</t>
  </si>
  <si>
    <t>Субсидия на строительство, реконструкцию, ремонт и капитальный ремонт автомобильных дорог общего пользования местного значения (на конкурсной основе)</t>
  </si>
  <si>
    <t>77011S0930</t>
  </si>
  <si>
    <t>7702120090</t>
  </si>
  <si>
    <t>Ремонт квартир</t>
  </si>
  <si>
    <t>7412300000</t>
  </si>
  <si>
    <t>7412320090</t>
  </si>
  <si>
    <t>Взносы на проведение капитального ремонта общего имущества многоквартирных домов</t>
  </si>
  <si>
    <t>7413220950</t>
  </si>
  <si>
    <t>Аварийно-восстановительные работы по ремонту кровли МБОУ СОШ №266, г. Снежногорск, ул. Флотская, д.10</t>
  </si>
  <si>
    <t>7082600000</t>
  </si>
  <si>
    <t>7082620090</t>
  </si>
  <si>
    <t>7011229990</t>
  </si>
  <si>
    <t>Материально-техническое обеспечение органов местного самоуправления ЗАТО Александровск</t>
  </si>
  <si>
    <t>8262229990</t>
  </si>
  <si>
    <t xml:space="preserve"> 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</si>
  <si>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</si>
  <si>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Выполнение комплекса работ по разработке природоохранных, социально-экономических и других мероприятий, связанных с обращением отходов производства и потребления на территории ЗАТО Александровск</t>
  </si>
  <si>
    <t>Разработка технической документации с целью сбалансированного перспективного развития объектов, функционально обеспечивающих нормальную жизнедеятельность населения муниципального образования ЗАТО Александровск"</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</si>
  <si>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</si>
  <si>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</si>
  <si>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1 08 07150 01 0000 110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</si>
  <si>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</si>
  <si>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</si>
  <si>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8281306030</t>
  </si>
  <si>
    <t>8281106030</t>
  </si>
  <si>
    <t>8281206030</t>
  </si>
  <si>
    <t>Ремонт автомобильных дорог общего пользования и междомовых проездов ЗАТО Александровск</t>
  </si>
  <si>
    <t>7701170930</t>
  </si>
  <si>
    <t>7451129990</t>
  </si>
  <si>
    <t>7082429990</t>
  </si>
  <si>
    <t>Подпрограмма 4 "Сохранение и реконструкция военно-мемориальных объектов ЗАТО Александровск"</t>
  </si>
  <si>
    <t>7340000000</t>
  </si>
  <si>
    <t>Капитальный ремонт мемориального комплекса "Морская душа"</t>
  </si>
  <si>
    <t>7342200000</t>
  </si>
  <si>
    <t>7342220090</t>
  </si>
  <si>
    <t>Приобретение, установка, ремонт и замена приборов учета тепла, воды и электроэнергии</t>
  </si>
  <si>
    <t>7801500000</t>
  </si>
  <si>
    <t>7801520090</t>
  </si>
  <si>
    <t>Подпрограмма 4 "Профилактика экстремизма и терроризма в ЗАТО Александровск"</t>
  </si>
  <si>
    <t>7540000000</t>
  </si>
  <si>
    <t>Повышение технической оснащенности административного здания администрации ЗАТО Александровск</t>
  </si>
  <si>
    <t>7541100000</t>
  </si>
  <si>
    <t>7541129990</t>
  </si>
  <si>
    <t>9900020090</t>
  </si>
  <si>
    <t>1 13 01994 04 0000 130</t>
  </si>
  <si>
    <t>Прочие доходы от оказания платных услуг (работ) получателями средств бюджетов городских округов</t>
  </si>
  <si>
    <t>2 02 02041 04 0000 151</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</si>
  <si>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</si>
  <si>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</si>
  <si>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</si>
  <si>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</si>
  <si>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</si>
  <si>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000 1 13 01994 04 0000 130</t>
  </si>
  <si>
    <t>000 2 02 02041 00 0000 151</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</si>
  <si>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</si>
  <si>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000 2 02 02041 04 0000 151</t>
  </si>
  <si>
    <t>Дотации бюджетам городских округов на выравнивание бюджетной обеспеченности</t>
  </si>
  <si>
    <t>Дотации на выравнивание бюджетной обеспеченности</t>
  </si>
  <si>
    <t>Земельный налог с физических лиц, обладающих земельным участком, расположенным в границах городских округов</t>
  </si>
  <si>
    <t>Налог, взимаемый в связи с применением упрощенной системы налогообложения</t>
  </si>
  <si>
    <t>Предоставление социальных выплат молодым семьям, нуждающимся в улучшении жилищных условий</t>
  </si>
  <si>
    <t>Выполнение работы по библиографической обработке документов и организации каталогов</t>
  </si>
  <si>
    <t>Комплектование книжных фондов библиотек муниципальных образований и государственных библиотек городов Москвы и Санкт-Петербурга</t>
  </si>
  <si>
    <t>Проведение оценки рыночной стоимости нежилых помещений, арендуемых субъектами МСП</t>
  </si>
  <si>
    <t xml:space="preserve">Осуществление в установленном порядке сбора, обработки и анализа статистической, финансовой и бухгалтерской отчетности подведомственных муниципальных учреждений, предоставление в соответствующие органы консолидированной статистической, </t>
  </si>
  <si>
    <t>7413170850</t>
  </si>
  <si>
    <t xml:space="preserve">Организация ограничения доступа в законсервированные дома на территории ЗАТО Александровск </t>
  </si>
  <si>
    <t>7442300000</t>
  </si>
  <si>
    <t>7442329990</t>
  </si>
  <si>
    <t>Расходы областного бюджета на реализацию мероприятия подпрограммы "Обеспечение жильем молодых семей" федеральной целевой программы "Жилище" на 2015-2020 годы</t>
  </si>
  <si>
    <t>74711L0200</t>
  </si>
  <si>
    <t>74711R0200</t>
  </si>
  <si>
    <t>Мероприятия государственной программы Российской Федерации "Доступная среда" на 2011-2020 годы</t>
  </si>
  <si>
    <t>71012L0270</t>
  </si>
  <si>
    <t>7101250270</t>
  </si>
  <si>
    <t>Государственная поддержка лучших работников муниципальных учреждений культуры, находящихся на территориях сельских поселений</t>
  </si>
  <si>
    <t>7313151480</t>
  </si>
  <si>
    <t>Подпрограмма 3 «Обеспечение деятельности управления культуры, спорта и молодежной политики администрации ЗАТО Александровск»</t>
  </si>
  <si>
    <t>8231129990</t>
  </si>
  <si>
    <t>Реконструкция и ремонт Мемориальный комплекс на воинском захоронении моряков- подводников АПЛ К- 19, погибших в океане 24.02.1972г.</t>
  </si>
  <si>
    <t>7342400000</t>
  </si>
  <si>
    <t>7342429990</t>
  </si>
  <si>
    <t>Подпрограмма 5 "Модернизация учреждений культуры и дополнительного образования в сфере культуры ЗАТО Александровск"</t>
  </si>
  <si>
    <t>7350000000</t>
  </si>
  <si>
    <t>Обеспечение пожарной и электрической безопасности учреждений культуры и дополнительного образования в сфере культуры</t>
  </si>
  <si>
    <t>7351100000</t>
  </si>
  <si>
    <t>7351129990</t>
  </si>
  <si>
    <t xml:space="preserve">Модернизация и обслуживание сетей теплоснабжения (замена системы отопления на полипропиленновые трубы, замена радиаторов, установка терморегуляторов на отопительные приборы, установка системы приточно- </t>
  </si>
  <si>
    <t>вытяжных установок с рециркуляцией тепла, промывкы и опрессовка системы теплоснабжения)</t>
  </si>
  <si>
    <t>7801400000</t>
  </si>
  <si>
    <t>7801429990</t>
  </si>
  <si>
    <t>Расходы на единовременное поощрение за многолетнюю безупречную муниципальную службу, выплачиваемое муниципальным служащим</t>
  </si>
  <si>
    <t>8211108210</t>
  </si>
  <si>
    <t xml:space="preserve">Модернизация и обслуживание сетей теплоснабжения (замена системы отопления на полипропиленновые трубы, замена радиаторов, установка </t>
  </si>
  <si>
    <t>8041100000</t>
  </si>
  <si>
    <t>8041100020</t>
  </si>
  <si>
    <t>8031100000</t>
  </si>
  <si>
    <t>8031160070</t>
  </si>
  <si>
    <t>Обеспечение информирования населения, организаций (предприятий) по вопросам социально-экономического и культурного развития ЗАТО Александровск</t>
  </si>
  <si>
    <t>8031200000</t>
  </si>
  <si>
    <t>8031229990</t>
  </si>
  <si>
    <t xml:space="preserve">915 </t>
  </si>
  <si>
    <t>2 02 02008 04 0000 151</t>
  </si>
  <si>
    <t>Субсидии бюджетам городских округов на обеспечение жильем молодых семей</t>
  </si>
  <si>
    <t>2 02 02051 04 0000 151</t>
  </si>
  <si>
    <t>Субсидии бюджетам городских округов на реализацию федеральных целевых программ</t>
  </si>
  <si>
    <t>2 02 04053 04 0000 151</t>
  </si>
  <si>
    <t xml:space="preserve">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
</t>
  </si>
  <si>
    <t>000 2 02 02008 00 0000 151</t>
  </si>
  <si>
    <t>Субсидии бюджетам на обеспечение жильем молодых семей</t>
  </si>
  <si>
    <t>000 2 02 02008 04 0000 151</t>
  </si>
  <si>
    <t>000 2 02 02051 00 0000 151</t>
  </si>
  <si>
    <t>Субсидии бюджетам на реализацию федеральных целевых программ</t>
  </si>
  <si>
    <t>000 2 02 02051 04 0000 151</t>
  </si>
  <si>
    <t>000 2 02 04053 00 0000 151</t>
  </si>
  <si>
    <t xml:space="preserve">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
</t>
  </si>
  <si>
    <t>000 2 02 04053 04 0000 151</t>
  </si>
  <si>
    <t>Приобретение автобусов</t>
  </si>
  <si>
    <t>7463100000</t>
  </si>
  <si>
    <t>7463129990</t>
  </si>
  <si>
    <t>7323151480</t>
  </si>
  <si>
    <t>Ремонт кровли здания ДОФ г. Гаджиево</t>
  </si>
  <si>
    <t>7801900000</t>
  </si>
  <si>
    <t>7801920090</t>
  </si>
  <si>
    <t>Изготовление и выдача карт маршрута регулярных перевозок установленного образца</t>
  </si>
  <si>
    <t>7461200000</t>
  </si>
  <si>
    <t>7461229990</t>
  </si>
  <si>
    <t>Оценка финансовой поддержки субъектам МСП (предоставление грантов начинающим предпринимателям на создание собственного бизнеса)</t>
  </si>
  <si>
    <t>79031S0640</t>
  </si>
  <si>
    <t>Создание условий безопасной среды для проживания в ЗАТО Александровск</t>
  </si>
  <si>
    <t>7442400000</t>
  </si>
  <si>
    <t>7442429990</t>
  </si>
  <si>
    <t xml:space="preserve">Устройство контейнерных площадок для сбора твердых бытовых отходов крупногабаритного мусора </t>
  </si>
  <si>
    <t>7601100000</t>
  </si>
  <si>
    <t>7601129990</t>
  </si>
  <si>
    <t>Материальное обеспечение допуска лиц не проживающих на территории ЗАТО Александровск охраняемой контролируемой зоны (изготовление бланков)</t>
  </si>
  <si>
    <t>7541300000</t>
  </si>
  <si>
    <t>7541329990</t>
  </si>
  <si>
    <t>7903150640</t>
  </si>
  <si>
    <t>Государственная поддержка малого и среднего предпринимательства, включая крестьянские (фермерские) хозяйства</t>
  </si>
  <si>
    <t>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</si>
  <si>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</si>
  <si>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</si>
  <si>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</si>
  <si>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</si>
  <si>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</si>
  <si>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000 1 16 23000 00 0000 140</t>
  </si>
  <si>
    <t xml:space="preserve">Доходы от возмещения ущерба при возникновении страховых случаев </t>
  </si>
  <si>
    <t>000 1 16 23041 04 0000 140</t>
  </si>
  <si>
    <t>000 2 02 02009 00 0000 151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</si>
  <si>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</si>
  <si>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000 2 02 02009 04 0000 151</t>
  </si>
  <si>
    <t xml:space="preserve"> 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</si>
  <si>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 xml:space="preserve">в ред. решения Совета депутатов ЗАТО Александровскот 22.09.2016 № 56  </t>
  </si>
  <si>
    <t xml:space="preserve">в ред. решения Совета депутатов ЗАТО Александровск от 22.09.2016 № 56  </t>
  </si>
  <si>
    <t xml:space="preserve">в ред. решения Совета депутатов ЗАТО Александровск от 22.09.2016 №56  </t>
  </si>
  <si>
    <t xml:space="preserve">в ред. решения Совета депутатов ЗАТО Александровск от 22.09.2016 № 56 </t>
  </si>
  <si>
    <t>в ред. решения Совета депутатов ЗАТО Александровск от 22.09.2016 № 56</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</si>
</sst>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_-* #,##0.0_р_._-;\-* #,##0.0_р_._-;_-* &quot;-&quot;??_р_._-;_-@_-"/>
    <numFmt numFmtId="178" formatCode="_-* #,##0.0_р_._-;\-* #,##0.0_р_._-;_-* &quot;-&quot;?_р_._-;_-@_-"/>
    <numFmt numFmtId="179" formatCode="[$€-2]\ ###,000_);[Red]\([$€-2]\ ###,000\)"/>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0"/>
    <numFmt numFmtId="190" formatCode="#,##0.00000"/>
  </numFmts>
  <fonts count="50">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Cyr"/>
      <family val="0"/>
    </font>
    <font>
      <sz val="11"/>
      <name val="Times New Roman"/>
      <family val="1"/>
    </font>
    <font>
      <b/>
      <i/>
      <sz val="12"/>
      <name val="Times New Roman"/>
      <family val="1"/>
    </font>
    <font>
      <i/>
      <sz val="12"/>
      <name val="Times New Roman"/>
      <family val="1"/>
    </font>
    <font>
      <vertAlign val="superscript"/>
      <sz val="11"/>
      <name val="Times New Roman"/>
      <family val="1"/>
    </font>
    <font>
      <i/>
      <sz val="11"/>
      <name val="Times New Roman"/>
      <family val="1"/>
    </font>
    <font>
      <i/>
      <sz val="14"/>
      <name val="Times New Roman"/>
      <family val="1"/>
    </font>
    <font>
      <sz val="12"/>
      <color indexed="10"/>
      <name val="Times New Roman"/>
      <family val="1"/>
    </font>
    <font>
      <b/>
      <sz val="14"/>
      <name val="Times New Roman Cyr"/>
      <family val="1"/>
    </font>
    <font>
      <sz val="11"/>
      <name val="Times New Roman Cyr"/>
      <family val="1"/>
    </font>
    <font>
      <b/>
      <sz val="11"/>
      <name val="Times New Roman Cyr"/>
      <family val="0"/>
    </font>
    <font>
      <b/>
      <sz val="12"/>
      <name val="Times New Roman Cyr"/>
      <family val="0"/>
    </font>
    <font>
      <sz val="12"/>
      <name val="TimesNewRomanPSMT"/>
      <family val="0"/>
    </font>
    <font>
      <b/>
      <sz val="12"/>
      <color indexed="10"/>
      <name val="Times New Roman"/>
      <family val="1"/>
    </font>
    <font>
      <sz val="12"/>
      <color indexed="10"/>
      <name val="Times New Roman Cyr"/>
      <family val="1"/>
    </font>
    <font>
      <b/>
      <sz val="9"/>
      <name val="Tahoma"/>
      <family val="2"/>
    </font>
    <font>
      <sz val="9"/>
      <name val="Tahoma"/>
      <family val="2"/>
    </font>
    <font>
      <b/>
      <sz val="11"/>
      <name val="Times New Roman"/>
      <family val="1"/>
    </font>
    <font>
      <b/>
      <sz val="8"/>
      <name val="Tahoma"/>
      <family val="2"/>
    </font>
    <font>
      <sz val="8"/>
      <name val="Tahoma"/>
      <family val="2"/>
    </font>
    <font>
      <sz val="12"/>
      <color rgb="FFFF0000"/>
      <name val="Times New Roman"/>
      <family val="1"/>
    </font>
    <font>
      <b/>
      <sz val="8"/>
      <name val="Arial Cyr"/>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6"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03">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 fillId="0" borderId="0" xfId="0" applyNumberFormat="1" applyFont="1" applyFill="1" applyAlignment="1">
      <alignment vertical="center"/>
    </xf>
    <xf numFmtId="4" fontId="2" fillId="0" borderId="0" xfId="0" applyNumberFormat="1" applyFont="1" applyFill="1" applyAlignment="1">
      <alignment/>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4" fontId="3" fillId="0" borderId="0" xfId="0" applyNumberFormat="1" applyFont="1" applyFill="1" applyAlignment="1">
      <alignment/>
    </xf>
    <xf numFmtId="0" fontId="1" fillId="0" borderId="0" xfId="0" applyFont="1" applyFill="1" applyAlignment="1">
      <alignment horizontal="right"/>
    </xf>
    <xf numFmtId="0" fontId="2" fillId="0" borderId="13" xfId="0" applyFont="1" applyFill="1" applyBorder="1" applyAlignment="1">
      <alignment vertical="center" wrapText="1"/>
    </xf>
    <xf numFmtId="0" fontId="1"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15" xfId="0" applyFont="1" applyFill="1" applyBorder="1" applyAlignment="1">
      <alignment horizontal="center"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0" xfId="0" applyFont="1" applyFill="1" applyAlignment="1">
      <alignment horizontal="left"/>
    </xf>
    <xf numFmtId="49" fontId="2" fillId="0" borderId="0" xfId="0" applyNumberFormat="1" applyFont="1" applyFill="1" applyAlignment="1">
      <alignment horizontal="left" vertical="center"/>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left" vertical="center" wrapText="1"/>
    </xf>
    <xf numFmtId="4" fontId="2"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4" fontId="1" fillId="0" borderId="14" xfId="0" applyNumberFormat="1" applyFont="1" applyFill="1" applyBorder="1" applyAlignment="1">
      <alignment vertical="center" wrapText="1"/>
    </xf>
    <xf numFmtId="49" fontId="1" fillId="0" borderId="14" xfId="0" applyNumberFormat="1" applyFont="1" applyFill="1" applyBorder="1" applyAlignment="1">
      <alignment horizontal="center" vertical="center" wrapText="1"/>
    </xf>
    <xf numFmtId="0" fontId="3" fillId="0" borderId="14" xfId="0" applyFont="1" applyFill="1" applyBorder="1" applyAlignment="1">
      <alignment vertical="center" wrapText="1"/>
    </xf>
    <xf numFmtId="0" fontId="2" fillId="0" borderId="11" xfId="0" applyFont="1" applyFill="1" applyBorder="1" applyAlignment="1" applyProtection="1">
      <alignment vertical="top" wrapText="1" readingOrder="1"/>
      <protection locked="0"/>
    </xf>
    <xf numFmtId="4" fontId="2" fillId="0" borderId="14" xfId="0" applyNumberFormat="1" applyFont="1" applyFill="1" applyBorder="1" applyAlignment="1">
      <alignment vertical="center" wrapText="1"/>
    </xf>
    <xf numFmtId="4" fontId="10" fillId="0" borderId="0" xfId="0" applyNumberFormat="1" applyFont="1" applyFill="1" applyAlignment="1">
      <alignment/>
    </xf>
    <xf numFmtId="4" fontId="9" fillId="0" borderId="10" xfId="0" applyNumberFormat="1" applyFont="1" applyFill="1" applyBorder="1" applyAlignment="1">
      <alignment vertical="center" wrapText="1"/>
    </xf>
    <xf numFmtId="49" fontId="1" fillId="0" borderId="17"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 fontId="1" fillId="0" borderId="0" xfId="0" applyNumberFormat="1" applyFont="1" applyFill="1" applyAlignment="1">
      <alignment horizontal="center" vertical="center"/>
    </xf>
    <xf numFmtId="0" fontId="4" fillId="0" borderId="0" xfId="0" applyFont="1" applyFill="1" applyAlignment="1">
      <alignment/>
    </xf>
    <xf numFmtId="0" fontId="1" fillId="0" borderId="13" xfId="0" applyFont="1" applyFill="1" applyBorder="1" applyAlignment="1">
      <alignment horizontal="center" vertical="center"/>
    </xf>
    <xf numFmtId="4" fontId="29" fillId="0" borderId="0" xfId="0" applyNumberFormat="1" applyFont="1" applyFill="1" applyAlignment="1">
      <alignment/>
    </xf>
    <xf numFmtId="0" fontId="28" fillId="0" borderId="0" xfId="0" applyFont="1" applyFill="1" applyAlignment="1">
      <alignment horizontal="center"/>
    </xf>
    <xf numFmtId="0" fontId="1" fillId="0" borderId="13" xfId="0" applyFont="1" applyFill="1" applyBorder="1" applyAlignment="1">
      <alignment horizont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0" fontId="30" fillId="0" borderId="13" xfId="0" applyFont="1" applyFill="1" applyBorder="1" applyAlignment="1">
      <alignment vertical="center"/>
    </xf>
    <xf numFmtId="4" fontId="30" fillId="0" borderId="13" xfId="0" applyNumberFormat="1" applyFont="1" applyFill="1" applyBorder="1" applyAlignment="1">
      <alignment horizontal="center" vertical="center"/>
    </xf>
    <xf numFmtId="0" fontId="2" fillId="0" borderId="13" xfId="0" applyFont="1" applyFill="1" applyBorder="1" applyAlignment="1">
      <alignment vertical="center"/>
    </xf>
    <xf numFmtId="0" fontId="31" fillId="0" borderId="13" xfId="0" applyFont="1" applyFill="1" applyBorder="1" applyAlignment="1">
      <alignment horizontal="center" vertical="center"/>
    </xf>
    <xf numFmtId="4" fontId="31"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29" fillId="0" borderId="13" xfId="0" applyFont="1" applyFill="1" applyBorder="1" applyAlignment="1">
      <alignment vertical="center" wrapText="1"/>
    </xf>
    <xf numFmtId="0" fontId="31" fillId="0" borderId="13" xfId="0" applyFont="1" applyFill="1" applyBorder="1" applyAlignment="1">
      <alignment vertical="center" wrapText="1"/>
    </xf>
    <xf numFmtId="4" fontId="29" fillId="0" borderId="13" xfId="0" applyNumberFormat="1" applyFont="1" applyFill="1" applyBorder="1" applyAlignment="1">
      <alignment horizontal="center" vertical="center"/>
    </xf>
    <xf numFmtId="0" fontId="29" fillId="0" borderId="0" xfId="0" applyFont="1" applyFill="1" applyAlignment="1">
      <alignment/>
    </xf>
    <xf numFmtId="0" fontId="34" fillId="0" borderId="0" xfId="0" applyFont="1" applyFill="1" applyAlignment="1">
      <alignment/>
    </xf>
    <xf numFmtId="4" fontId="33"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4" borderId="13" xfId="0" applyFont="1" applyFill="1" applyBorder="1" applyAlignment="1">
      <alignment horizontal="center" vertical="center"/>
    </xf>
    <xf numFmtId="0" fontId="31" fillId="24" borderId="13" xfId="0" applyFont="1" applyFill="1" applyBorder="1" applyAlignment="1">
      <alignment vertical="center" wrapText="1"/>
    </xf>
    <xf numFmtId="4" fontId="31" fillId="24" borderId="13" xfId="0" applyNumberFormat="1" applyFont="1" applyFill="1" applyBorder="1" applyAlignment="1">
      <alignment horizontal="center" vertical="center"/>
    </xf>
    <xf numFmtId="0" fontId="4" fillId="24" borderId="0" xfId="0" applyFont="1" applyFill="1" applyAlignment="1">
      <alignment/>
    </xf>
    <xf numFmtId="0" fontId="29" fillId="24" borderId="13" xfId="0" applyFont="1" applyFill="1" applyBorder="1" applyAlignment="1">
      <alignment horizontal="center" vertical="center"/>
    </xf>
    <xf numFmtId="0" fontId="29" fillId="24" borderId="13" xfId="0" applyFont="1" applyFill="1" applyBorder="1" applyAlignment="1">
      <alignment vertical="center" wrapText="1"/>
    </xf>
    <xf numFmtId="4" fontId="29" fillId="24" borderId="13" xfId="0" applyNumberFormat="1" applyFont="1" applyFill="1" applyBorder="1" applyAlignment="1">
      <alignment horizontal="center" vertical="center"/>
    </xf>
    <xf numFmtId="4" fontId="35" fillId="0" borderId="0" xfId="0" applyNumberFormat="1" applyFont="1" applyFill="1" applyAlignment="1">
      <alignment/>
    </xf>
    <xf numFmtId="4" fontId="1" fillId="0" borderId="11" xfId="0" applyNumberFormat="1" applyFont="1" applyFill="1" applyBorder="1" applyAlignment="1">
      <alignment vertical="center"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28" fillId="0" borderId="0" xfId="0" applyFont="1" applyAlignment="1">
      <alignment/>
    </xf>
    <xf numFmtId="4" fontId="28" fillId="0" borderId="0" xfId="0" applyNumberFormat="1" applyFont="1" applyAlignment="1">
      <alignment/>
    </xf>
    <xf numFmtId="0" fontId="36" fillId="0" borderId="0" xfId="0" applyFont="1" applyAlignment="1">
      <alignment horizontal="center"/>
    </xf>
    <xf numFmtId="0" fontId="28" fillId="0" borderId="0" xfId="0" applyFont="1" applyAlignment="1">
      <alignment horizontal="right"/>
    </xf>
    <xf numFmtId="49" fontId="28" fillId="0" borderId="0" xfId="0" applyNumberFormat="1" applyFont="1" applyAlignment="1">
      <alignment vertical="top"/>
    </xf>
    <xf numFmtId="0" fontId="28" fillId="0" borderId="0" xfId="0" applyFont="1" applyAlignment="1">
      <alignment horizontal="left" vertical="top" wrapText="1"/>
    </xf>
    <xf numFmtId="49" fontId="28" fillId="0" borderId="0" xfId="0" applyNumberFormat="1" applyFont="1" applyAlignment="1">
      <alignment horizontal="center"/>
    </xf>
    <xf numFmtId="0" fontId="28" fillId="0" borderId="0" xfId="0" applyFont="1" applyAlignment="1">
      <alignment horizontal="right"/>
    </xf>
    <xf numFmtId="0" fontId="38" fillId="0" borderId="0" xfId="0"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wrapText="1"/>
    </xf>
    <xf numFmtId="172" fontId="39" fillId="0" borderId="0" xfId="0" applyNumberFormat="1" applyFont="1" applyBorder="1" applyAlignment="1">
      <alignment horizontal="right" vertical="center" wrapText="1"/>
    </xf>
    <xf numFmtId="49" fontId="28" fillId="0" borderId="0" xfId="0" applyNumberFormat="1" applyFont="1" applyBorder="1" applyAlignment="1">
      <alignment horizontal="center" vertical="center"/>
    </xf>
    <xf numFmtId="0" fontId="28" fillId="0" borderId="0" xfId="0" applyFont="1" applyBorder="1" applyAlignment="1">
      <alignment horizontal="left" vertical="center" wrapText="1"/>
    </xf>
    <xf numFmtId="49" fontId="28" fillId="0" borderId="0" xfId="0" applyNumberFormat="1" applyFont="1" applyBorder="1" applyAlignment="1">
      <alignment horizontal="center" vertical="center" wrapText="1"/>
    </xf>
    <xf numFmtId="172" fontId="28" fillId="0" borderId="0" xfId="0" applyNumberFormat="1" applyFont="1" applyBorder="1" applyAlignment="1">
      <alignment horizontal="right" vertical="center" wrapText="1"/>
    </xf>
    <xf numFmtId="0" fontId="37" fillId="0" borderId="0" xfId="0" applyFont="1" applyBorder="1" applyAlignment="1">
      <alignment horizontal="center" vertical="center" wrapText="1"/>
    </xf>
    <xf numFmtId="172" fontId="28" fillId="0" borderId="0" xfId="0" applyNumberFormat="1" applyFont="1" applyFill="1" applyBorder="1" applyAlignment="1">
      <alignment horizontal="right" vertical="center" wrapText="1"/>
    </xf>
    <xf numFmtId="172" fontId="39" fillId="0" borderId="0" xfId="0" applyNumberFormat="1" applyFont="1" applyFill="1" applyBorder="1" applyAlignment="1">
      <alignment horizontal="right" vertical="center" wrapText="1"/>
    </xf>
    <xf numFmtId="49" fontId="39" fillId="0" borderId="0" xfId="0" applyNumberFormat="1" applyFont="1" applyBorder="1" applyAlignment="1">
      <alignment horizontal="center" vertical="center"/>
    </xf>
    <xf numFmtId="4" fontId="28" fillId="0" borderId="0" xfId="0" applyNumberFormat="1" applyFont="1" applyAlignment="1">
      <alignment/>
    </xf>
    <xf numFmtId="0" fontId="28" fillId="0" borderId="0" xfId="0" applyFont="1" applyAlignment="1">
      <alignment/>
    </xf>
    <xf numFmtId="49" fontId="37" fillId="0" borderId="0" xfId="0" applyNumberFormat="1" applyFont="1" applyBorder="1" applyAlignment="1">
      <alignment horizontal="center" vertical="center" wrapText="1"/>
    </xf>
    <xf numFmtId="0" fontId="39" fillId="0" borderId="0" xfId="0" applyFont="1" applyBorder="1" applyAlignment="1">
      <alignment horizontal="left" vertical="center" wrapText="1"/>
    </xf>
    <xf numFmtId="49" fontId="39" fillId="0" borderId="0" xfId="0" applyNumberFormat="1" applyFont="1" applyBorder="1" applyAlignment="1">
      <alignment horizontal="center" vertical="center"/>
    </xf>
    <xf numFmtId="4" fontId="39" fillId="0" borderId="0" xfId="0" applyNumberFormat="1" applyFont="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8" fillId="0" borderId="0" xfId="0" applyFont="1" applyBorder="1" applyAlignment="1">
      <alignment horizontal="left" vertical="center" wrapText="1"/>
    </xf>
    <xf numFmtId="4" fontId="28" fillId="0" borderId="0" xfId="0" applyNumberFormat="1" applyFont="1" applyBorder="1" applyAlignment="1">
      <alignment horizontal="right" vertical="center"/>
    </xf>
    <xf numFmtId="4" fontId="28" fillId="0" borderId="0" xfId="0" applyNumberFormat="1" applyFont="1" applyFill="1" applyBorder="1" applyAlignment="1">
      <alignment horizontal="right" vertical="center"/>
    </xf>
    <xf numFmtId="4" fontId="39" fillId="0" borderId="0" xfId="0" applyNumberFormat="1" applyFont="1" applyBorder="1" applyAlignment="1">
      <alignment horizontal="right" vertical="center"/>
    </xf>
    <xf numFmtId="4" fontId="39" fillId="0" borderId="0" xfId="0" applyNumberFormat="1" applyFont="1" applyAlignment="1">
      <alignment vertical="center"/>
    </xf>
    <xf numFmtId="0" fontId="39" fillId="0" borderId="0" xfId="0" applyFont="1" applyAlignment="1">
      <alignment vertical="center"/>
    </xf>
    <xf numFmtId="172" fontId="39" fillId="0" borderId="0" xfId="0" applyNumberFormat="1" applyFont="1" applyBorder="1" applyAlignment="1">
      <alignment horizontal="right" vertical="center"/>
    </xf>
    <xf numFmtId="172" fontId="28" fillId="0" borderId="0" xfId="0" applyNumberFormat="1" applyFont="1" applyBorder="1" applyAlignment="1">
      <alignment horizontal="right" vertical="center"/>
    </xf>
    <xf numFmtId="172" fontId="28" fillId="0" borderId="0" xfId="0" applyNumberFormat="1" applyFont="1" applyFill="1" applyBorder="1" applyAlignment="1">
      <alignment horizontal="right" vertical="center"/>
    </xf>
    <xf numFmtId="0" fontId="38" fillId="0" borderId="0" xfId="0" applyFont="1" applyBorder="1" applyAlignment="1">
      <alignment vertical="center" wrapText="1"/>
    </xf>
    <xf numFmtId="4" fontId="39" fillId="0" borderId="0" xfId="0" applyNumberFormat="1" applyFont="1" applyFill="1" applyBorder="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center" vertical="top"/>
    </xf>
    <xf numFmtId="4" fontId="28" fillId="0" borderId="0" xfId="0" applyNumberFormat="1" applyFont="1" applyAlignment="1">
      <alignment horizontal="center" vertical="top"/>
    </xf>
    <xf numFmtId="0" fontId="28" fillId="0" borderId="0" xfId="0" applyFont="1" applyAlignment="1">
      <alignment horizontal="center" vertical="top"/>
    </xf>
    <xf numFmtId="0" fontId="31" fillId="24" borderId="13" xfId="0" applyFont="1" applyFill="1" applyBorder="1" applyAlignment="1">
      <alignment horizontal="left" vertical="center" wrapText="1"/>
    </xf>
    <xf numFmtId="0" fontId="29" fillId="24" borderId="13" xfId="0" applyFont="1" applyFill="1" applyBorder="1" applyAlignment="1">
      <alignment horizontal="left" vertical="center" wrapText="1"/>
    </xf>
    <xf numFmtId="4" fontId="1" fillId="0" borderId="0" xfId="0" applyNumberFormat="1" applyFont="1" applyFill="1" applyAlignment="1">
      <alignment wrapText="1"/>
    </xf>
    <xf numFmtId="4" fontId="2" fillId="0" borderId="0" xfId="0" applyNumberFormat="1" applyFont="1" applyFill="1" applyAlignment="1">
      <alignment wrapText="1"/>
    </xf>
    <xf numFmtId="4" fontId="3" fillId="0" borderId="0" xfId="0" applyNumberFormat="1" applyFont="1" applyFill="1" applyAlignment="1">
      <alignment wrapText="1"/>
    </xf>
    <xf numFmtId="49" fontId="1" fillId="0" borderId="0" xfId="0" applyNumberFormat="1" applyFont="1" applyFill="1" applyAlignment="1">
      <alignment wrapText="1"/>
    </xf>
    <xf numFmtId="189" fontId="1" fillId="0" borderId="0" xfId="0" applyNumberFormat="1" applyFont="1" applyFill="1" applyAlignment="1">
      <alignment/>
    </xf>
    <xf numFmtId="0" fontId="41" fillId="0" borderId="0" xfId="0" applyFont="1" applyFill="1" applyAlignment="1">
      <alignment horizontal="left"/>
    </xf>
    <xf numFmtId="49" fontId="42" fillId="0" borderId="0" xfId="0" applyNumberFormat="1" applyFont="1" applyAlignment="1">
      <alignment horizontal="center" vertical="top"/>
    </xf>
    <xf numFmtId="4" fontId="42" fillId="0" borderId="0" xfId="0" applyNumberFormat="1" applyFont="1" applyAlignment="1">
      <alignment horizontal="center" vertical="top"/>
    </xf>
    <xf numFmtId="49" fontId="42" fillId="0" borderId="0" xfId="0" applyNumberFormat="1" applyFont="1" applyAlignment="1">
      <alignment horizontal="center" vertical="center"/>
    </xf>
    <xf numFmtId="4" fontId="42" fillId="0" borderId="0" xfId="0" applyNumberFormat="1" applyFont="1" applyAlignment="1">
      <alignment horizontal="center" vertical="center"/>
    </xf>
    <xf numFmtId="49" fontId="1" fillId="0" borderId="0" xfId="0" applyNumberFormat="1" applyFont="1" applyFill="1" applyBorder="1" applyAlignment="1">
      <alignment vertical="center" wrapText="1"/>
    </xf>
    <xf numFmtId="0" fontId="2" fillId="24" borderId="13" xfId="0" applyFont="1" applyFill="1" applyBorder="1" applyAlignment="1">
      <alignment horizontal="center" vertical="center"/>
    </xf>
    <xf numFmtId="0" fontId="2" fillId="24" borderId="13" xfId="0" applyFont="1" applyFill="1" applyBorder="1" applyAlignment="1">
      <alignment vertical="center"/>
    </xf>
    <xf numFmtId="4" fontId="2" fillId="24" borderId="13" xfId="0" applyNumberFormat="1" applyFont="1" applyFill="1" applyBorder="1" applyAlignment="1">
      <alignment horizontal="center" vertical="center"/>
    </xf>
    <xf numFmtId="0" fontId="31" fillId="24" borderId="13" xfId="0" applyFont="1" applyFill="1" applyBorder="1" applyAlignment="1">
      <alignment vertical="center"/>
    </xf>
    <xf numFmtId="4" fontId="1" fillId="24" borderId="13" xfId="0" applyNumberFormat="1" applyFont="1" applyFill="1" applyBorder="1" applyAlignment="1">
      <alignment horizontal="center" vertical="center"/>
    </xf>
    <xf numFmtId="0" fontId="2" fillId="24" borderId="13" xfId="0" applyFont="1" applyFill="1" applyBorder="1" applyAlignment="1">
      <alignment vertical="center" wrapText="1"/>
    </xf>
    <xf numFmtId="0" fontId="31" fillId="24" borderId="13" xfId="0" applyFont="1" applyFill="1" applyBorder="1" applyAlignment="1">
      <alignment horizontal="justify" vertical="center" wrapText="1"/>
    </xf>
    <xf numFmtId="0" fontId="29" fillId="24" borderId="13" xfId="0" applyFont="1" applyFill="1" applyBorder="1" applyAlignment="1">
      <alignment horizontal="justify" vertical="center" wrapText="1"/>
    </xf>
    <xf numFmtId="49" fontId="29" fillId="24" borderId="13" xfId="0" applyNumberFormat="1" applyFont="1" applyFill="1" applyBorder="1" applyAlignment="1">
      <alignment vertical="center" wrapText="1"/>
    </xf>
    <xf numFmtId="0" fontId="33" fillId="24" borderId="13" xfId="0" applyFont="1" applyFill="1" applyBorder="1" applyAlignment="1">
      <alignment horizontal="center" vertical="center"/>
    </xf>
    <xf numFmtId="0" fontId="33" fillId="24" borderId="13" xfId="0" applyFont="1" applyFill="1" applyBorder="1" applyAlignment="1">
      <alignment vertical="center" wrapText="1"/>
    </xf>
    <xf numFmtId="4" fontId="33" fillId="24" borderId="13" xfId="0" applyNumberFormat="1" applyFont="1" applyFill="1" applyBorder="1" applyAlignment="1">
      <alignment horizontal="center" vertical="center"/>
    </xf>
    <xf numFmtId="0" fontId="30" fillId="24" borderId="13" xfId="0" applyFont="1" applyFill="1" applyBorder="1" applyAlignment="1">
      <alignment horizontal="justify" vertical="center" wrapText="1"/>
    </xf>
    <xf numFmtId="4" fontId="30" fillId="24" borderId="13" xfId="0" applyNumberFormat="1" applyFont="1" applyFill="1" applyBorder="1" applyAlignment="1">
      <alignment horizontal="center" vertical="center"/>
    </xf>
    <xf numFmtId="0" fontId="2" fillId="24" borderId="13" xfId="0" applyFont="1" applyFill="1" applyBorder="1" applyAlignment="1">
      <alignment horizontal="center" vertical="center" wrapText="1"/>
    </xf>
    <xf numFmtId="0" fontId="2" fillId="24" borderId="13" xfId="0" applyFont="1" applyFill="1" applyBorder="1" applyAlignment="1">
      <alignment horizontal="justify" vertical="center" wrapText="1"/>
    </xf>
    <xf numFmtId="2" fontId="31" fillId="24" borderId="13" xfId="0" applyNumberFormat="1" applyFont="1" applyFill="1" applyBorder="1" applyAlignment="1">
      <alignment horizontal="justify" vertical="center" wrapText="1"/>
    </xf>
    <xf numFmtId="2" fontId="29" fillId="24" borderId="13" xfId="0" applyNumberFormat="1" applyFont="1" applyFill="1" applyBorder="1" applyAlignment="1">
      <alignment horizontal="left" vertical="center" wrapText="1"/>
    </xf>
    <xf numFmtId="0" fontId="2" fillId="24" borderId="13" xfId="0" applyFont="1" applyFill="1" applyBorder="1" applyAlignment="1">
      <alignment horizontal="left" vertical="center" wrapText="1"/>
    </xf>
    <xf numFmtId="2" fontId="1" fillId="0" borderId="12" xfId="0" applyNumberFormat="1" applyFont="1" applyFill="1" applyBorder="1" applyAlignment="1">
      <alignment vertical="center" wrapText="1"/>
    </xf>
    <xf numFmtId="49" fontId="3" fillId="0" borderId="18" xfId="0" applyNumberFormat="1" applyFont="1" applyFill="1" applyBorder="1" applyAlignment="1">
      <alignment horizontal="center" vertical="center" wrapText="1"/>
    </xf>
    <xf numFmtId="4" fontId="30" fillId="0" borderId="10" xfId="0" applyNumberFormat="1" applyFont="1" applyFill="1" applyBorder="1" applyAlignment="1">
      <alignment vertical="center" wrapText="1"/>
    </xf>
    <xf numFmtId="4" fontId="31" fillId="0" borderId="10" xfId="0" applyNumberFormat="1" applyFont="1" applyFill="1" applyBorder="1" applyAlignment="1">
      <alignment vertical="center" wrapText="1"/>
    </xf>
    <xf numFmtId="0" fontId="1" fillId="0" borderId="10" xfId="0" applyFont="1" applyFill="1" applyBorder="1" applyAlignment="1">
      <alignment horizontal="justify" vertical="center"/>
    </xf>
    <xf numFmtId="0" fontId="1" fillId="0" borderId="10" xfId="0" applyFont="1" applyFill="1" applyBorder="1" applyAlignment="1" applyProtection="1">
      <alignment vertical="top" wrapText="1" readingOrder="1"/>
      <protection locked="0"/>
    </xf>
    <xf numFmtId="0" fontId="1" fillId="0" borderId="12" xfId="0" applyFont="1" applyFill="1" applyBorder="1" applyAlignment="1" applyProtection="1">
      <alignment vertical="top" wrapText="1" readingOrder="1"/>
      <protection locked="0"/>
    </xf>
    <xf numFmtId="49" fontId="1"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45" fillId="0" borderId="11" xfId="0" applyFont="1" applyFill="1" applyBorder="1" applyAlignment="1">
      <alignment vertical="center" wrapText="1"/>
    </xf>
    <xf numFmtId="0" fontId="1" fillId="0" borderId="20" xfId="0" applyFont="1" applyFill="1" applyBorder="1" applyAlignment="1" applyProtection="1">
      <alignment vertical="top" wrapText="1" readingOrder="1"/>
      <protection locked="0"/>
    </xf>
    <xf numFmtId="49" fontId="1" fillId="0" borderId="10" xfId="0" applyNumberFormat="1" applyFont="1" applyFill="1" applyBorder="1" applyAlignment="1">
      <alignment wrapText="1"/>
    </xf>
    <xf numFmtId="49"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vertical="top" wrapText="1"/>
    </xf>
    <xf numFmtId="0" fontId="3" fillId="0" borderId="0" xfId="0" applyFont="1" applyFill="1" applyBorder="1" applyAlignment="1">
      <alignment vertical="center" wrapText="1"/>
    </xf>
    <xf numFmtId="0" fontId="1" fillId="0" borderId="10" xfId="0" applyFont="1" applyFill="1" applyBorder="1" applyAlignment="1">
      <alignment wrapText="1"/>
    </xf>
    <xf numFmtId="4" fontId="1" fillId="0" borderId="12" xfId="0" applyNumberFormat="1" applyFont="1" applyFill="1" applyBorder="1" applyAlignment="1">
      <alignment horizontal="right" vertical="center" wrapText="1"/>
    </xf>
    <xf numFmtId="0" fontId="1" fillId="24" borderId="10" xfId="0" applyFont="1" applyFill="1" applyBorder="1" applyAlignment="1">
      <alignment vertical="center" wrapText="1"/>
    </xf>
    <xf numFmtId="4" fontId="2" fillId="0" borderId="18" xfId="0" applyNumberFormat="1" applyFont="1" applyFill="1" applyBorder="1" applyAlignment="1">
      <alignment vertical="center" wrapText="1"/>
    </xf>
    <xf numFmtId="4" fontId="1" fillId="0" borderId="17"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0" fontId="2" fillId="0" borderId="12" xfId="0" applyFont="1" applyFill="1" applyBorder="1" applyAlignment="1">
      <alignment vertical="center" wrapText="1"/>
    </xf>
    <xf numFmtId="49" fontId="2" fillId="0" borderId="12" xfId="0" applyNumberFormat="1" applyFont="1" applyFill="1" applyBorder="1" applyAlignment="1">
      <alignment horizontal="center" vertical="center" wrapText="1"/>
    </xf>
    <xf numFmtId="2" fontId="1" fillId="0" borderId="11" xfId="0" applyNumberFormat="1" applyFont="1" applyFill="1" applyBorder="1" applyAlignment="1">
      <alignment vertical="center" wrapText="1"/>
    </xf>
    <xf numFmtId="0" fontId="2"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4" fontId="2" fillId="0" borderId="12" xfId="0" applyNumberFormat="1" applyFont="1" applyFill="1" applyBorder="1" applyAlignment="1">
      <alignment vertical="center" wrapText="1"/>
    </xf>
    <xf numFmtId="0" fontId="34" fillId="0" borderId="0" xfId="0" applyFont="1" applyFill="1" applyAlignment="1">
      <alignment vertical="center"/>
    </xf>
    <xf numFmtId="0" fontId="1" fillId="0" borderId="10" xfId="0" applyNumberFormat="1" applyFont="1" applyFill="1" applyBorder="1" applyAlignment="1">
      <alignment vertical="center" wrapText="1"/>
    </xf>
    <xf numFmtId="0" fontId="29" fillId="0" borderId="0" xfId="0" applyFont="1" applyFill="1" applyAlignment="1">
      <alignment horizontal="left" vertical="center" wrapText="1"/>
    </xf>
    <xf numFmtId="0" fontId="48" fillId="0" borderId="10" xfId="0" applyFont="1" applyFill="1" applyBorder="1" applyAlignment="1">
      <alignment vertical="center" wrapText="1"/>
    </xf>
    <xf numFmtId="49" fontId="48" fillId="0" borderId="10" xfId="0" applyNumberFormat="1" applyFont="1" applyFill="1" applyBorder="1" applyAlignment="1">
      <alignment horizontal="center" vertical="center" wrapText="1"/>
    </xf>
    <xf numFmtId="4" fontId="48" fillId="0" borderId="10" xfId="0" applyNumberFormat="1" applyFont="1" applyFill="1" applyBorder="1" applyAlignment="1">
      <alignment vertical="center" wrapText="1"/>
    </xf>
    <xf numFmtId="0" fontId="2" fillId="0" borderId="0" xfId="0" applyFont="1" applyFill="1" applyAlignment="1">
      <alignment horizontal="center" wrapText="1"/>
    </xf>
    <xf numFmtId="0" fontId="0" fillId="0" borderId="0" xfId="0" applyFont="1" applyFill="1" applyAlignment="1">
      <alignment/>
    </xf>
    <xf numFmtId="49" fontId="2" fillId="0" borderId="13" xfId="0" applyNumberFormat="1" applyFont="1" applyFill="1" applyBorder="1" applyAlignment="1">
      <alignment horizontal="center"/>
    </xf>
    <xf numFmtId="49" fontId="1" fillId="0" borderId="13" xfId="0" applyNumberFormat="1" applyFont="1" applyFill="1" applyBorder="1" applyAlignment="1">
      <alignment horizontal="center" vertical="center"/>
    </xf>
    <xf numFmtId="49" fontId="1" fillId="25" borderId="13" xfId="0" applyNumberFormat="1" applyFont="1" applyFill="1" applyBorder="1" applyAlignment="1">
      <alignment horizontal="center" vertical="center"/>
    </xf>
    <xf numFmtId="0" fontId="1" fillId="25" borderId="13" xfId="0" applyFont="1" applyFill="1" applyBorder="1" applyAlignment="1">
      <alignment horizontal="center" vertical="center"/>
    </xf>
    <xf numFmtId="0" fontId="1" fillId="25" borderId="13" xfId="0" applyFont="1" applyFill="1" applyBorder="1" applyAlignment="1">
      <alignment horizontal="left" vertical="center" wrapText="1"/>
    </xf>
    <xf numFmtId="0" fontId="0" fillId="25" borderId="0" xfId="0" applyFont="1" applyFill="1" applyAlignment="1">
      <alignment/>
    </xf>
    <xf numFmtId="49" fontId="2" fillId="0" borderId="13" xfId="0" applyNumberFormat="1" applyFont="1" applyFill="1" applyBorder="1" applyAlignment="1">
      <alignment horizontal="center" vertical="center"/>
    </xf>
    <xf numFmtId="2" fontId="1" fillId="25" borderId="13" xfId="0" applyNumberFormat="1" applyFont="1" applyFill="1" applyBorder="1" applyAlignment="1">
      <alignment horizontal="left" vertical="center" wrapText="1"/>
    </xf>
    <xf numFmtId="0" fontId="0" fillId="25" borderId="0" xfId="0" applyFont="1" applyFill="1" applyAlignment="1">
      <alignment vertical="center"/>
    </xf>
    <xf numFmtId="2" fontId="1" fillId="0" borderId="13" xfId="0" applyNumberFormat="1" applyFont="1" applyFill="1" applyBorder="1" applyAlignment="1">
      <alignment horizontal="left" vertical="center" wrapText="1"/>
    </xf>
    <xf numFmtId="0" fontId="1" fillId="0" borderId="13" xfId="0" applyFont="1" applyFill="1" applyBorder="1" applyAlignment="1">
      <alignment vertical="center" wrapText="1"/>
    </xf>
    <xf numFmtId="49" fontId="2" fillId="24" borderId="13" xfId="0" applyNumberFormat="1" applyFont="1" applyFill="1" applyBorder="1" applyAlignment="1">
      <alignment horizontal="center" vertical="center"/>
    </xf>
    <xf numFmtId="0" fontId="1" fillId="24" borderId="13" xfId="0" applyFont="1" applyFill="1" applyBorder="1" applyAlignment="1">
      <alignment horizontal="left" vertical="top" wrapText="1"/>
    </xf>
    <xf numFmtId="49" fontId="1" fillId="24" borderId="13" xfId="0" applyNumberFormat="1" applyFont="1" applyFill="1" applyBorder="1" applyAlignment="1">
      <alignment horizontal="center" vertical="center" wrapText="1"/>
    </xf>
    <xf numFmtId="0" fontId="1" fillId="24" borderId="13" xfId="0" applyFont="1" applyFill="1" applyBorder="1" applyAlignment="1">
      <alignment vertical="center" wrapText="1"/>
    </xf>
    <xf numFmtId="0" fontId="1" fillId="24" borderId="13"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40" fillId="24" borderId="13" xfId="0" applyFont="1" applyFill="1" applyBorder="1" applyAlignment="1">
      <alignment horizontal="justify" vertical="center" wrapText="1"/>
    </xf>
    <xf numFmtId="0" fontId="40" fillId="24" borderId="13" xfId="0" applyFont="1" applyFill="1" applyBorder="1" applyAlignment="1">
      <alignment vertical="center" wrapText="1"/>
    </xf>
    <xf numFmtId="2" fontId="1" fillId="24" borderId="13" xfId="0" applyNumberFormat="1" applyFont="1" applyFill="1" applyBorder="1" applyAlignment="1">
      <alignment horizontal="justify" vertical="center" wrapText="1"/>
    </xf>
    <xf numFmtId="0" fontId="1" fillId="24" borderId="0" xfId="0" applyFont="1" applyFill="1" applyAlignment="1">
      <alignment/>
    </xf>
    <xf numFmtId="0" fontId="31" fillId="25" borderId="13" xfId="0" applyFont="1" applyFill="1" applyBorder="1" applyAlignment="1">
      <alignment horizontal="center" vertical="center"/>
    </xf>
    <xf numFmtId="0" fontId="31" fillId="25" borderId="13" xfId="0" applyFont="1" applyFill="1" applyBorder="1" applyAlignment="1">
      <alignment vertical="center" wrapText="1"/>
    </xf>
    <xf numFmtId="4" fontId="31" fillId="25" borderId="13" xfId="0" applyNumberFormat="1" applyFont="1" applyFill="1" applyBorder="1" applyAlignment="1">
      <alignment horizontal="center" vertical="center"/>
    </xf>
    <xf numFmtId="0" fontId="29" fillId="25" borderId="13" xfId="0" applyFont="1" applyFill="1" applyBorder="1" applyAlignment="1">
      <alignment horizontal="center" vertical="center"/>
    </xf>
    <xf numFmtId="0" fontId="29" fillId="25" borderId="13" xfId="0" applyFont="1" applyFill="1" applyBorder="1" applyAlignment="1">
      <alignment vertical="center" wrapText="1"/>
    </xf>
    <xf numFmtId="4" fontId="29" fillId="25" borderId="13" xfId="0" applyNumberFormat="1" applyFont="1" applyFill="1" applyBorder="1" applyAlignment="1">
      <alignment horizontal="center" vertical="center"/>
    </xf>
    <xf numFmtId="0" fontId="31" fillId="25" borderId="13" xfId="0" applyFont="1" applyFill="1" applyBorder="1" applyAlignment="1">
      <alignment horizontal="left" vertical="center" wrapText="1"/>
    </xf>
    <xf numFmtId="0" fontId="29" fillId="25" borderId="13" xfId="0" applyFont="1" applyFill="1" applyBorder="1" applyAlignment="1">
      <alignment horizontal="left" vertical="center" wrapText="1"/>
    </xf>
    <xf numFmtId="49" fontId="2" fillId="24" borderId="15" xfId="0" applyNumberFormat="1" applyFont="1" applyFill="1" applyBorder="1" applyAlignment="1">
      <alignment horizontal="left" vertical="center"/>
    </xf>
    <xf numFmtId="49" fontId="2" fillId="24" borderId="21" xfId="0" applyNumberFormat="1" applyFont="1" applyFill="1" applyBorder="1" applyAlignment="1">
      <alignment horizontal="left" vertical="center"/>
    </xf>
    <xf numFmtId="49" fontId="2" fillId="24" borderId="15" xfId="0" applyNumberFormat="1" applyFont="1" applyFill="1" applyBorder="1" applyAlignment="1">
      <alignment horizontal="left" vertical="center" wrapText="1"/>
    </xf>
    <xf numFmtId="49" fontId="2" fillId="24" borderId="21" xfId="0" applyNumberFormat="1"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21" xfId="0" applyFont="1" applyFill="1" applyBorder="1" applyAlignment="1">
      <alignment horizontal="left" vertical="center" wrapText="1"/>
    </xf>
    <xf numFmtId="49" fontId="2" fillId="0" borderId="15"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0" fontId="1" fillId="0" borderId="13" xfId="0" applyFont="1" applyFill="1" applyBorder="1" applyAlignment="1">
      <alignment horizontal="center" vertical="center" wrapText="1"/>
    </xf>
    <xf numFmtId="49"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0" fontId="1" fillId="0" borderId="0" xfId="0" applyFont="1" applyFill="1" applyAlignment="1">
      <alignment horizontal="right"/>
    </xf>
    <xf numFmtId="0" fontId="2" fillId="0" borderId="0" xfId="0" applyFont="1" applyFill="1" applyAlignment="1">
      <alignment horizontal="center" vertical="center" wrapText="1"/>
    </xf>
    <xf numFmtId="0" fontId="2" fillId="0" borderId="15" xfId="0" applyFont="1" applyFill="1" applyBorder="1" applyAlignment="1">
      <alignment horizontal="right" vertical="center"/>
    </xf>
    <xf numFmtId="0" fontId="2" fillId="0" borderId="21" xfId="0" applyFont="1" applyFill="1" applyBorder="1" applyAlignment="1">
      <alignment horizontal="right" vertical="center"/>
    </xf>
    <xf numFmtId="49" fontId="3" fillId="0" borderId="0" xfId="0" applyNumberFormat="1" applyFont="1" applyFill="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37" fillId="0" borderId="19" xfId="0" applyFont="1" applyBorder="1" applyAlignment="1">
      <alignment horizontal="center" vertical="center"/>
    </xf>
    <xf numFmtId="0" fontId="36" fillId="0" borderId="0" xfId="0" applyFont="1" applyAlignment="1">
      <alignment horizontal="center"/>
    </xf>
    <xf numFmtId="4"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1" fillId="0" borderId="0" xfId="0" applyFont="1" applyFill="1" applyAlignment="1">
      <alignment horizontal="right" wrapText="1"/>
    </xf>
    <xf numFmtId="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right" vertical="center" wrapText="1"/>
    </xf>
    <xf numFmtId="49" fontId="1" fillId="0" borderId="0" xfId="0" applyNumberFormat="1" applyFont="1" applyFill="1" applyAlignment="1">
      <alignment horizontal="center"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2" fontId="2" fillId="0" borderId="15" xfId="0" applyNumberFormat="1" applyFont="1" applyFill="1" applyBorder="1" applyAlignment="1">
      <alignment horizontal="left" vertical="center" wrapText="1"/>
    </xf>
    <xf numFmtId="2" fontId="2" fillId="0" borderId="21" xfId="0" applyNumberFormat="1"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09"/>
  <sheetViews>
    <sheetView zoomScalePageLayoutView="0" workbookViewId="0" topLeftCell="A1">
      <selection activeCell="B5" sqref="B5:C5"/>
    </sheetView>
  </sheetViews>
  <sheetFormatPr defaultColWidth="9.125" defaultRowHeight="12.75"/>
  <cols>
    <col min="1" max="1" width="9.625" style="225" customWidth="1"/>
    <col min="2" max="2" width="27.00390625" style="225" customWidth="1"/>
    <col min="3" max="3" width="63.625" style="225" customWidth="1"/>
    <col min="4" max="16384" width="9.125" style="225" customWidth="1"/>
  </cols>
  <sheetData>
    <row r="1" spans="1:3" ht="17.25">
      <c r="A1" s="80"/>
      <c r="B1" s="266" t="s">
        <v>697</v>
      </c>
      <c r="C1" s="266"/>
    </row>
    <row r="2" spans="1:3" ht="17.25">
      <c r="A2" s="80"/>
      <c r="B2" s="52"/>
      <c r="C2" s="52" t="s">
        <v>570</v>
      </c>
    </row>
    <row r="3" spans="1:3" ht="17.25">
      <c r="A3" s="80"/>
      <c r="B3" s="52"/>
      <c r="C3" s="52" t="s">
        <v>918</v>
      </c>
    </row>
    <row r="4" spans="1:3" ht="17.25">
      <c r="A4" s="80"/>
      <c r="B4" s="266" t="s">
        <v>1240</v>
      </c>
      <c r="C4" s="266"/>
    </row>
    <row r="5" spans="1:3" ht="17.25">
      <c r="A5" s="80"/>
      <c r="B5" s="266"/>
      <c r="C5" s="266"/>
    </row>
    <row r="6" spans="1:3" ht="17.25">
      <c r="A6" s="80"/>
      <c r="B6" s="52"/>
      <c r="C6" s="52"/>
    </row>
    <row r="7" spans="1:3" ht="57.75" customHeight="1">
      <c r="A7" s="267" t="s">
        <v>696</v>
      </c>
      <c r="B7" s="267"/>
      <c r="C7" s="267"/>
    </row>
    <row r="8" spans="1:3" ht="14.25" customHeight="1">
      <c r="A8" s="224"/>
      <c r="B8" s="224"/>
      <c r="C8" s="224"/>
    </row>
    <row r="9" spans="1:3" ht="15">
      <c r="A9" s="263" t="s">
        <v>1015</v>
      </c>
      <c r="B9" s="263"/>
      <c r="C9" s="263" t="s">
        <v>1016</v>
      </c>
    </row>
    <row r="10" spans="1:3" ht="61.5">
      <c r="A10" s="15" t="s">
        <v>1017</v>
      </c>
      <c r="B10" s="15" t="s">
        <v>1018</v>
      </c>
      <c r="C10" s="263"/>
    </row>
    <row r="11" spans="1:3" ht="15">
      <c r="A11" s="226" t="s">
        <v>8</v>
      </c>
      <c r="B11" s="261" t="s">
        <v>693</v>
      </c>
      <c r="C11" s="262"/>
    </row>
    <row r="12" spans="1:3" ht="15">
      <c r="A12" s="226" t="s">
        <v>9</v>
      </c>
      <c r="B12" s="261" t="s">
        <v>1019</v>
      </c>
      <c r="C12" s="262"/>
    </row>
    <row r="13" spans="1:3" ht="46.5">
      <c r="A13" s="227" t="s">
        <v>9</v>
      </c>
      <c r="B13" s="81" t="s">
        <v>1020</v>
      </c>
      <c r="C13" s="54" t="s">
        <v>534</v>
      </c>
    </row>
    <row r="14" spans="1:3" ht="46.5">
      <c r="A14" s="227" t="s">
        <v>9</v>
      </c>
      <c r="B14" s="81" t="s">
        <v>1021</v>
      </c>
      <c r="C14" s="54" t="s">
        <v>535</v>
      </c>
    </row>
    <row r="15" spans="1:3" ht="46.5">
      <c r="A15" s="227" t="s">
        <v>9</v>
      </c>
      <c r="B15" s="81" t="s">
        <v>1023</v>
      </c>
      <c r="C15" s="54" t="s">
        <v>1024</v>
      </c>
    </row>
    <row r="16" spans="1:3" s="231" customFormat="1" ht="61.5">
      <c r="A16" s="228" t="s">
        <v>9</v>
      </c>
      <c r="B16" s="229" t="s">
        <v>1105</v>
      </c>
      <c r="C16" s="230" t="s">
        <v>1106</v>
      </c>
    </row>
    <row r="17" spans="1:3" s="231" customFormat="1" ht="46.5">
      <c r="A17" s="228" t="s">
        <v>9</v>
      </c>
      <c r="B17" s="81" t="s">
        <v>1227</v>
      </c>
      <c r="C17" s="230" t="s">
        <v>1228</v>
      </c>
    </row>
    <row r="18" spans="1:3" ht="30.75">
      <c r="A18" s="227" t="s">
        <v>9</v>
      </c>
      <c r="B18" s="81" t="s">
        <v>1025</v>
      </c>
      <c r="C18" s="54" t="s">
        <v>536</v>
      </c>
    </row>
    <row r="19" spans="1:3" ht="61.5">
      <c r="A19" s="227" t="s">
        <v>9</v>
      </c>
      <c r="B19" s="81" t="s">
        <v>826</v>
      </c>
      <c r="C19" s="54" t="s">
        <v>520</v>
      </c>
    </row>
    <row r="20" spans="1:3" ht="15">
      <c r="A20" s="232" t="s">
        <v>10</v>
      </c>
      <c r="B20" s="264" t="s">
        <v>911</v>
      </c>
      <c r="C20" s="265"/>
    </row>
    <row r="21" spans="1:3" s="234" customFormat="1" ht="30.75">
      <c r="A21" s="228" t="s">
        <v>10</v>
      </c>
      <c r="B21" s="228" t="s">
        <v>1107</v>
      </c>
      <c r="C21" s="233" t="s">
        <v>1026</v>
      </c>
    </row>
    <row r="22" spans="1:3" ht="77.25">
      <c r="A22" s="227" t="s">
        <v>10</v>
      </c>
      <c r="B22" s="81" t="s">
        <v>1027</v>
      </c>
      <c r="C22" s="235" t="s">
        <v>858</v>
      </c>
    </row>
    <row r="23" spans="1:3" ht="77.25">
      <c r="A23" s="227" t="s">
        <v>10</v>
      </c>
      <c r="B23" s="81" t="s">
        <v>1028</v>
      </c>
      <c r="C23" s="235" t="s">
        <v>860</v>
      </c>
    </row>
    <row r="24" spans="1:3" ht="77.25">
      <c r="A24" s="227" t="s">
        <v>10</v>
      </c>
      <c r="B24" s="81" t="s">
        <v>1029</v>
      </c>
      <c r="C24" s="235" t="s">
        <v>861</v>
      </c>
    </row>
    <row r="25" spans="1:3" ht="35.25" customHeight="1">
      <c r="A25" s="227" t="s">
        <v>10</v>
      </c>
      <c r="B25" s="81" t="s">
        <v>694</v>
      </c>
      <c r="C25" s="235" t="s">
        <v>695</v>
      </c>
    </row>
    <row r="26" spans="1:3" ht="46.5">
      <c r="A26" s="227" t="s">
        <v>10</v>
      </c>
      <c r="B26" s="81" t="s">
        <v>1020</v>
      </c>
      <c r="C26" s="54" t="s">
        <v>534</v>
      </c>
    </row>
    <row r="27" spans="1:3" ht="77.25">
      <c r="A27" s="227" t="s">
        <v>10</v>
      </c>
      <c r="B27" s="81" t="s">
        <v>1030</v>
      </c>
      <c r="C27" s="54" t="s">
        <v>862</v>
      </c>
    </row>
    <row r="28" spans="1:3" ht="35.25" customHeight="1">
      <c r="A28" s="227" t="s">
        <v>10</v>
      </c>
      <c r="B28" s="81" t="s">
        <v>1131</v>
      </c>
      <c r="C28" s="54" t="s">
        <v>1132</v>
      </c>
    </row>
    <row r="29" spans="1:3" ht="93">
      <c r="A29" s="227" t="s">
        <v>10</v>
      </c>
      <c r="B29" s="81" t="s">
        <v>1022</v>
      </c>
      <c r="C29" s="54" t="s">
        <v>863</v>
      </c>
    </row>
    <row r="30" spans="1:3" ht="36.75" customHeight="1">
      <c r="A30" s="228" t="s">
        <v>1188</v>
      </c>
      <c r="B30" s="229" t="s">
        <v>1189</v>
      </c>
      <c r="C30" s="230" t="s">
        <v>1190</v>
      </c>
    </row>
    <row r="31" spans="1:3" ht="71.25" customHeight="1">
      <c r="A31" s="227" t="s">
        <v>10</v>
      </c>
      <c r="B31" s="81" t="s">
        <v>1133</v>
      </c>
      <c r="C31" s="236" t="s">
        <v>1134</v>
      </c>
    </row>
    <row r="32" spans="1:3" s="231" customFormat="1" ht="15">
      <c r="A32" s="237" t="s">
        <v>12</v>
      </c>
      <c r="B32" s="257" t="s">
        <v>569</v>
      </c>
      <c r="C32" s="258"/>
    </row>
    <row r="33" spans="1:3" s="231" customFormat="1" ht="30.75">
      <c r="A33" s="228" t="s">
        <v>12</v>
      </c>
      <c r="B33" s="229" t="s">
        <v>1031</v>
      </c>
      <c r="C33" s="54" t="s">
        <v>1143</v>
      </c>
    </row>
    <row r="34" spans="1:3" s="231" customFormat="1" ht="54.75" customHeight="1">
      <c r="A34" s="228" t="s">
        <v>12</v>
      </c>
      <c r="B34" s="229" t="s">
        <v>1032</v>
      </c>
      <c r="C34" s="238" t="s">
        <v>864</v>
      </c>
    </row>
    <row r="35" spans="1:3" s="231" customFormat="1" ht="93">
      <c r="A35" s="228" t="s">
        <v>12</v>
      </c>
      <c r="B35" s="229" t="s">
        <v>1033</v>
      </c>
      <c r="C35" s="230" t="s">
        <v>994</v>
      </c>
    </row>
    <row r="36" spans="1:3" s="231" customFormat="1" ht="15">
      <c r="A36" s="237" t="s">
        <v>538</v>
      </c>
      <c r="B36" s="255" t="s">
        <v>995</v>
      </c>
      <c r="C36" s="256"/>
    </row>
    <row r="37" spans="1:3" s="231" customFormat="1" ht="51.75" customHeight="1">
      <c r="A37" s="228" t="s">
        <v>538</v>
      </c>
      <c r="B37" s="229" t="s">
        <v>996</v>
      </c>
      <c r="C37" s="230" t="s">
        <v>758</v>
      </c>
    </row>
    <row r="38" spans="1:3" s="231" customFormat="1" ht="77.25">
      <c r="A38" s="228" t="s">
        <v>538</v>
      </c>
      <c r="B38" s="229" t="s">
        <v>997</v>
      </c>
      <c r="C38" s="230" t="s">
        <v>759</v>
      </c>
    </row>
    <row r="39" spans="1:3" s="231" customFormat="1" ht="37.5" customHeight="1">
      <c r="A39" s="237" t="s">
        <v>11</v>
      </c>
      <c r="B39" s="257" t="s">
        <v>324</v>
      </c>
      <c r="C39" s="258"/>
    </row>
    <row r="40" spans="1:3" s="231" customFormat="1" ht="37.5" customHeight="1">
      <c r="A40" s="228" t="s">
        <v>11</v>
      </c>
      <c r="B40" s="229" t="s">
        <v>1191</v>
      </c>
      <c r="C40" s="230" t="s">
        <v>1192</v>
      </c>
    </row>
    <row r="41" spans="1:3" s="231" customFormat="1" ht="46.5">
      <c r="A41" s="228" t="s">
        <v>11</v>
      </c>
      <c r="B41" s="229" t="s">
        <v>325</v>
      </c>
      <c r="C41" s="230" t="s">
        <v>865</v>
      </c>
    </row>
    <row r="42" spans="1:3" s="231" customFormat="1" ht="65.25" customHeight="1">
      <c r="A42" s="228" t="s">
        <v>11</v>
      </c>
      <c r="B42" s="229" t="s">
        <v>1193</v>
      </c>
      <c r="C42" s="230" t="s">
        <v>1194</v>
      </c>
    </row>
    <row r="43" spans="1:3" s="231" customFormat="1" ht="37.5" customHeight="1">
      <c r="A43" s="237" t="s">
        <v>118</v>
      </c>
      <c r="B43" s="257" t="s">
        <v>821</v>
      </c>
      <c r="C43" s="258"/>
    </row>
    <row r="44" spans="1:3" s="231" customFormat="1" ht="69.75" customHeight="1">
      <c r="A44" s="237" t="s">
        <v>579</v>
      </c>
      <c r="B44" s="259" t="s">
        <v>1055</v>
      </c>
      <c r="C44" s="260"/>
    </row>
    <row r="45" spans="1:3" s="231" customFormat="1" ht="30.75">
      <c r="A45" s="239" t="s">
        <v>579</v>
      </c>
      <c r="B45" s="229" t="s">
        <v>1056</v>
      </c>
      <c r="C45" s="230" t="s">
        <v>866</v>
      </c>
    </row>
    <row r="46" spans="1:3" s="231" customFormat="1" ht="46.5">
      <c r="A46" s="239" t="s">
        <v>579</v>
      </c>
      <c r="B46" s="229" t="s">
        <v>1057</v>
      </c>
      <c r="C46" s="240" t="s">
        <v>867</v>
      </c>
    </row>
    <row r="47" spans="1:3" s="231" customFormat="1" ht="30.75">
      <c r="A47" s="239" t="s">
        <v>579</v>
      </c>
      <c r="B47" s="229" t="s">
        <v>1058</v>
      </c>
      <c r="C47" s="241" t="s">
        <v>1059</v>
      </c>
    </row>
    <row r="48" spans="1:3" s="231" customFormat="1" ht="15">
      <c r="A48" s="228" t="s">
        <v>579</v>
      </c>
      <c r="B48" s="229" t="s">
        <v>1060</v>
      </c>
      <c r="C48" s="242" t="s">
        <v>30</v>
      </c>
    </row>
    <row r="49" spans="1:3" s="231" customFormat="1" ht="15">
      <c r="A49" s="228" t="s">
        <v>579</v>
      </c>
      <c r="B49" s="229" t="s">
        <v>1061</v>
      </c>
      <c r="C49" s="241" t="s">
        <v>868</v>
      </c>
    </row>
    <row r="50" spans="1:3" s="231" customFormat="1" ht="30.75">
      <c r="A50" s="239" t="s">
        <v>579</v>
      </c>
      <c r="B50" s="229" t="s">
        <v>1062</v>
      </c>
      <c r="C50" s="243" t="s">
        <v>1063</v>
      </c>
    </row>
    <row r="51" spans="1:3" s="231" customFormat="1" ht="30.75">
      <c r="A51" s="239" t="s">
        <v>579</v>
      </c>
      <c r="B51" s="229" t="s">
        <v>1064</v>
      </c>
      <c r="C51" s="244" t="s">
        <v>831</v>
      </c>
    </row>
    <row r="52" spans="1:3" s="231" customFormat="1" ht="46.5">
      <c r="A52" s="228" t="s">
        <v>579</v>
      </c>
      <c r="B52" s="229" t="s">
        <v>832</v>
      </c>
      <c r="C52" s="245" t="s">
        <v>833</v>
      </c>
    </row>
    <row r="53" s="231" customFormat="1" ht="12.75"/>
    <row r="54" s="231" customFormat="1" ht="12.75"/>
    <row r="55" spans="1:3" s="231" customFormat="1" ht="15">
      <c r="A55" s="246"/>
      <c r="B55" s="246"/>
      <c r="C55" s="246"/>
    </row>
    <row r="56" spans="1:3" s="231" customFormat="1" ht="15">
      <c r="A56" s="246"/>
      <c r="B56" s="246"/>
      <c r="C56" s="246"/>
    </row>
    <row r="57" spans="1:3" s="231" customFormat="1" ht="15">
      <c r="A57" s="246"/>
      <c r="B57" s="246"/>
      <c r="C57" s="246"/>
    </row>
    <row r="58" spans="1:3" s="231" customFormat="1" ht="30.75" customHeight="1">
      <c r="A58" s="246"/>
      <c r="B58" s="246"/>
      <c r="C58" s="246"/>
    </row>
    <row r="59" spans="1:3" s="231" customFormat="1" ht="15">
      <c r="A59" s="246"/>
      <c r="B59" s="246"/>
      <c r="C59" s="246"/>
    </row>
    <row r="60" spans="1:3" s="231" customFormat="1" ht="15">
      <c r="A60" s="246"/>
      <c r="B60" s="246"/>
      <c r="C60" s="246"/>
    </row>
    <row r="61" spans="1:3" s="231" customFormat="1" ht="15">
      <c r="A61" s="246"/>
      <c r="B61" s="246"/>
      <c r="C61" s="246"/>
    </row>
    <row r="62" spans="1:3" s="231" customFormat="1" ht="15">
      <c r="A62" s="246"/>
      <c r="B62" s="246"/>
      <c r="C62" s="246"/>
    </row>
    <row r="63" spans="1:3" s="231" customFormat="1" ht="15">
      <c r="A63" s="246"/>
      <c r="B63" s="246"/>
      <c r="C63" s="246"/>
    </row>
    <row r="64" spans="1:3" s="231" customFormat="1" ht="15">
      <c r="A64" s="246"/>
      <c r="B64" s="246"/>
      <c r="C64" s="246"/>
    </row>
    <row r="65" spans="1:3" s="231" customFormat="1" ht="15">
      <c r="A65" s="246"/>
      <c r="B65" s="246"/>
      <c r="C65" s="246"/>
    </row>
    <row r="66" spans="1:3" s="231" customFormat="1" ht="15">
      <c r="A66" s="246"/>
      <c r="B66" s="246"/>
      <c r="C66" s="246"/>
    </row>
    <row r="67" spans="1:3" s="231" customFormat="1" ht="15">
      <c r="A67" s="246"/>
      <c r="B67" s="246"/>
      <c r="C67" s="246"/>
    </row>
    <row r="68" spans="1:3" s="231" customFormat="1" ht="15">
      <c r="A68" s="246"/>
      <c r="B68" s="246"/>
      <c r="C68" s="246"/>
    </row>
    <row r="69" spans="1:3" s="231" customFormat="1" ht="15">
      <c r="A69" s="246"/>
      <c r="B69" s="246"/>
      <c r="C69" s="246"/>
    </row>
    <row r="70" spans="1:3" s="231" customFormat="1" ht="15">
      <c r="A70" s="246"/>
      <c r="B70" s="246"/>
      <c r="C70" s="246"/>
    </row>
    <row r="71" spans="1:3" s="231" customFormat="1" ht="15">
      <c r="A71" s="246"/>
      <c r="B71" s="246"/>
      <c r="C71" s="246"/>
    </row>
    <row r="72" spans="1:3" s="231" customFormat="1" ht="15">
      <c r="A72" s="246"/>
      <c r="B72" s="246"/>
      <c r="C72" s="246"/>
    </row>
    <row r="73" spans="1:3" s="231" customFormat="1" ht="15">
      <c r="A73" s="246"/>
      <c r="B73" s="246"/>
      <c r="C73" s="246"/>
    </row>
    <row r="74" spans="1:3" s="231" customFormat="1" ht="15">
      <c r="A74" s="246"/>
      <c r="B74" s="246"/>
      <c r="C74" s="246"/>
    </row>
    <row r="75" spans="1:3" s="231" customFormat="1" ht="15">
      <c r="A75" s="246"/>
      <c r="B75" s="246"/>
      <c r="C75" s="246"/>
    </row>
    <row r="76" spans="1:3" s="231" customFormat="1" ht="15">
      <c r="A76" s="246"/>
      <c r="B76" s="246"/>
      <c r="C76" s="246"/>
    </row>
    <row r="77" spans="1:3" s="231" customFormat="1" ht="15">
      <c r="A77" s="246"/>
      <c r="B77" s="246"/>
      <c r="C77" s="246"/>
    </row>
    <row r="78" spans="1:3" s="231" customFormat="1" ht="15">
      <c r="A78" s="246"/>
      <c r="B78" s="246"/>
      <c r="C78" s="246"/>
    </row>
    <row r="79" spans="1:3" s="231" customFormat="1" ht="15">
      <c r="A79" s="246"/>
      <c r="B79" s="246"/>
      <c r="C79" s="246"/>
    </row>
    <row r="80" spans="1:3" s="231" customFormat="1" ht="15">
      <c r="A80" s="246"/>
      <c r="B80" s="246"/>
      <c r="C80" s="246"/>
    </row>
    <row r="81" spans="1:3" s="231" customFormat="1" ht="15">
      <c r="A81" s="246"/>
      <c r="B81" s="246"/>
      <c r="C81" s="246"/>
    </row>
    <row r="82" spans="1:3" s="231" customFormat="1" ht="15">
      <c r="A82" s="246"/>
      <c r="B82" s="246"/>
      <c r="C82" s="246"/>
    </row>
    <row r="83" spans="1:3" s="231" customFormat="1" ht="15">
      <c r="A83" s="246"/>
      <c r="B83" s="246"/>
      <c r="C83" s="246"/>
    </row>
    <row r="84" spans="1:3" s="231" customFormat="1" ht="15">
      <c r="A84" s="246"/>
      <c r="B84" s="246"/>
      <c r="C84" s="246"/>
    </row>
    <row r="85" spans="1:3" ht="15">
      <c r="A85" s="12"/>
      <c r="B85" s="12"/>
      <c r="C85" s="12"/>
    </row>
    <row r="86" spans="1:3" ht="15">
      <c r="A86" s="12"/>
      <c r="B86" s="12"/>
      <c r="C86" s="12"/>
    </row>
    <row r="87" spans="1:3" ht="15">
      <c r="A87" s="12"/>
      <c r="B87" s="12"/>
      <c r="C87" s="12"/>
    </row>
    <row r="88" spans="1:3" ht="15">
      <c r="A88" s="12"/>
      <c r="B88" s="12"/>
      <c r="C88" s="12"/>
    </row>
    <row r="89" spans="1:3" ht="15">
      <c r="A89" s="12"/>
      <c r="B89" s="12"/>
      <c r="C89" s="12"/>
    </row>
    <row r="90" spans="1:3" ht="15">
      <c r="A90" s="12"/>
      <c r="B90" s="12"/>
      <c r="C90" s="12"/>
    </row>
    <row r="91" spans="1:3" ht="15">
      <c r="A91" s="12"/>
      <c r="B91" s="12"/>
      <c r="C91" s="12"/>
    </row>
    <row r="92" spans="1:3" ht="15">
      <c r="A92" s="12"/>
      <c r="B92" s="12"/>
      <c r="C92" s="12"/>
    </row>
    <row r="93" spans="1:3" ht="15">
      <c r="A93" s="12"/>
      <c r="B93" s="12"/>
      <c r="C93" s="12"/>
    </row>
    <row r="94" spans="1:3" ht="15">
      <c r="A94" s="12"/>
      <c r="B94" s="12"/>
      <c r="C94" s="12"/>
    </row>
    <row r="95" spans="1:3" ht="15">
      <c r="A95" s="12"/>
      <c r="B95" s="12"/>
      <c r="C95" s="12"/>
    </row>
    <row r="96" spans="1:3" ht="15">
      <c r="A96" s="12"/>
      <c r="B96" s="12"/>
      <c r="C96" s="12"/>
    </row>
    <row r="97" spans="1:3" ht="15">
      <c r="A97" s="12"/>
      <c r="B97" s="12"/>
      <c r="C97" s="12"/>
    </row>
    <row r="98" spans="1:3" ht="15">
      <c r="A98" s="12"/>
      <c r="B98" s="12"/>
      <c r="C98" s="12"/>
    </row>
    <row r="99" spans="1:3" ht="15">
      <c r="A99" s="12"/>
      <c r="B99" s="12"/>
      <c r="C99" s="12"/>
    </row>
    <row r="100" spans="1:3" ht="15">
      <c r="A100" s="12"/>
      <c r="B100" s="12"/>
      <c r="C100" s="12"/>
    </row>
    <row r="101" spans="1:3" ht="15">
      <c r="A101" s="12"/>
      <c r="B101" s="12"/>
      <c r="C101" s="12"/>
    </row>
    <row r="102" spans="1:3" ht="15">
      <c r="A102" s="12"/>
      <c r="B102" s="12"/>
      <c r="C102" s="12"/>
    </row>
    <row r="103" spans="1:3" ht="15">
      <c r="A103" s="12"/>
      <c r="B103" s="12"/>
      <c r="C103" s="12"/>
    </row>
    <row r="104" spans="1:3" ht="15">
      <c r="A104" s="12"/>
      <c r="B104" s="12"/>
      <c r="C104" s="12"/>
    </row>
    <row r="105" spans="1:3" ht="15">
      <c r="A105" s="12"/>
      <c r="B105" s="12"/>
      <c r="C105" s="12"/>
    </row>
    <row r="106" spans="1:3" ht="15">
      <c r="A106" s="12"/>
      <c r="B106" s="12"/>
      <c r="C106" s="12"/>
    </row>
    <row r="107" spans="1:3" ht="15">
      <c r="A107" s="12"/>
      <c r="B107" s="12"/>
      <c r="C107" s="12"/>
    </row>
    <row r="108" spans="1:3" ht="15">
      <c r="A108" s="12"/>
      <c r="B108" s="12"/>
      <c r="C108" s="12"/>
    </row>
    <row r="109" spans="1:3" ht="15">
      <c r="A109" s="12"/>
      <c r="B109" s="12"/>
      <c r="C109" s="12"/>
    </row>
  </sheetData>
  <sheetProtection/>
  <mergeCells count="14">
    <mergeCell ref="B1:C1"/>
    <mergeCell ref="B4:C4"/>
    <mergeCell ref="B5:C5"/>
    <mergeCell ref="A7:C7"/>
    <mergeCell ref="A9:B9"/>
    <mergeCell ref="B36:C36"/>
    <mergeCell ref="B39:C39"/>
    <mergeCell ref="B44:C44"/>
    <mergeCell ref="B43:C43"/>
    <mergeCell ref="B12:C12"/>
    <mergeCell ref="C9:C10"/>
    <mergeCell ref="B11:C11"/>
    <mergeCell ref="B20:C20"/>
    <mergeCell ref="B32:C32"/>
  </mergeCells>
  <printOptions horizontalCentered="1"/>
  <pageMargins left="0.7480314960629921" right="0.15748031496062992" top="0.5511811023622047" bottom="0.6299212598425197" header="0.1968503937007874" footer="0.15748031496062992"/>
  <pageSetup fitToHeight="20" fitToWidth="1" horizontalDpi="600" verticalDpi="600" orientation="portrait" paperSize="9" scale="87" r:id="rId1"/>
  <rowBreaks count="9" manualBreakCount="9">
    <brk id="22" max="3" man="1"/>
    <brk id="36" max="3" man="1"/>
    <brk id="51" max="3" man="1"/>
    <brk id="61" max="3" man="1"/>
    <brk id="69" max="3" man="1"/>
    <brk id="83" max="3" man="1"/>
    <brk id="91" max="3" man="1"/>
    <brk id="99" max="3" man="1"/>
    <brk id="123" max="3" man="1"/>
  </rowBreaks>
</worksheet>
</file>

<file path=xl/worksheets/sheet2.xml><?xml version="1.0" encoding="utf-8"?>
<worksheet xmlns="http://schemas.openxmlformats.org/spreadsheetml/2006/main" xmlns:r="http://schemas.openxmlformats.org/officeDocument/2006/relationships">
  <sheetPr>
    <pageSetUpPr fitToPage="1"/>
  </sheetPr>
  <dimension ref="A1:C140"/>
  <sheetViews>
    <sheetView zoomScalePageLayoutView="0" workbookViewId="0" topLeftCell="A1">
      <selection activeCell="B4" sqref="B4:C4"/>
    </sheetView>
  </sheetViews>
  <sheetFormatPr defaultColWidth="9.125" defaultRowHeight="12.75"/>
  <cols>
    <col min="1" max="1" width="27.625" style="80" customWidth="1"/>
    <col min="2" max="2" width="51.125" style="12" customWidth="1"/>
    <col min="3" max="3" width="21.75390625" style="82" customWidth="1"/>
    <col min="4" max="16384" width="9.125" style="80" customWidth="1"/>
  </cols>
  <sheetData>
    <row r="1" spans="2:3" ht="17.25">
      <c r="B1" s="266" t="s">
        <v>1002</v>
      </c>
      <c r="C1" s="266"/>
    </row>
    <row r="2" spans="1:3" ht="17.25">
      <c r="A2" s="30"/>
      <c r="B2" s="266" t="s">
        <v>570</v>
      </c>
      <c r="C2" s="266"/>
    </row>
    <row r="3" spans="1:3" ht="17.25">
      <c r="A3" s="30"/>
      <c r="B3" s="266" t="s">
        <v>918</v>
      </c>
      <c r="C3" s="266"/>
    </row>
    <row r="4" spans="2:3" ht="17.25">
      <c r="B4" s="266" t="s">
        <v>1241</v>
      </c>
      <c r="C4" s="266"/>
    </row>
    <row r="5" spans="2:3" ht="17.25">
      <c r="B5" s="266"/>
      <c r="C5" s="266"/>
    </row>
    <row r="6" ht="17.25">
      <c r="B6" s="52"/>
    </row>
    <row r="7" spans="1:3" ht="38.25" customHeight="1">
      <c r="A7" s="270" t="s">
        <v>822</v>
      </c>
      <c r="B7" s="270"/>
      <c r="C7" s="270"/>
    </row>
    <row r="8" ht="17.25">
      <c r="C8" s="83" t="s">
        <v>743</v>
      </c>
    </row>
    <row r="9" spans="1:3" ht="46.5">
      <c r="A9" s="15" t="s">
        <v>1003</v>
      </c>
      <c r="B9" s="81" t="s">
        <v>1004</v>
      </c>
      <c r="C9" s="81" t="s">
        <v>916</v>
      </c>
    </row>
    <row r="10" spans="1:3" ht="17.25">
      <c r="A10" s="84">
        <v>1</v>
      </c>
      <c r="B10" s="84">
        <v>2</v>
      </c>
      <c r="C10" s="84">
        <v>3</v>
      </c>
    </row>
    <row r="11" spans="1:3" ht="17.25">
      <c r="A11" s="85" t="s">
        <v>1005</v>
      </c>
      <c r="B11" s="53" t="s">
        <v>1006</v>
      </c>
      <c r="C11" s="86">
        <f>C12+C52</f>
        <v>762561815.6700001</v>
      </c>
    </row>
    <row r="12" spans="1:3" ht="17.25">
      <c r="A12" s="85"/>
      <c r="B12" s="87" t="s">
        <v>1007</v>
      </c>
      <c r="C12" s="88">
        <f>C14+C26+C39+C47+C20</f>
        <v>654064590.2</v>
      </c>
    </row>
    <row r="13" spans="1:3" ht="17.25">
      <c r="A13" s="85"/>
      <c r="B13" s="87" t="s">
        <v>1008</v>
      </c>
      <c r="C13" s="86"/>
    </row>
    <row r="14" spans="1:3" ht="17.25">
      <c r="A14" s="169" t="s">
        <v>1009</v>
      </c>
      <c r="B14" s="170" t="s">
        <v>1010</v>
      </c>
      <c r="C14" s="171">
        <f>C15</f>
        <v>574650633.12</v>
      </c>
    </row>
    <row r="15" spans="1:3" ht="17.25">
      <c r="A15" s="102" t="s">
        <v>1011</v>
      </c>
      <c r="B15" s="172" t="s">
        <v>1012</v>
      </c>
      <c r="C15" s="104">
        <f>C16+C17+C18+C19</f>
        <v>574650633.12</v>
      </c>
    </row>
    <row r="16" spans="1:3" ht="74.25">
      <c r="A16" s="106" t="s">
        <v>1013</v>
      </c>
      <c r="B16" s="107" t="s">
        <v>662</v>
      </c>
      <c r="C16" s="173">
        <v>573427818.46</v>
      </c>
    </row>
    <row r="17" spans="1:3" ht="114.75">
      <c r="A17" s="106" t="s">
        <v>1014</v>
      </c>
      <c r="B17" s="107" t="s">
        <v>839</v>
      </c>
      <c r="C17" s="173">
        <v>247250</v>
      </c>
    </row>
    <row r="18" spans="1:3" ht="42.75">
      <c r="A18" s="106" t="s">
        <v>840</v>
      </c>
      <c r="B18" s="107" t="s">
        <v>841</v>
      </c>
      <c r="C18" s="173">
        <f>963334.38-10000-5000-8000</f>
        <v>940334.38</v>
      </c>
    </row>
    <row r="19" spans="1:3" ht="103.5">
      <c r="A19" s="106" t="s">
        <v>842</v>
      </c>
      <c r="B19" s="107" t="s">
        <v>663</v>
      </c>
      <c r="C19" s="173">
        <f>12230.28+10000+5000+8000</f>
        <v>35230.28</v>
      </c>
    </row>
    <row r="20" spans="1:3" ht="46.5">
      <c r="A20" s="169" t="s">
        <v>843</v>
      </c>
      <c r="B20" s="174" t="s">
        <v>844</v>
      </c>
      <c r="C20" s="171">
        <f>C21</f>
        <v>8080005.9399999995</v>
      </c>
    </row>
    <row r="21" spans="1:3" ht="46.5">
      <c r="A21" s="102" t="s">
        <v>845</v>
      </c>
      <c r="B21" s="103" t="s">
        <v>846</v>
      </c>
      <c r="C21" s="104">
        <f>C22+C23+C24+C25</f>
        <v>8080005.9399999995</v>
      </c>
    </row>
    <row r="22" spans="1:3" ht="86.25">
      <c r="A22" s="106" t="s">
        <v>847</v>
      </c>
      <c r="B22" s="107" t="s">
        <v>848</v>
      </c>
      <c r="C22" s="108">
        <v>2989602.2</v>
      </c>
    </row>
    <row r="23" spans="1:3" ht="100.5">
      <c r="A23" s="106" t="s">
        <v>849</v>
      </c>
      <c r="B23" s="107" t="s">
        <v>850</v>
      </c>
      <c r="C23" s="108">
        <v>80800.06</v>
      </c>
    </row>
    <row r="24" spans="1:3" ht="86.25">
      <c r="A24" s="106" t="s">
        <v>851</v>
      </c>
      <c r="B24" s="107" t="s">
        <v>852</v>
      </c>
      <c r="C24" s="108">
        <v>5009603.68</v>
      </c>
    </row>
    <row r="25" spans="1:3" ht="86.25" hidden="1">
      <c r="A25" s="106" t="s">
        <v>853</v>
      </c>
      <c r="B25" s="107" t="s">
        <v>854</v>
      </c>
      <c r="C25" s="108">
        <f>32153-32153</f>
        <v>0</v>
      </c>
    </row>
    <row r="26" spans="1:3" ht="17.25">
      <c r="A26" s="169" t="s">
        <v>855</v>
      </c>
      <c r="B26" s="170" t="s">
        <v>856</v>
      </c>
      <c r="C26" s="171">
        <f>C27+C34+C38</f>
        <v>49099858.239999995</v>
      </c>
    </row>
    <row r="27" spans="1:3" ht="30.75">
      <c r="A27" s="102" t="s">
        <v>857</v>
      </c>
      <c r="B27" s="175" t="s">
        <v>1146</v>
      </c>
      <c r="C27" s="104">
        <f>C28+C31+C33</f>
        <v>27425400</v>
      </c>
    </row>
    <row r="28" spans="1:3" s="96" customFormat="1" ht="28.5">
      <c r="A28" s="106" t="s">
        <v>186</v>
      </c>
      <c r="B28" s="107" t="s">
        <v>187</v>
      </c>
      <c r="C28" s="108">
        <f>C29+C30</f>
        <v>10243675</v>
      </c>
    </row>
    <row r="29" spans="1:3" s="96" customFormat="1" ht="28.5">
      <c r="A29" s="106" t="s">
        <v>188</v>
      </c>
      <c r="B29" s="107" t="s">
        <v>187</v>
      </c>
      <c r="C29" s="108">
        <f>10243675-10000</f>
        <v>10233675</v>
      </c>
    </row>
    <row r="30" spans="1:3" s="96" customFormat="1" ht="42.75">
      <c r="A30" s="106" t="s">
        <v>1108</v>
      </c>
      <c r="B30" s="107" t="s">
        <v>1109</v>
      </c>
      <c r="C30" s="108">
        <v>10000</v>
      </c>
    </row>
    <row r="31" spans="1:3" s="96" customFormat="1" ht="42.75">
      <c r="A31" s="106" t="s">
        <v>189</v>
      </c>
      <c r="B31" s="107" t="s">
        <v>190</v>
      </c>
      <c r="C31" s="108">
        <f>C32</f>
        <v>12635550</v>
      </c>
    </row>
    <row r="32" spans="1:3" s="96" customFormat="1" ht="42.75">
      <c r="A32" s="106" t="s">
        <v>191</v>
      </c>
      <c r="B32" s="107" t="s">
        <v>190</v>
      </c>
      <c r="C32" s="108">
        <v>12635550</v>
      </c>
    </row>
    <row r="33" spans="1:3" s="96" customFormat="1" ht="28.5">
      <c r="A33" s="106" t="s">
        <v>192</v>
      </c>
      <c r="B33" s="107" t="s">
        <v>193</v>
      </c>
      <c r="C33" s="108">
        <v>4546175</v>
      </c>
    </row>
    <row r="34" spans="1:3" s="97" customFormat="1" ht="30.75">
      <c r="A34" s="102" t="s">
        <v>194</v>
      </c>
      <c r="B34" s="175" t="s">
        <v>196</v>
      </c>
      <c r="C34" s="104">
        <f>C35+C36</f>
        <v>21269458.24</v>
      </c>
    </row>
    <row r="35" spans="1:3" s="97" customFormat="1" ht="28.5">
      <c r="A35" s="106" t="s">
        <v>195</v>
      </c>
      <c r="B35" s="107" t="s">
        <v>196</v>
      </c>
      <c r="C35" s="108">
        <v>21259458.24</v>
      </c>
    </row>
    <row r="36" spans="1:3" s="97" customFormat="1" ht="42.75">
      <c r="A36" s="106" t="s">
        <v>197</v>
      </c>
      <c r="B36" s="107" t="s">
        <v>462</v>
      </c>
      <c r="C36" s="108">
        <v>10000</v>
      </c>
    </row>
    <row r="37" spans="1:3" s="97" customFormat="1" ht="30.75">
      <c r="A37" s="102" t="s">
        <v>463</v>
      </c>
      <c r="B37" s="175" t="s">
        <v>464</v>
      </c>
      <c r="C37" s="104">
        <f>C38</f>
        <v>405000</v>
      </c>
    </row>
    <row r="38" spans="1:3" ht="42.75">
      <c r="A38" s="106" t="s">
        <v>465</v>
      </c>
      <c r="B38" s="176" t="s">
        <v>466</v>
      </c>
      <c r="C38" s="108">
        <v>405000</v>
      </c>
    </row>
    <row r="39" spans="1:3" ht="17.25">
      <c r="A39" s="169" t="s">
        <v>467</v>
      </c>
      <c r="B39" s="170" t="s">
        <v>468</v>
      </c>
      <c r="C39" s="171">
        <f>C40+C42</f>
        <v>16075549.92</v>
      </c>
    </row>
    <row r="40" spans="1:3" ht="17.25">
      <c r="A40" s="102" t="s">
        <v>469</v>
      </c>
      <c r="B40" s="175" t="s">
        <v>470</v>
      </c>
      <c r="C40" s="104">
        <f>C41</f>
        <v>5500000</v>
      </c>
    </row>
    <row r="41" spans="1:3" ht="42.75">
      <c r="A41" s="106" t="s">
        <v>471</v>
      </c>
      <c r="B41" s="177" t="s">
        <v>472</v>
      </c>
      <c r="C41" s="108">
        <f>5500000</f>
        <v>5500000</v>
      </c>
    </row>
    <row r="42" spans="1:3" ht="17.25">
      <c r="A42" s="102" t="s">
        <v>473</v>
      </c>
      <c r="B42" s="175" t="s">
        <v>474</v>
      </c>
      <c r="C42" s="104">
        <f>C43+C45</f>
        <v>10575549.92</v>
      </c>
    </row>
    <row r="43" spans="1:3" ht="17.25">
      <c r="A43" s="106" t="s">
        <v>869</v>
      </c>
      <c r="B43" s="107" t="s">
        <v>870</v>
      </c>
      <c r="C43" s="108">
        <f>C44</f>
        <v>10375549.92</v>
      </c>
    </row>
    <row r="44" spans="1:3" ht="42.75">
      <c r="A44" s="106" t="s">
        <v>871</v>
      </c>
      <c r="B44" s="107" t="s">
        <v>198</v>
      </c>
      <c r="C44" s="108">
        <v>10375549.92</v>
      </c>
    </row>
    <row r="45" spans="1:3" ht="17.25">
      <c r="A45" s="106" t="s">
        <v>199</v>
      </c>
      <c r="B45" s="107" t="s">
        <v>200</v>
      </c>
      <c r="C45" s="108">
        <f>C46</f>
        <v>200000</v>
      </c>
    </row>
    <row r="46" spans="1:3" ht="42.75">
      <c r="A46" s="106" t="s">
        <v>201</v>
      </c>
      <c r="B46" s="107" t="s">
        <v>1145</v>
      </c>
      <c r="C46" s="108">
        <v>200000</v>
      </c>
    </row>
    <row r="47" spans="1:3" ht="17.25">
      <c r="A47" s="169" t="s">
        <v>476</v>
      </c>
      <c r="B47" s="170" t="s">
        <v>477</v>
      </c>
      <c r="C47" s="171">
        <f>C48+C50</f>
        <v>6158542.98</v>
      </c>
    </row>
    <row r="48" spans="1:3" ht="28.5">
      <c r="A48" s="178" t="s">
        <v>478</v>
      </c>
      <c r="B48" s="179" t="s">
        <v>479</v>
      </c>
      <c r="C48" s="180">
        <f>C49</f>
        <v>6088542.98</v>
      </c>
    </row>
    <row r="49" spans="1:3" ht="42.75">
      <c r="A49" s="106" t="s">
        <v>480</v>
      </c>
      <c r="B49" s="107" t="s">
        <v>481</v>
      </c>
      <c r="C49" s="108">
        <f>6433442.98-339900-5000</f>
        <v>6088542.98</v>
      </c>
    </row>
    <row r="50" spans="1:3" ht="42.75">
      <c r="A50" s="178" t="s">
        <v>482</v>
      </c>
      <c r="B50" s="179" t="s">
        <v>483</v>
      </c>
      <c r="C50" s="180">
        <f>C51</f>
        <v>70000</v>
      </c>
    </row>
    <row r="51" spans="1:3" ht="28.5">
      <c r="A51" s="106" t="s">
        <v>484</v>
      </c>
      <c r="B51" s="107" t="s">
        <v>485</v>
      </c>
      <c r="C51" s="108">
        <f>20000+45000+5000</f>
        <v>70000</v>
      </c>
    </row>
    <row r="52" spans="1:3" ht="17.25">
      <c r="A52" s="169"/>
      <c r="B52" s="181" t="s">
        <v>486</v>
      </c>
      <c r="C52" s="182">
        <f>C53+C67+C73+C82+C86</f>
        <v>108497225.47</v>
      </c>
    </row>
    <row r="53" spans="1:3" ht="46.5">
      <c r="A53" s="183" t="s">
        <v>487</v>
      </c>
      <c r="B53" s="184" t="s">
        <v>77</v>
      </c>
      <c r="C53" s="171">
        <f>C54+C61+C64</f>
        <v>62556700.28</v>
      </c>
    </row>
    <row r="54" spans="1:3" ht="108">
      <c r="A54" s="102" t="s">
        <v>78</v>
      </c>
      <c r="B54" s="185" t="s">
        <v>79</v>
      </c>
      <c r="C54" s="104">
        <f>C55+C57+C59</f>
        <v>30269909</v>
      </c>
    </row>
    <row r="55" spans="1:3" ht="72">
      <c r="A55" s="106" t="s">
        <v>80</v>
      </c>
      <c r="B55" s="107" t="s">
        <v>81</v>
      </c>
      <c r="C55" s="108">
        <f>C56</f>
        <v>12264033</v>
      </c>
    </row>
    <row r="56" spans="1:3" ht="86.25">
      <c r="A56" s="106" t="s">
        <v>82</v>
      </c>
      <c r="B56" s="186" t="s">
        <v>858</v>
      </c>
      <c r="C56" s="108">
        <v>12264033</v>
      </c>
    </row>
    <row r="57" spans="1:3" ht="86.25">
      <c r="A57" s="106" t="s">
        <v>83</v>
      </c>
      <c r="B57" s="107" t="s">
        <v>84</v>
      </c>
      <c r="C57" s="108">
        <f>C58</f>
        <v>2563369</v>
      </c>
    </row>
    <row r="58" spans="1:3" ht="72">
      <c r="A58" s="106" t="s">
        <v>85</v>
      </c>
      <c r="B58" s="186" t="s">
        <v>860</v>
      </c>
      <c r="C58" s="108">
        <v>2563369</v>
      </c>
    </row>
    <row r="59" spans="1:3" ht="42.75">
      <c r="A59" s="106" t="s">
        <v>698</v>
      </c>
      <c r="B59" s="186" t="s">
        <v>699</v>
      </c>
      <c r="C59" s="108">
        <f>C60</f>
        <v>15442507</v>
      </c>
    </row>
    <row r="60" spans="1:3" ht="42.75">
      <c r="A60" s="106" t="s">
        <v>700</v>
      </c>
      <c r="B60" s="186" t="s">
        <v>695</v>
      </c>
      <c r="C60" s="108">
        <v>15442507</v>
      </c>
    </row>
    <row r="61" spans="1:3" ht="30.75">
      <c r="A61" s="102" t="s">
        <v>86</v>
      </c>
      <c r="B61" s="103" t="s">
        <v>87</v>
      </c>
      <c r="C61" s="104">
        <f>C62</f>
        <v>598965.8099999998</v>
      </c>
    </row>
    <row r="62" spans="1:3" ht="57">
      <c r="A62" s="106" t="s">
        <v>88</v>
      </c>
      <c r="B62" s="107" t="s">
        <v>944</v>
      </c>
      <c r="C62" s="108">
        <f>C63</f>
        <v>598965.8099999998</v>
      </c>
    </row>
    <row r="63" spans="1:3" ht="57">
      <c r="A63" s="106" t="s">
        <v>945</v>
      </c>
      <c r="B63" s="157" t="s">
        <v>534</v>
      </c>
      <c r="C63" s="108">
        <f>2843000-1000000-181460.64-1000000-62573.55</f>
        <v>598965.8099999998</v>
      </c>
    </row>
    <row r="64" spans="1:3" ht="108">
      <c r="A64" s="102" t="s">
        <v>946</v>
      </c>
      <c r="B64" s="103" t="s">
        <v>947</v>
      </c>
      <c r="C64" s="104">
        <f>C65</f>
        <v>31687825.47</v>
      </c>
    </row>
    <row r="65" spans="1:3" ht="86.25">
      <c r="A65" s="106" t="s">
        <v>948</v>
      </c>
      <c r="B65" s="107" t="s">
        <v>949</v>
      </c>
      <c r="C65" s="108">
        <f>C66</f>
        <v>31687825.47</v>
      </c>
    </row>
    <row r="66" spans="1:3" ht="86.25">
      <c r="A66" s="106" t="s">
        <v>950</v>
      </c>
      <c r="B66" s="157" t="s">
        <v>862</v>
      </c>
      <c r="C66" s="108">
        <f>35220137+294900+397944.47-4225156</f>
        <v>31687825.47</v>
      </c>
    </row>
    <row r="67" spans="1:3" ht="30.75">
      <c r="A67" s="169" t="s">
        <v>951</v>
      </c>
      <c r="B67" s="187" t="s">
        <v>952</v>
      </c>
      <c r="C67" s="171">
        <f>C68</f>
        <v>9542345</v>
      </c>
    </row>
    <row r="68" spans="1:3" ht="30.75">
      <c r="A68" s="102" t="s">
        <v>953</v>
      </c>
      <c r="B68" s="156" t="s">
        <v>954</v>
      </c>
      <c r="C68" s="104">
        <f>C69+C70+C71+C72</f>
        <v>9542345</v>
      </c>
    </row>
    <row r="69" spans="1:3" ht="28.5">
      <c r="A69" s="106" t="s">
        <v>955</v>
      </c>
      <c r="B69" s="107" t="s">
        <v>956</v>
      </c>
      <c r="C69" s="108">
        <f>357500-100000+59624</f>
        <v>317124</v>
      </c>
    </row>
    <row r="70" spans="1:3" ht="28.5">
      <c r="A70" s="106" t="s">
        <v>957</v>
      </c>
      <c r="B70" s="107" t="s">
        <v>958</v>
      </c>
      <c r="C70" s="108">
        <f>1110+1000</f>
        <v>2110</v>
      </c>
    </row>
    <row r="71" spans="1:3" ht="28.5">
      <c r="A71" s="106" t="s">
        <v>959</v>
      </c>
      <c r="B71" s="107" t="s">
        <v>960</v>
      </c>
      <c r="C71" s="108">
        <f>647889+1200000+1602000+1000000+3472390</f>
        <v>7922279</v>
      </c>
    </row>
    <row r="72" spans="1:3" ht="28.5">
      <c r="A72" s="106" t="s">
        <v>961</v>
      </c>
      <c r="B72" s="107" t="s">
        <v>962</v>
      </c>
      <c r="C72" s="108">
        <f>2612500-1201110-503000+392442</f>
        <v>1300832</v>
      </c>
    </row>
    <row r="73" spans="1:3" ht="30.75">
      <c r="A73" s="169" t="s">
        <v>202</v>
      </c>
      <c r="B73" s="187" t="s">
        <v>963</v>
      </c>
      <c r="C73" s="171">
        <f>C77+C74</f>
        <v>2897507.55</v>
      </c>
    </row>
    <row r="74" spans="1:3" ht="27.75" customHeight="1">
      <c r="A74" s="102" t="s">
        <v>1135</v>
      </c>
      <c r="B74" s="156" t="s">
        <v>1136</v>
      </c>
      <c r="C74" s="104">
        <f>C75</f>
        <v>16325</v>
      </c>
    </row>
    <row r="75" spans="1:3" ht="23.25" customHeight="1">
      <c r="A75" s="106" t="s">
        <v>1137</v>
      </c>
      <c r="B75" s="157" t="s">
        <v>1138</v>
      </c>
      <c r="C75" s="108">
        <f>C76</f>
        <v>16325</v>
      </c>
    </row>
    <row r="76" spans="1:3" ht="39" customHeight="1">
      <c r="A76" s="106" t="s">
        <v>1139</v>
      </c>
      <c r="B76" s="157" t="s">
        <v>1132</v>
      </c>
      <c r="C76" s="108">
        <v>16325</v>
      </c>
    </row>
    <row r="77" spans="1:3" ht="17.25">
      <c r="A77" s="102" t="s">
        <v>1000</v>
      </c>
      <c r="B77" s="156" t="s">
        <v>999</v>
      </c>
      <c r="C77" s="104">
        <f>C80+C78</f>
        <v>2881182.55</v>
      </c>
    </row>
    <row r="78" spans="1:3" ht="28.5">
      <c r="A78" s="106" t="s">
        <v>964</v>
      </c>
      <c r="B78" s="157" t="s">
        <v>965</v>
      </c>
      <c r="C78" s="108">
        <f>C79</f>
        <v>71343</v>
      </c>
    </row>
    <row r="79" spans="1:3" ht="42.75">
      <c r="A79" s="106" t="s">
        <v>966</v>
      </c>
      <c r="B79" s="157" t="s">
        <v>535</v>
      </c>
      <c r="C79" s="108">
        <v>71343</v>
      </c>
    </row>
    <row r="80" spans="1:3" ht="21" customHeight="1">
      <c r="A80" s="106" t="s">
        <v>967</v>
      </c>
      <c r="B80" s="157" t="s">
        <v>968</v>
      </c>
      <c r="C80" s="108">
        <f>C81</f>
        <v>2809839.55</v>
      </c>
    </row>
    <row r="81" spans="1:3" ht="36" customHeight="1">
      <c r="A81" s="106" t="s">
        <v>1001</v>
      </c>
      <c r="B81" s="157" t="s">
        <v>866</v>
      </c>
      <c r="C81" s="108">
        <f>940603+1522288-16325+62573.55+300700</f>
        <v>2809839.55</v>
      </c>
    </row>
    <row r="82" spans="1:3" ht="30.75">
      <c r="A82" s="169" t="s">
        <v>969</v>
      </c>
      <c r="B82" s="187" t="s">
        <v>970</v>
      </c>
      <c r="C82" s="171">
        <f>C83</f>
        <v>26588550</v>
      </c>
    </row>
    <row r="83" spans="1:3" ht="93">
      <c r="A83" s="102" t="s">
        <v>971</v>
      </c>
      <c r="B83" s="103" t="s">
        <v>972</v>
      </c>
      <c r="C83" s="104">
        <f>C84</f>
        <v>26588550</v>
      </c>
    </row>
    <row r="84" spans="1:3" ht="86.25">
      <c r="A84" s="106" t="s">
        <v>973</v>
      </c>
      <c r="B84" s="107" t="s">
        <v>974</v>
      </c>
      <c r="C84" s="108">
        <f>C85</f>
        <v>26588550</v>
      </c>
    </row>
    <row r="85" spans="1:3" ht="86.25">
      <c r="A85" s="106" t="s">
        <v>975</v>
      </c>
      <c r="B85" s="107" t="s">
        <v>863</v>
      </c>
      <c r="C85" s="108">
        <v>26588550</v>
      </c>
    </row>
    <row r="86" spans="1:3" ht="17.25">
      <c r="A86" s="85" t="s">
        <v>976</v>
      </c>
      <c r="B86" s="100" t="s">
        <v>819</v>
      </c>
      <c r="C86" s="86">
        <f>C87+C90+C95+C98+C103+C104+C101+C100+C91+C93</f>
        <v>6912122.64</v>
      </c>
    </row>
    <row r="87" spans="1:3" ht="30.75">
      <c r="A87" s="90" t="s">
        <v>820</v>
      </c>
      <c r="B87" s="94" t="s">
        <v>509</v>
      </c>
      <c r="C87" s="91">
        <f>C88+C89</f>
        <v>88073</v>
      </c>
    </row>
    <row r="88" spans="1:3" ht="80.25">
      <c r="A88" s="92" t="s">
        <v>510</v>
      </c>
      <c r="B88" s="93" t="s">
        <v>675</v>
      </c>
      <c r="C88" s="95">
        <v>79988</v>
      </c>
    </row>
    <row r="89" spans="1:3" ht="57">
      <c r="A89" s="92" t="s">
        <v>511</v>
      </c>
      <c r="B89" s="93" t="s">
        <v>512</v>
      </c>
      <c r="C89" s="95">
        <v>8085</v>
      </c>
    </row>
    <row r="90" spans="1:3" ht="77.25">
      <c r="A90" s="90" t="s">
        <v>513</v>
      </c>
      <c r="B90" s="94" t="s">
        <v>514</v>
      </c>
      <c r="C90" s="91">
        <v>69391</v>
      </c>
    </row>
    <row r="91" spans="1:3" ht="77.25">
      <c r="A91" s="247" t="s">
        <v>1229</v>
      </c>
      <c r="B91" s="248" t="s">
        <v>1230</v>
      </c>
      <c r="C91" s="249">
        <v>250000</v>
      </c>
    </row>
    <row r="92" spans="1:3" ht="57">
      <c r="A92" s="250" t="s">
        <v>1231</v>
      </c>
      <c r="B92" s="251" t="s">
        <v>1232</v>
      </c>
      <c r="C92" s="252">
        <v>250000</v>
      </c>
    </row>
    <row r="93" spans="1:3" ht="36" customHeight="1">
      <c r="A93" s="247" t="s">
        <v>1233</v>
      </c>
      <c r="B93" s="248" t="s">
        <v>1234</v>
      </c>
      <c r="C93" s="249">
        <f>C94</f>
        <v>22700</v>
      </c>
    </row>
    <row r="94" spans="1:3" ht="86.25" customHeight="1">
      <c r="A94" s="250" t="s">
        <v>1235</v>
      </c>
      <c r="B94" s="251" t="s">
        <v>1106</v>
      </c>
      <c r="C94" s="252">
        <v>22700</v>
      </c>
    </row>
    <row r="95" spans="1:3" ht="146.25" customHeight="1">
      <c r="A95" s="90" t="s">
        <v>515</v>
      </c>
      <c r="B95" s="94" t="s">
        <v>812</v>
      </c>
      <c r="C95" s="91">
        <f>C97+C96</f>
        <v>18589</v>
      </c>
    </row>
    <row r="96" spans="1:3" ht="42.75" hidden="1">
      <c r="A96" s="92" t="s">
        <v>516</v>
      </c>
      <c r="B96" s="93" t="s">
        <v>517</v>
      </c>
      <c r="C96" s="95">
        <v>0</v>
      </c>
    </row>
    <row r="97" spans="1:3" ht="28.5">
      <c r="A97" s="92" t="s">
        <v>518</v>
      </c>
      <c r="B97" s="93" t="s">
        <v>519</v>
      </c>
      <c r="C97" s="95">
        <v>18589</v>
      </c>
    </row>
    <row r="98" spans="1:3" s="105" customFormat="1" ht="77.25">
      <c r="A98" s="102" t="s">
        <v>283</v>
      </c>
      <c r="B98" s="103" t="s">
        <v>284</v>
      </c>
      <c r="C98" s="104">
        <v>494700</v>
      </c>
    </row>
    <row r="99" spans="1:3" s="105" customFormat="1" ht="30.75">
      <c r="A99" s="102" t="s">
        <v>285</v>
      </c>
      <c r="B99" s="103" t="s">
        <v>286</v>
      </c>
      <c r="C99" s="104">
        <f>C100</f>
        <v>2248628</v>
      </c>
    </row>
    <row r="100" spans="1:3" s="105" customFormat="1" ht="28.5">
      <c r="A100" s="106" t="s">
        <v>287</v>
      </c>
      <c r="B100" s="107" t="s">
        <v>288</v>
      </c>
      <c r="C100" s="108">
        <f>1648628+300000+300000</f>
        <v>2248628</v>
      </c>
    </row>
    <row r="101" spans="1:3" s="105" customFormat="1" ht="77.25">
      <c r="A101" s="102" t="s">
        <v>289</v>
      </c>
      <c r="B101" s="103" t="s">
        <v>290</v>
      </c>
      <c r="C101" s="104">
        <f>C102</f>
        <v>150284</v>
      </c>
    </row>
    <row r="102" spans="1:3" s="105" customFormat="1" ht="72">
      <c r="A102" s="106" t="s">
        <v>291</v>
      </c>
      <c r="B102" s="107" t="s">
        <v>292</v>
      </c>
      <c r="C102" s="108">
        <v>150284</v>
      </c>
    </row>
    <row r="103" spans="1:3" ht="93">
      <c r="A103" s="90" t="s">
        <v>293</v>
      </c>
      <c r="B103" s="94" t="s">
        <v>294</v>
      </c>
      <c r="C103" s="91">
        <v>66716</v>
      </c>
    </row>
    <row r="104" spans="1:3" ht="30.75">
      <c r="A104" s="90" t="s">
        <v>295</v>
      </c>
      <c r="B104" s="94" t="s">
        <v>13</v>
      </c>
      <c r="C104" s="91">
        <f>C105</f>
        <v>3503041.6399999997</v>
      </c>
    </row>
    <row r="105" spans="1:3" ht="42.75">
      <c r="A105" s="92" t="s">
        <v>14</v>
      </c>
      <c r="B105" s="93" t="s">
        <v>867</v>
      </c>
      <c r="C105" s="95">
        <f>1905208+2017004.64-419171</f>
        <v>3503041.6399999997</v>
      </c>
    </row>
    <row r="106" spans="1:3" ht="17.25">
      <c r="A106" s="85" t="s">
        <v>15</v>
      </c>
      <c r="B106" s="89" t="s">
        <v>16</v>
      </c>
      <c r="C106" s="86">
        <f>C107</f>
        <v>1353046432.79</v>
      </c>
    </row>
    <row r="107" spans="1:3" ht="30.75">
      <c r="A107" s="85" t="s">
        <v>17</v>
      </c>
      <c r="B107" s="53" t="s">
        <v>18</v>
      </c>
      <c r="C107" s="88">
        <f>C108+C113+C124+C135</f>
        <v>1353046432.79</v>
      </c>
    </row>
    <row r="108" spans="1:3" ht="30.75">
      <c r="A108" s="85" t="s">
        <v>19</v>
      </c>
      <c r="B108" s="53" t="s">
        <v>20</v>
      </c>
      <c r="C108" s="86">
        <f>C109+C111</f>
        <v>574740000</v>
      </c>
    </row>
    <row r="109" spans="1:3" ht="30.75">
      <c r="A109" s="90" t="s">
        <v>21</v>
      </c>
      <c r="B109" s="94" t="s">
        <v>1144</v>
      </c>
      <c r="C109" s="91">
        <f>C110</f>
        <v>13935000</v>
      </c>
    </row>
    <row r="110" spans="1:3" ht="28.5">
      <c r="A110" s="92" t="s">
        <v>22</v>
      </c>
      <c r="B110" s="93" t="s">
        <v>1143</v>
      </c>
      <c r="C110" s="95">
        <f>13471000+464000</f>
        <v>13935000</v>
      </c>
    </row>
    <row r="111" spans="1:3" ht="61.5">
      <c r="A111" s="90" t="s">
        <v>23</v>
      </c>
      <c r="B111" s="94" t="s">
        <v>24</v>
      </c>
      <c r="C111" s="91">
        <f>C112</f>
        <v>560805000</v>
      </c>
    </row>
    <row r="112" spans="1:3" ht="57">
      <c r="A112" s="92" t="s">
        <v>25</v>
      </c>
      <c r="B112" s="93" t="s">
        <v>864</v>
      </c>
      <c r="C112" s="95">
        <f>460609000+100196000</f>
        <v>560805000</v>
      </c>
    </row>
    <row r="113" spans="1:3" ht="46.5">
      <c r="A113" s="85" t="s">
        <v>26</v>
      </c>
      <c r="B113" s="100" t="s">
        <v>813</v>
      </c>
      <c r="C113" s="86">
        <f>C122+C118+C114+C120+C116</f>
        <v>65015077.19</v>
      </c>
    </row>
    <row r="114" spans="1:3" ht="30.75">
      <c r="A114" s="90" t="s">
        <v>1195</v>
      </c>
      <c r="B114" s="101" t="s">
        <v>1196</v>
      </c>
      <c r="C114" s="91">
        <f>C115</f>
        <v>1214000</v>
      </c>
    </row>
    <row r="115" spans="1:3" ht="28.5">
      <c r="A115" s="92" t="s">
        <v>1197</v>
      </c>
      <c r="B115" s="99" t="s">
        <v>1190</v>
      </c>
      <c r="C115" s="95">
        <v>1214000</v>
      </c>
    </row>
    <row r="116" spans="1:3" ht="61.5">
      <c r="A116" s="247" t="s">
        <v>1236</v>
      </c>
      <c r="B116" s="253" t="s">
        <v>1237</v>
      </c>
      <c r="C116" s="91">
        <f>C117</f>
        <v>452500</v>
      </c>
    </row>
    <row r="117" spans="1:3" ht="57">
      <c r="A117" s="250" t="s">
        <v>1238</v>
      </c>
      <c r="B117" s="254" t="s">
        <v>1239</v>
      </c>
      <c r="C117" s="95">
        <v>452500</v>
      </c>
    </row>
    <row r="118" spans="1:3" s="218" customFormat="1" ht="84" customHeight="1">
      <c r="A118" s="90" t="s">
        <v>1140</v>
      </c>
      <c r="B118" s="101" t="s">
        <v>1141</v>
      </c>
      <c r="C118" s="91">
        <f>C119</f>
        <v>25821517.19</v>
      </c>
    </row>
    <row r="119" spans="1:3" s="96" customFormat="1" ht="78" customHeight="1">
      <c r="A119" s="92" t="s">
        <v>1142</v>
      </c>
      <c r="B119" s="99" t="s">
        <v>1134</v>
      </c>
      <c r="C119" s="95">
        <v>25821517.19</v>
      </c>
    </row>
    <row r="120" spans="1:3" s="96" customFormat="1" ht="36" customHeight="1">
      <c r="A120" s="90" t="s">
        <v>1198</v>
      </c>
      <c r="B120" s="101" t="s">
        <v>1199</v>
      </c>
      <c r="C120" s="91">
        <f>C121</f>
        <v>158000</v>
      </c>
    </row>
    <row r="121" spans="1:3" s="96" customFormat="1" ht="36" customHeight="1">
      <c r="A121" s="92" t="s">
        <v>1200</v>
      </c>
      <c r="B121" s="220" t="s">
        <v>1192</v>
      </c>
      <c r="C121" s="95">
        <v>158000</v>
      </c>
    </row>
    <row r="122" spans="1:3" ht="17.25">
      <c r="A122" s="90" t="s">
        <v>27</v>
      </c>
      <c r="B122" s="101" t="s">
        <v>28</v>
      </c>
      <c r="C122" s="91">
        <f>C123</f>
        <v>37369060</v>
      </c>
    </row>
    <row r="123" spans="1:3" ht="17.25">
      <c r="A123" s="92" t="s">
        <v>29</v>
      </c>
      <c r="B123" s="99" t="s">
        <v>30</v>
      </c>
      <c r="C123" s="95">
        <f>1121200+2866200+2920100+11400+275600-441400+348600+11509300-144100+18902160</f>
        <v>37369060</v>
      </c>
    </row>
    <row r="124" spans="1:3" ht="30.75">
      <c r="A124" s="85" t="s">
        <v>31</v>
      </c>
      <c r="B124" s="100" t="s">
        <v>32</v>
      </c>
      <c r="C124" s="86">
        <f>C125+C127+C129+C131+C133</f>
        <v>713228242.6</v>
      </c>
    </row>
    <row r="125" spans="1:3" ht="30.75">
      <c r="A125" s="90" t="s">
        <v>33</v>
      </c>
      <c r="B125" s="101" t="s">
        <v>34</v>
      </c>
      <c r="C125" s="91">
        <f>C126</f>
        <v>1758900</v>
      </c>
    </row>
    <row r="126" spans="1:3" ht="42.75">
      <c r="A126" s="92" t="s">
        <v>35</v>
      </c>
      <c r="B126" s="93" t="s">
        <v>536</v>
      </c>
      <c r="C126" s="95">
        <v>1758900</v>
      </c>
    </row>
    <row r="127" spans="1:3" ht="61.5">
      <c r="A127" s="90" t="s">
        <v>823</v>
      </c>
      <c r="B127" s="101" t="s">
        <v>824</v>
      </c>
      <c r="C127" s="91">
        <f>C128</f>
        <v>38000</v>
      </c>
    </row>
    <row r="128" spans="1:3" ht="57">
      <c r="A128" s="92" t="s">
        <v>825</v>
      </c>
      <c r="B128" s="99" t="s">
        <v>520</v>
      </c>
      <c r="C128" s="95">
        <f>38800-800</f>
        <v>38000</v>
      </c>
    </row>
    <row r="129" spans="1:3" ht="61.5">
      <c r="A129" s="90" t="s">
        <v>760</v>
      </c>
      <c r="B129" s="94" t="s">
        <v>761</v>
      </c>
      <c r="C129" s="95">
        <f>C130</f>
        <v>34180300</v>
      </c>
    </row>
    <row r="130" spans="1:3" ht="42.75">
      <c r="A130" s="92" t="s">
        <v>762</v>
      </c>
      <c r="B130" s="93" t="s">
        <v>758</v>
      </c>
      <c r="C130" s="95">
        <f>26991500+7188800</f>
        <v>34180300</v>
      </c>
    </row>
    <row r="131" spans="1:3" ht="93">
      <c r="A131" s="90" t="s">
        <v>763</v>
      </c>
      <c r="B131" s="94" t="s">
        <v>764</v>
      </c>
      <c r="C131" s="95">
        <f>C132</f>
        <v>17250200</v>
      </c>
    </row>
    <row r="132" spans="1:3" ht="86.25">
      <c r="A132" s="92" t="s">
        <v>765</v>
      </c>
      <c r="B132" s="93" t="s">
        <v>759</v>
      </c>
      <c r="C132" s="95">
        <f>16829500+420700</f>
        <v>17250200</v>
      </c>
    </row>
    <row r="133" spans="1:3" ht="17.25">
      <c r="A133" s="90" t="s">
        <v>36</v>
      </c>
      <c r="B133" s="101" t="s">
        <v>37</v>
      </c>
      <c r="C133" s="91">
        <f>C134</f>
        <v>660000842.6</v>
      </c>
    </row>
    <row r="134" spans="1:3" ht="17.25">
      <c r="A134" s="92" t="s">
        <v>38</v>
      </c>
      <c r="B134" s="93" t="s">
        <v>868</v>
      </c>
      <c r="C134" s="95">
        <f>325909600+306311700+1233400+4405000+136400+1014000+6000+13137100+1594000+22400+491500+2023300+7000+942100+73600+209400+38200+1742922.6+17620+685600</f>
        <v>660000842.6</v>
      </c>
    </row>
    <row r="135" spans="1:3" ht="17.25">
      <c r="A135" s="85" t="s">
        <v>39</v>
      </c>
      <c r="B135" s="53" t="s">
        <v>40</v>
      </c>
      <c r="C135" s="86">
        <f>C136+C138</f>
        <v>63113</v>
      </c>
    </row>
    <row r="136" spans="1:3" ht="77.25">
      <c r="A136" s="90" t="s">
        <v>658</v>
      </c>
      <c r="B136" s="101" t="s">
        <v>659</v>
      </c>
      <c r="C136" s="98">
        <f>C137</f>
        <v>13113</v>
      </c>
    </row>
    <row r="137" spans="1:3" ht="42.75">
      <c r="A137" s="92" t="s">
        <v>660</v>
      </c>
      <c r="B137" s="99" t="s">
        <v>865</v>
      </c>
      <c r="C137" s="95">
        <f>14800+137-1824</f>
        <v>13113</v>
      </c>
    </row>
    <row r="138" spans="1:3" ht="81.75" customHeight="1">
      <c r="A138" s="90" t="s">
        <v>1201</v>
      </c>
      <c r="B138" s="101" t="s">
        <v>1202</v>
      </c>
      <c r="C138" s="98">
        <f>C139</f>
        <v>50000</v>
      </c>
    </row>
    <row r="139" spans="1:3" ht="75" customHeight="1">
      <c r="A139" s="92" t="s">
        <v>1203</v>
      </c>
      <c r="B139" s="99" t="s">
        <v>1194</v>
      </c>
      <c r="C139" s="95">
        <v>50000</v>
      </c>
    </row>
    <row r="140" spans="1:3" ht="17.25">
      <c r="A140" s="268" t="s">
        <v>661</v>
      </c>
      <c r="B140" s="269"/>
      <c r="C140" s="86">
        <f>C11+C106</f>
        <v>2115608248.46</v>
      </c>
    </row>
  </sheetData>
  <sheetProtection/>
  <mergeCells count="7">
    <mergeCell ref="A140:B140"/>
    <mergeCell ref="B1:C1"/>
    <mergeCell ref="B2:C2"/>
    <mergeCell ref="B3:C3"/>
    <mergeCell ref="B4:C4"/>
    <mergeCell ref="B5:C5"/>
    <mergeCell ref="A7:C7"/>
  </mergeCells>
  <printOptions horizontalCentered="1"/>
  <pageMargins left="0.7480314960629921" right="0.15748031496062992" top="0.15748031496062992" bottom="0.2362204724409449" header="0.1968503937007874" footer="0.15748031496062992"/>
  <pageSetup fitToHeight="20" fitToWidth="1" horizontalDpi="600" verticalDpi="600" orientation="portrait" paperSize="9" scale="95" r:id="rId1"/>
  <rowBreaks count="9" manualBreakCount="9">
    <brk id="19" max="255" man="1"/>
    <brk id="31" max="255" man="1"/>
    <brk id="45" max="255" man="1"/>
    <brk id="55" max="255" man="1"/>
    <brk id="63" max="255" man="1"/>
    <brk id="77" max="255" man="1"/>
    <brk id="85" max="255" man="1"/>
    <brk id="93" max="255" man="1"/>
    <brk id="11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463"/>
  <sheetViews>
    <sheetView zoomScalePageLayoutView="0" workbookViewId="0" topLeftCell="B1">
      <selection activeCell="D4" sqref="D4:K4"/>
    </sheetView>
  </sheetViews>
  <sheetFormatPr defaultColWidth="9.125" defaultRowHeight="12.75"/>
  <cols>
    <col min="1" max="1" width="5.875" style="113" hidden="1" customWidth="1"/>
    <col min="2" max="2" width="38.75390625" style="113" customWidth="1"/>
    <col min="3" max="3" width="7.375" style="113" customWidth="1"/>
    <col min="4" max="4" width="7.625" style="113" customWidth="1"/>
    <col min="5" max="5" width="6.875" style="113" customWidth="1"/>
    <col min="6" max="6" width="6.00390625" style="113" customWidth="1"/>
    <col min="7" max="7" width="6.125" style="113" customWidth="1"/>
    <col min="8" max="8" width="5.125" style="113" customWidth="1"/>
    <col min="9" max="9" width="7.375" style="113" customWidth="1"/>
    <col min="10" max="10" width="9.00390625" style="113" customWidth="1"/>
    <col min="11" max="11" width="18.25390625" style="113" customWidth="1"/>
    <col min="12" max="12" width="20.125" style="114" customWidth="1"/>
    <col min="13" max="13" width="18.25390625" style="113" customWidth="1"/>
    <col min="14" max="14" width="14.25390625" style="114" customWidth="1"/>
    <col min="15" max="15" width="11.25390625" style="114" bestFit="1" customWidth="1"/>
    <col min="16" max="16384" width="9.125" style="113" customWidth="1"/>
  </cols>
  <sheetData>
    <row r="1" spans="3:11" ht="15">
      <c r="C1" s="30"/>
      <c r="D1" s="30"/>
      <c r="E1" s="30"/>
      <c r="F1" s="30"/>
      <c r="G1" s="30"/>
      <c r="H1" s="30"/>
      <c r="I1" s="30"/>
      <c r="J1" s="266" t="s">
        <v>571</v>
      </c>
      <c r="K1" s="266"/>
    </row>
    <row r="2" spans="3:11" ht="15">
      <c r="C2" s="30"/>
      <c r="D2" s="266" t="s">
        <v>570</v>
      </c>
      <c r="E2" s="266"/>
      <c r="F2" s="266"/>
      <c r="G2" s="266"/>
      <c r="H2" s="266"/>
      <c r="I2" s="266"/>
      <c r="J2" s="266"/>
      <c r="K2" s="266"/>
    </row>
    <row r="3" spans="3:11" ht="15">
      <c r="C3" s="30"/>
      <c r="D3" s="266" t="s">
        <v>918</v>
      </c>
      <c r="E3" s="266"/>
      <c r="F3" s="266"/>
      <c r="G3" s="266"/>
      <c r="H3" s="266"/>
      <c r="I3" s="266"/>
      <c r="J3" s="266"/>
      <c r="K3" s="266"/>
    </row>
    <row r="4" spans="3:11" ht="15">
      <c r="C4" s="30"/>
      <c r="D4" s="266" t="s">
        <v>1242</v>
      </c>
      <c r="E4" s="266"/>
      <c r="F4" s="266"/>
      <c r="G4" s="266"/>
      <c r="H4" s="266"/>
      <c r="I4" s="266"/>
      <c r="J4" s="266"/>
      <c r="K4" s="266"/>
    </row>
    <row r="5" spans="1:11" ht="17.25">
      <c r="A5" s="279" t="s">
        <v>572</v>
      </c>
      <c r="B5" s="279"/>
      <c r="C5" s="279"/>
      <c r="D5" s="279"/>
      <c r="E5" s="279"/>
      <c r="F5" s="279"/>
      <c r="G5" s="279"/>
      <c r="H5" s="279"/>
      <c r="I5" s="279"/>
      <c r="J5" s="279"/>
      <c r="K5" s="279"/>
    </row>
    <row r="6" spans="1:11" ht="17.25">
      <c r="A6" s="279" t="s">
        <v>1067</v>
      </c>
      <c r="B6" s="279"/>
      <c r="C6" s="279"/>
      <c r="D6" s="279"/>
      <c r="E6" s="279"/>
      <c r="F6" s="279"/>
      <c r="G6" s="279"/>
      <c r="H6" s="279"/>
      <c r="I6" s="279"/>
      <c r="J6" s="279"/>
      <c r="K6" s="279"/>
    </row>
    <row r="7" spans="1:11" ht="17.25">
      <c r="A7" s="115"/>
      <c r="B7" s="115"/>
      <c r="C7" s="115"/>
      <c r="D7" s="115"/>
      <c r="E7" s="115"/>
      <c r="F7" s="115"/>
      <c r="G7" s="115"/>
      <c r="H7" s="115"/>
      <c r="I7" s="115"/>
      <c r="J7" s="115"/>
      <c r="K7" s="115"/>
    </row>
    <row r="8" ht="15">
      <c r="K8" s="116" t="s">
        <v>573</v>
      </c>
    </row>
    <row r="9" spans="1:11" ht="15">
      <c r="A9" s="117"/>
      <c r="B9" s="118"/>
      <c r="C9" s="119"/>
      <c r="D9" s="119"/>
      <c r="E9" s="119"/>
      <c r="F9" s="119"/>
      <c r="G9" s="119"/>
      <c r="H9" s="119"/>
      <c r="I9" s="119"/>
      <c r="J9" s="119"/>
      <c r="K9" s="120"/>
    </row>
    <row r="10" spans="1:11" ht="15.75" customHeight="1">
      <c r="A10" s="271" t="s">
        <v>574</v>
      </c>
      <c r="B10" s="271" t="s">
        <v>575</v>
      </c>
      <c r="C10" s="273" t="s">
        <v>576</v>
      </c>
      <c r="D10" s="274"/>
      <c r="E10" s="274"/>
      <c r="F10" s="274"/>
      <c r="G10" s="274"/>
      <c r="H10" s="274"/>
      <c r="I10" s="274"/>
      <c r="J10" s="275"/>
      <c r="K10" s="271" t="s">
        <v>916</v>
      </c>
    </row>
    <row r="11" spans="1:11" ht="87" customHeight="1">
      <c r="A11" s="272"/>
      <c r="B11" s="272"/>
      <c r="C11" s="276"/>
      <c r="D11" s="277"/>
      <c r="E11" s="277"/>
      <c r="F11" s="277"/>
      <c r="G11" s="277"/>
      <c r="H11" s="277"/>
      <c r="I11" s="277"/>
      <c r="J11" s="278"/>
      <c r="K11" s="272"/>
    </row>
    <row r="12" spans="1:13" ht="32.25" customHeight="1" hidden="1">
      <c r="A12" s="121">
        <v>1</v>
      </c>
      <c r="B12" s="122" t="s">
        <v>577</v>
      </c>
      <c r="C12" s="123" t="s">
        <v>12</v>
      </c>
      <c r="D12" s="123" t="s">
        <v>917</v>
      </c>
      <c r="E12" s="123" t="s">
        <v>45</v>
      </c>
      <c r="F12" s="123" t="s">
        <v>742</v>
      </c>
      <c r="G12" s="123" t="s">
        <v>742</v>
      </c>
      <c r="H12" s="123" t="s">
        <v>742</v>
      </c>
      <c r="I12" s="123" t="s">
        <v>578</v>
      </c>
      <c r="J12" s="123" t="s">
        <v>579</v>
      </c>
      <c r="K12" s="124">
        <f>K13-K15</f>
        <v>0</v>
      </c>
      <c r="M12" s="124"/>
    </row>
    <row r="13" spans="1:13" ht="52.5" customHeight="1" hidden="1">
      <c r="A13" s="125" t="s">
        <v>580</v>
      </c>
      <c r="B13" s="126" t="s">
        <v>581</v>
      </c>
      <c r="C13" s="127" t="s">
        <v>12</v>
      </c>
      <c r="D13" s="127" t="s">
        <v>917</v>
      </c>
      <c r="E13" s="127" t="s">
        <v>45</v>
      </c>
      <c r="F13" s="127" t="s">
        <v>742</v>
      </c>
      <c r="G13" s="127" t="s">
        <v>742</v>
      </c>
      <c r="H13" s="127" t="s">
        <v>742</v>
      </c>
      <c r="I13" s="127" t="s">
        <v>578</v>
      </c>
      <c r="J13" s="127" t="s">
        <v>607</v>
      </c>
      <c r="K13" s="128">
        <f>K14</f>
        <v>0</v>
      </c>
      <c r="M13" s="114"/>
    </row>
    <row r="14" spans="1:13" ht="79.5" customHeight="1" hidden="1">
      <c r="A14" s="129"/>
      <c r="B14" s="126" t="s">
        <v>582</v>
      </c>
      <c r="C14" s="127" t="s">
        <v>12</v>
      </c>
      <c r="D14" s="127" t="s">
        <v>917</v>
      </c>
      <c r="E14" s="127" t="s">
        <v>45</v>
      </c>
      <c r="F14" s="127" t="s">
        <v>742</v>
      </c>
      <c r="G14" s="127" t="s">
        <v>742</v>
      </c>
      <c r="H14" s="127" t="s">
        <v>50</v>
      </c>
      <c r="I14" s="127" t="s">
        <v>578</v>
      </c>
      <c r="J14" s="127" t="s">
        <v>583</v>
      </c>
      <c r="K14" s="130">
        <v>0</v>
      </c>
      <c r="M14" s="114"/>
    </row>
    <row r="15" spans="1:13" ht="79.5" customHeight="1" hidden="1">
      <c r="A15" s="125" t="s">
        <v>584</v>
      </c>
      <c r="B15" s="126" t="s">
        <v>872</v>
      </c>
      <c r="C15" s="127" t="s">
        <v>12</v>
      </c>
      <c r="D15" s="127" t="s">
        <v>917</v>
      </c>
      <c r="E15" s="127" t="s">
        <v>45</v>
      </c>
      <c r="F15" s="127" t="s">
        <v>742</v>
      </c>
      <c r="G15" s="127" t="s">
        <v>742</v>
      </c>
      <c r="H15" s="127" t="s">
        <v>742</v>
      </c>
      <c r="I15" s="127" t="s">
        <v>578</v>
      </c>
      <c r="J15" s="127" t="s">
        <v>608</v>
      </c>
      <c r="K15" s="128">
        <f>K16</f>
        <v>0</v>
      </c>
      <c r="M15" s="114"/>
    </row>
    <row r="16" spans="1:13" ht="79.5" customHeight="1" hidden="1">
      <c r="A16" s="129"/>
      <c r="B16" s="126" t="s">
        <v>873</v>
      </c>
      <c r="C16" s="127" t="s">
        <v>12</v>
      </c>
      <c r="D16" s="127" t="s">
        <v>917</v>
      </c>
      <c r="E16" s="127" t="s">
        <v>45</v>
      </c>
      <c r="F16" s="127" t="s">
        <v>742</v>
      </c>
      <c r="G16" s="127" t="s">
        <v>742</v>
      </c>
      <c r="H16" s="127" t="s">
        <v>50</v>
      </c>
      <c r="I16" s="127" t="s">
        <v>578</v>
      </c>
      <c r="J16" s="127" t="s">
        <v>874</v>
      </c>
      <c r="K16" s="130">
        <v>0</v>
      </c>
      <c r="M16" s="114"/>
    </row>
    <row r="17" spans="1:13" ht="50.25" customHeight="1" hidden="1">
      <c r="A17" s="121">
        <v>2</v>
      </c>
      <c r="B17" s="122" t="s">
        <v>875</v>
      </c>
      <c r="C17" s="123" t="s">
        <v>12</v>
      </c>
      <c r="D17" s="123" t="s">
        <v>917</v>
      </c>
      <c r="E17" s="123" t="s">
        <v>47</v>
      </c>
      <c r="F17" s="123" t="s">
        <v>742</v>
      </c>
      <c r="G17" s="123" t="s">
        <v>742</v>
      </c>
      <c r="H17" s="123" t="s">
        <v>742</v>
      </c>
      <c r="I17" s="123" t="s">
        <v>578</v>
      </c>
      <c r="J17" s="123" t="s">
        <v>579</v>
      </c>
      <c r="K17" s="131">
        <f>K18</f>
        <v>0</v>
      </c>
      <c r="M17" s="114"/>
    </row>
    <row r="18" spans="1:13" ht="65.25" customHeight="1" hidden="1">
      <c r="A18" s="132" t="s">
        <v>876</v>
      </c>
      <c r="B18" s="122" t="s">
        <v>877</v>
      </c>
      <c r="C18" s="123" t="s">
        <v>12</v>
      </c>
      <c r="D18" s="123" t="s">
        <v>917</v>
      </c>
      <c r="E18" s="123" t="s">
        <v>47</v>
      </c>
      <c r="F18" s="123" t="s">
        <v>917</v>
      </c>
      <c r="G18" s="123" t="s">
        <v>742</v>
      </c>
      <c r="H18" s="123" t="s">
        <v>742</v>
      </c>
      <c r="I18" s="123" t="s">
        <v>578</v>
      </c>
      <c r="J18" s="123" t="s">
        <v>579</v>
      </c>
      <c r="K18" s="131">
        <f>K19-K21</f>
        <v>0</v>
      </c>
      <c r="M18" s="114"/>
    </row>
    <row r="19" spans="1:13" ht="75.75" customHeight="1" hidden="1">
      <c r="A19" s="125" t="s">
        <v>878</v>
      </c>
      <c r="B19" s="126" t="s">
        <v>879</v>
      </c>
      <c r="C19" s="127" t="s">
        <v>12</v>
      </c>
      <c r="D19" s="127" t="s">
        <v>917</v>
      </c>
      <c r="E19" s="127" t="s">
        <v>47</v>
      </c>
      <c r="F19" s="127" t="s">
        <v>917</v>
      </c>
      <c r="G19" s="127" t="s">
        <v>742</v>
      </c>
      <c r="H19" s="127" t="s">
        <v>742</v>
      </c>
      <c r="I19" s="127" t="s">
        <v>578</v>
      </c>
      <c r="J19" s="127" t="s">
        <v>607</v>
      </c>
      <c r="K19" s="130">
        <f>K20</f>
        <v>0</v>
      </c>
      <c r="M19" s="114"/>
    </row>
    <row r="20" spans="1:13" ht="83.25" customHeight="1" hidden="1">
      <c r="A20" s="129"/>
      <c r="B20" s="126" t="s">
        <v>880</v>
      </c>
      <c r="C20" s="127" t="s">
        <v>12</v>
      </c>
      <c r="D20" s="127" t="s">
        <v>917</v>
      </c>
      <c r="E20" s="127" t="s">
        <v>47</v>
      </c>
      <c r="F20" s="127" t="s">
        <v>917</v>
      </c>
      <c r="G20" s="127" t="s">
        <v>742</v>
      </c>
      <c r="H20" s="127" t="s">
        <v>50</v>
      </c>
      <c r="I20" s="127" t="s">
        <v>578</v>
      </c>
      <c r="J20" s="127" t="s">
        <v>583</v>
      </c>
      <c r="K20" s="130"/>
      <c r="M20" s="114"/>
    </row>
    <row r="21" spans="1:13" ht="72" customHeight="1" hidden="1">
      <c r="A21" s="125" t="s">
        <v>881</v>
      </c>
      <c r="B21" s="126" t="s">
        <v>882</v>
      </c>
      <c r="C21" s="127" t="s">
        <v>12</v>
      </c>
      <c r="D21" s="127" t="s">
        <v>917</v>
      </c>
      <c r="E21" s="127" t="s">
        <v>47</v>
      </c>
      <c r="F21" s="127" t="s">
        <v>917</v>
      </c>
      <c r="G21" s="127" t="s">
        <v>742</v>
      </c>
      <c r="H21" s="127" t="s">
        <v>742</v>
      </c>
      <c r="I21" s="127" t="s">
        <v>578</v>
      </c>
      <c r="J21" s="127" t="s">
        <v>608</v>
      </c>
      <c r="K21" s="128">
        <f>K22</f>
        <v>0</v>
      </c>
      <c r="M21" s="114"/>
    </row>
    <row r="22" spans="1:13" ht="87.75" customHeight="1" hidden="1">
      <c r="A22" s="129"/>
      <c r="B22" s="126" t="s">
        <v>883</v>
      </c>
      <c r="C22" s="127" t="s">
        <v>12</v>
      </c>
      <c r="D22" s="127" t="s">
        <v>917</v>
      </c>
      <c r="E22" s="127" t="s">
        <v>47</v>
      </c>
      <c r="F22" s="127" t="s">
        <v>917</v>
      </c>
      <c r="G22" s="127" t="s">
        <v>742</v>
      </c>
      <c r="H22" s="127" t="s">
        <v>50</v>
      </c>
      <c r="I22" s="127" t="s">
        <v>578</v>
      </c>
      <c r="J22" s="127" t="s">
        <v>874</v>
      </c>
      <c r="K22" s="128"/>
      <c r="M22" s="114"/>
    </row>
    <row r="23" spans="1:15" s="134" customFormat="1" ht="57.75" customHeight="1" hidden="1">
      <c r="A23" s="121">
        <v>3</v>
      </c>
      <c r="B23" s="122" t="s">
        <v>884</v>
      </c>
      <c r="C23" s="123" t="s">
        <v>12</v>
      </c>
      <c r="D23" s="123" t="s">
        <v>917</v>
      </c>
      <c r="E23" s="123" t="s">
        <v>41</v>
      </c>
      <c r="F23" s="123" t="s">
        <v>742</v>
      </c>
      <c r="G23" s="123" t="s">
        <v>742</v>
      </c>
      <c r="H23" s="123" t="s">
        <v>742</v>
      </c>
      <c r="I23" s="123" t="s">
        <v>578</v>
      </c>
      <c r="J23" s="123" t="s">
        <v>579</v>
      </c>
      <c r="K23" s="124">
        <f>K24</f>
        <v>0</v>
      </c>
      <c r="L23" s="133"/>
      <c r="M23" s="114"/>
      <c r="N23" s="133"/>
      <c r="O23" s="133"/>
    </row>
    <row r="24" spans="1:15" s="134" customFormat="1" ht="57.75" customHeight="1" hidden="1">
      <c r="A24" s="135" t="s">
        <v>885</v>
      </c>
      <c r="B24" s="126" t="s">
        <v>886</v>
      </c>
      <c r="C24" s="127" t="s">
        <v>12</v>
      </c>
      <c r="D24" s="127" t="s">
        <v>917</v>
      </c>
      <c r="E24" s="127" t="s">
        <v>41</v>
      </c>
      <c r="F24" s="127" t="s">
        <v>42</v>
      </c>
      <c r="G24" s="127" t="s">
        <v>742</v>
      </c>
      <c r="H24" s="127" t="s">
        <v>742</v>
      </c>
      <c r="I24" s="127" t="s">
        <v>578</v>
      </c>
      <c r="J24" s="127" t="s">
        <v>579</v>
      </c>
      <c r="K24" s="128">
        <f>K25</f>
        <v>0</v>
      </c>
      <c r="L24" s="133"/>
      <c r="M24" s="114"/>
      <c r="N24" s="133"/>
      <c r="O24" s="133"/>
    </row>
    <row r="25" spans="1:13" ht="58.5" customHeight="1" hidden="1">
      <c r="A25" s="129"/>
      <c r="B25" s="126" t="s">
        <v>887</v>
      </c>
      <c r="C25" s="127" t="s">
        <v>12</v>
      </c>
      <c r="D25" s="127" t="s">
        <v>917</v>
      </c>
      <c r="E25" s="127" t="s">
        <v>41</v>
      </c>
      <c r="F25" s="127" t="s">
        <v>42</v>
      </c>
      <c r="G25" s="127" t="s">
        <v>742</v>
      </c>
      <c r="H25" s="127" t="s">
        <v>742</v>
      </c>
      <c r="I25" s="127" t="s">
        <v>578</v>
      </c>
      <c r="J25" s="127" t="s">
        <v>609</v>
      </c>
      <c r="K25" s="128">
        <f>K26</f>
        <v>0</v>
      </c>
      <c r="M25" s="114"/>
    </row>
    <row r="26" spans="1:13" ht="67.5" customHeight="1" hidden="1">
      <c r="A26" s="129"/>
      <c r="B26" s="126" t="s">
        <v>888</v>
      </c>
      <c r="C26" s="127" t="s">
        <v>12</v>
      </c>
      <c r="D26" s="127" t="s">
        <v>917</v>
      </c>
      <c r="E26" s="127" t="s">
        <v>41</v>
      </c>
      <c r="F26" s="127" t="s">
        <v>42</v>
      </c>
      <c r="G26" s="127" t="s">
        <v>917</v>
      </c>
      <c r="H26" s="127" t="s">
        <v>742</v>
      </c>
      <c r="I26" s="127" t="s">
        <v>578</v>
      </c>
      <c r="J26" s="127" t="s">
        <v>889</v>
      </c>
      <c r="K26" s="128">
        <f>K27</f>
        <v>0</v>
      </c>
      <c r="M26" s="114"/>
    </row>
    <row r="27" spans="1:13" ht="86.25" customHeight="1" hidden="1">
      <c r="A27" s="129"/>
      <c r="B27" s="126" t="s">
        <v>890</v>
      </c>
      <c r="C27" s="127" t="s">
        <v>12</v>
      </c>
      <c r="D27" s="127" t="s">
        <v>917</v>
      </c>
      <c r="E27" s="127" t="s">
        <v>41</v>
      </c>
      <c r="F27" s="127" t="s">
        <v>42</v>
      </c>
      <c r="G27" s="127" t="s">
        <v>917</v>
      </c>
      <c r="H27" s="127" t="s">
        <v>50</v>
      </c>
      <c r="I27" s="127" t="s">
        <v>578</v>
      </c>
      <c r="J27" s="127" t="s">
        <v>889</v>
      </c>
      <c r="K27" s="128">
        <v>0</v>
      </c>
      <c r="M27" s="114"/>
    </row>
    <row r="28" spans="1:15" s="140" customFormat="1" ht="35.25" customHeight="1">
      <c r="A28" s="132" t="s">
        <v>891</v>
      </c>
      <c r="B28" s="136" t="s">
        <v>1065</v>
      </c>
      <c r="C28" s="137" t="s">
        <v>12</v>
      </c>
      <c r="D28" s="137" t="s">
        <v>917</v>
      </c>
      <c r="E28" s="137" t="s">
        <v>42</v>
      </c>
      <c r="F28" s="137" t="s">
        <v>742</v>
      </c>
      <c r="G28" s="137" t="s">
        <v>742</v>
      </c>
      <c r="H28" s="137" t="s">
        <v>742</v>
      </c>
      <c r="I28" s="137" t="s">
        <v>578</v>
      </c>
      <c r="J28" s="137" t="s">
        <v>579</v>
      </c>
      <c r="K28" s="138">
        <f>K33-K29</f>
        <v>56140850.71000004</v>
      </c>
      <c r="L28" s="139"/>
      <c r="M28" s="138"/>
      <c r="N28" s="139"/>
      <c r="O28" s="139"/>
    </row>
    <row r="29" spans="1:15" s="140" customFormat="1" ht="30.75">
      <c r="A29" s="132" t="s">
        <v>885</v>
      </c>
      <c r="B29" s="136" t="s">
        <v>892</v>
      </c>
      <c r="C29" s="137" t="s">
        <v>12</v>
      </c>
      <c r="D29" s="137" t="s">
        <v>917</v>
      </c>
      <c r="E29" s="137" t="s">
        <v>42</v>
      </c>
      <c r="F29" s="137" t="s">
        <v>742</v>
      </c>
      <c r="G29" s="137" t="s">
        <v>742</v>
      </c>
      <c r="H29" s="137" t="s">
        <v>742</v>
      </c>
      <c r="I29" s="137" t="s">
        <v>578</v>
      </c>
      <c r="J29" s="137" t="s">
        <v>893</v>
      </c>
      <c r="K29" s="138">
        <f>K30</f>
        <v>2115608248.46</v>
      </c>
      <c r="L29" s="139"/>
      <c r="M29" s="114"/>
      <c r="N29" s="139"/>
      <c r="O29" s="139"/>
    </row>
    <row r="30" spans="1:15" s="140" customFormat="1" ht="30.75">
      <c r="A30" s="125"/>
      <c r="B30" s="141" t="s">
        <v>894</v>
      </c>
      <c r="C30" s="125" t="s">
        <v>12</v>
      </c>
      <c r="D30" s="125" t="s">
        <v>917</v>
      </c>
      <c r="E30" s="125" t="s">
        <v>42</v>
      </c>
      <c r="F30" s="125" t="s">
        <v>45</v>
      </c>
      <c r="G30" s="125" t="s">
        <v>742</v>
      </c>
      <c r="H30" s="125" t="s">
        <v>742</v>
      </c>
      <c r="I30" s="125" t="s">
        <v>578</v>
      </c>
      <c r="J30" s="125" t="s">
        <v>893</v>
      </c>
      <c r="K30" s="142">
        <f>K31</f>
        <v>2115608248.46</v>
      </c>
      <c r="L30" s="139"/>
      <c r="M30" s="114"/>
      <c r="N30" s="139"/>
      <c r="O30" s="139"/>
    </row>
    <row r="31" spans="1:15" s="140" customFormat="1" ht="30.75" hidden="1">
      <c r="A31" s="125"/>
      <c r="B31" s="141" t="s">
        <v>895</v>
      </c>
      <c r="C31" s="125" t="s">
        <v>12</v>
      </c>
      <c r="D31" s="125" t="s">
        <v>917</v>
      </c>
      <c r="E31" s="125" t="s">
        <v>42</v>
      </c>
      <c r="F31" s="125" t="s">
        <v>45</v>
      </c>
      <c r="G31" s="125" t="s">
        <v>917</v>
      </c>
      <c r="H31" s="125" t="s">
        <v>742</v>
      </c>
      <c r="I31" s="125" t="s">
        <v>578</v>
      </c>
      <c r="J31" s="125" t="s">
        <v>896</v>
      </c>
      <c r="K31" s="142">
        <f>K32</f>
        <v>2115608248.46</v>
      </c>
      <c r="L31" s="139"/>
      <c r="M31" s="114"/>
      <c r="N31" s="139"/>
      <c r="O31" s="139"/>
    </row>
    <row r="32" spans="1:15" s="140" customFormat="1" ht="46.5">
      <c r="A32" s="125"/>
      <c r="B32" s="141" t="s">
        <v>897</v>
      </c>
      <c r="C32" s="125" t="s">
        <v>12</v>
      </c>
      <c r="D32" s="125" t="s">
        <v>917</v>
      </c>
      <c r="E32" s="125" t="s">
        <v>42</v>
      </c>
      <c r="F32" s="125" t="s">
        <v>45</v>
      </c>
      <c r="G32" s="125" t="s">
        <v>917</v>
      </c>
      <c r="H32" s="125" t="s">
        <v>50</v>
      </c>
      <c r="I32" s="125" t="s">
        <v>578</v>
      </c>
      <c r="J32" s="125" t="s">
        <v>896</v>
      </c>
      <c r="K32" s="143">
        <f>K13+K19+K25+прил4!C140</f>
        <v>2115608248.46</v>
      </c>
      <c r="L32" s="139"/>
      <c r="M32" s="114"/>
      <c r="N32" s="139"/>
      <c r="O32" s="139"/>
    </row>
    <row r="33" spans="1:15" s="140" customFormat="1" ht="30.75">
      <c r="A33" s="132" t="s">
        <v>898</v>
      </c>
      <c r="B33" s="136" t="s">
        <v>899</v>
      </c>
      <c r="C33" s="137" t="s">
        <v>12</v>
      </c>
      <c r="D33" s="137" t="s">
        <v>917</v>
      </c>
      <c r="E33" s="137" t="s">
        <v>42</v>
      </c>
      <c r="F33" s="137" t="s">
        <v>742</v>
      </c>
      <c r="G33" s="137" t="s">
        <v>742</v>
      </c>
      <c r="H33" s="137" t="s">
        <v>742</v>
      </c>
      <c r="I33" s="137" t="s">
        <v>578</v>
      </c>
      <c r="J33" s="137" t="s">
        <v>609</v>
      </c>
      <c r="K33" s="138">
        <f>K34</f>
        <v>2171749099.17</v>
      </c>
      <c r="L33" s="139"/>
      <c r="M33" s="114"/>
      <c r="N33" s="139"/>
      <c r="O33" s="139"/>
    </row>
    <row r="34" spans="1:15" s="140" customFormat="1" ht="30.75">
      <c r="A34" s="125"/>
      <c r="B34" s="141" t="s">
        <v>900</v>
      </c>
      <c r="C34" s="125" t="s">
        <v>12</v>
      </c>
      <c r="D34" s="125" t="s">
        <v>917</v>
      </c>
      <c r="E34" s="125" t="s">
        <v>42</v>
      </c>
      <c r="F34" s="125" t="s">
        <v>45</v>
      </c>
      <c r="G34" s="125" t="s">
        <v>742</v>
      </c>
      <c r="H34" s="125" t="s">
        <v>742</v>
      </c>
      <c r="I34" s="125" t="s">
        <v>578</v>
      </c>
      <c r="J34" s="125" t="s">
        <v>609</v>
      </c>
      <c r="K34" s="142">
        <f>K35</f>
        <v>2171749099.17</v>
      </c>
      <c r="L34" s="139"/>
      <c r="M34" s="114"/>
      <c r="N34" s="139"/>
      <c r="O34" s="139"/>
    </row>
    <row r="35" spans="1:15" s="140" customFormat="1" ht="30.75" hidden="1">
      <c r="A35" s="125"/>
      <c r="B35" s="141" t="s">
        <v>901</v>
      </c>
      <c r="C35" s="125" t="s">
        <v>12</v>
      </c>
      <c r="D35" s="125" t="s">
        <v>917</v>
      </c>
      <c r="E35" s="125" t="s">
        <v>42</v>
      </c>
      <c r="F35" s="125" t="s">
        <v>45</v>
      </c>
      <c r="G35" s="125" t="s">
        <v>917</v>
      </c>
      <c r="H35" s="125" t="s">
        <v>742</v>
      </c>
      <c r="I35" s="125" t="s">
        <v>578</v>
      </c>
      <c r="J35" s="125" t="s">
        <v>902</v>
      </c>
      <c r="K35" s="142">
        <f>K36</f>
        <v>2171749099.17</v>
      </c>
      <c r="L35" s="139"/>
      <c r="M35" s="114"/>
      <c r="N35" s="139"/>
      <c r="O35" s="139"/>
    </row>
    <row r="36" spans="1:15" s="140" customFormat="1" ht="46.5">
      <c r="A36" s="125"/>
      <c r="B36" s="141" t="s">
        <v>903</v>
      </c>
      <c r="C36" s="125" t="s">
        <v>12</v>
      </c>
      <c r="D36" s="125" t="s">
        <v>917</v>
      </c>
      <c r="E36" s="125" t="s">
        <v>42</v>
      </c>
      <c r="F36" s="125" t="s">
        <v>45</v>
      </c>
      <c r="G36" s="125" t="s">
        <v>917</v>
      </c>
      <c r="H36" s="125" t="s">
        <v>50</v>
      </c>
      <c r="I36" s="125" t="s">
        <v>578</v>
      </c>
      <c r="J36" s="125" t="s">
        <v>902</v>
      </c>
      <c r="K36" s="142">
        <f>K22+K24+прил7!G1065</f>
        <v>2171749099.17</v>
      </c>
      <c r="L36" s="139"/>
      <c r="M36" s="114"/>
      <c r="N36" s="139"/>
      <c r="O36" s="139"/>
    </row>
    <row r="37" spans="1:15" s="146" customFormat="1" ht="46.5" hidden="1">
      <c r="A37" s="132" t="s">
        <v>891</v>
      </c>
      <c r="B37" s="122" t="s">
        <v>884</v>
      </c>
      <c r="C37" s="132" t="s">
        <v>12</v>
      </c>
      <c r="D37" s="132" t="s">
        <v>917</v>
      </c>
      <c r="E37" s="132" t="s">
        <v>41</v>
      </c>
      <c r="F37" s="132" t="s">
        <v>742</v>
      </c>
      <c r="G37" s="132" t="s">
        <v>742</v>
      </c>
      <c r="H37" s="132" t="s">
        <v>742</v>
      </c>
      <c r="I37" s="132" t="s">
        <v>578</v>
      </c>
      <c r="J37" s="132" t="s">
        <v>579</v>
      </c>
      <c r="K37" s="144">
        <f>K38</f>
        <v>0</v>
      </c>
      <c r="L37" s="145"/>
      <c r="M37" s="114"/>
      <c r="N37" s="145"/>
      <c r="O37" s="145"/>
    </row>
    <row r="38" spans="1:15" s="146" customFormat="1" ht="46.5" hidden="1">
      <c r="A38" s="132" t="s">
        <v>885</v>
      </c>
      <c r="B38" s="122" t="s">
        <v>904</v>
      </c>
      <c r="C38" s="132" t="s">
        <v>12</v>
      </c>
      <c r="D38" s="132" t="s">
        <v>917</v>
      </c>
      <c r="E38" s="132" t="s">
        <v>41</v>
      </c>
      <c r="F38" s="132" t="s">
        <v>50</v>
      </c>
      <c r="G38" s="132" t="s">
        <v>742</v>
      </c>
      <c r="H38" s="132" t="s">
        <v>742</v>
      </c>
      <c r="I38" s="132" t="s">
        <v>578</v>
      </c>
      <c r="J38" s="132" t="s">
        <v>579</v>
      </c>
      <c r="K38" s="147">
        <f>K39</f>
        <v>0</v>
      </c>
      <c r="L38" s="145"/>
      <c r="M38" s="114"/>
      <c r="N38" s="145"/>
      <c r="O38" s="145"/>
    </row>
    <row r="39" spans="1:15" s="140" customFormat="1" ht="174" customHeight="1" hidden="1">
      <c r="A39" s="125"/>
      <c r="B39" s="141" t="s">
        <v>905</v>
      </c>
      <c r="C39" s="125" t="s">
        <v>12</v>
      </c>
      <c r="D39" s="125" t="s">
        <v>917</v>
      </c>
      <c r="E39" s="125" t="s">
        <v>41</v>
      </c>
      <c r="F39" s="125" t="s">
        <v>50</v>
      </c>
      <c r="G39" s="125" t="s">
        <v>742</v>
      </c>
      <c r="H39" s="125" t="s">
        <v>742</v>
      </c>
      <c r="I39" s="125" t="s">
        <v>578</v>
      </c>
      <c r="J39" s="125" t="s">
        <v>608</v>
      </c>
      <c r="K39" s="148">
        <f>K40</f>
        <v>0</v>
      </c>
      <c r="L39" s="139"/>
      <c r="M39" s="114"/>
      <c r="N39" s="139"/>
      <c r="O39" s="139"/>
    </row>
    <row r="40" spans="1:15" s="140" customFormat="1" ht="165.75" customHeight="1" hidden="1">
      <c r="A40" s="125"/>
      <c r="B40" s="141" t="s">
        <v>906</v>
      </c>
      <c r="C40" s="125" t="s">
        <v>12</v>
      </c>
      <c r="D40" s="125" t="s">
        <v>917</v>
      </c>
      <c r="E40" s="125" t="s">
        <v>41</v>
      </c>
      <c r="F40" s="125" t="s">
        <v>50</v>
      </c>
      <c r="G40" s="125" t="s">
        <v>742</v>
      </c>
      <c r="H40" s="125" t="s">
        <v>50</v>
      </c>
      <c r="I40" s="125" t="s">
        <v>578</v>
      </c>
      <c r="J40" s="125" t="s">
        <v>874</v>
      </c>
      <c r="K40" s="149">
        <v>0</v>
      </c>
      <c r="L40" s="139"/>
      <c r="M40" s="114"/>
      <c r="N40" s="139"/>
      <c r="O40" s="139"/>
    </row>
    <row r="41" spans="1:15" s="140" customFormat="1" ht="57.75" customHeight="1">
      <c r="A41" s="125"/>
      <c r="B41" s="150" t="s">
        <v>1066</v>
      </c>
      <c r="C41" s="137" t="s">
        <v>12</v>
      </c>
      <c r="D41" s="137" t="s">
        <v>917</v>
      </c>
      <c r="E41" s="137" t="s">
        <v>742</v>
      </c>
      <c r="F41" s="137" t="s">
        <v>742</v>
      </c>
      <c r="G41" s="137" t="s">
        <v>742</v>
      </c>
      <c r="H41" s="137" t="s">
        <v>742</v>
      </c>
      <c r="I41" s="137" t="s">
        <v>578</v>
      </c>
      <c r="J41" s="137" t="s">
        <v>579</v>
      </c>
      <c r="K41" s="151">
        <f>K12+K28+K37+K17+K23</f>
        <v>56140850.71000004</v>
      </c>
      <c r="L41" s="151"/>
      <c r="M41" s="151"/>
      <c r="N41" s="139"/>
      <c r="O41" s="139"/>
    </row>
    <row r="42" spans="3:15" s="140" customFormat="1" ht="15">
      <c r="C42" s="152"/>
      <c r="D42" s="152"/>
      <c r="E42" s="152"/>
      <c r="F42" s="152"/>
      <c r="G42" s="166"/>
      <c r="H42" s="166"/>
      <c r="I42" s="166"/>
      <c r="J42" s="166"/>
      <c r="K42" s="167"/>
      <c r="L42" s="139"/>
      <c r="M42" s="139"/>
      <c r="N42" s="139"/>
      <c r="O42" s="139"/>
    </row>
    <row r="43" spans="3:13" ht="15">
      <c r="C43" s="153"/>
      <c r="D43" s="153"/>
      <c r="E43" s="153"/>
      <c r="F43" s="153"/>
      <c r="G43" s="164"/>
      <c r="H43" s="164"/>
      <c r="I43" s="164"/>
      <c r="J43" s="164"/>
      <c r="K43" s="165"/>
      <c r="M43" s="114"/>
    </row>
    <row r="44" spans="3:11" ht="15">
      <c r="C44" s="155"/>
      <c r="D44" s="155"/>
      <c r="E44" s="155"/>
      <c r="F44" s="155"/>
      <c r="G44" s="155"/>
      <c r="H44" s="155"/>
      <c r="I44" s="155"/>
      <c r="J44" s="153"/>
      <c r="K44" s="154"/>
    </row>
    <row r="45" spans="3:11" ht="15">
      <c r="C45" s="155"/>
      <c r="D45" s="155"/>
      <c r="E45" s="155"/>
      <c r="F45" s="155"/>
      <c r="G45" s="155"/>
      <c r="H45" s="155"/>
      <c r="I45" s="155"/>
      <c r="J45" s="153"/>
      <c r="K45" s="154"/>
    </row>
    <row r="46" spans="3:11" ht="15">
      <c r="C46" s="155"/>
      <c r="D46" s="155"/>
      <c r="E46" s="155"/>
      <c r="F46" s="155"/>
      <c r="G46" s="155"/>
      <c r="H46" s="155"/>
      <c r="I46" s="155"/>
      <c r="J46" s="153"/>
      <c r="K46" s="154"/>
    </row>
    <row r="47" spans="3:11" ht="15">
      <c r="C47" s="155"/>
      <c r="D47" s="155"/>
      <c r="E47" s="155"/>
      <c r="F47" s="155"/>
      <c r="G47" s="155"/>
      <c r="H47" s="155"/>
      <c r="I47" s="155"/>
      <c r="J47" s="153"/>
      <c r="K47" s="154"/>
    </row>
    <row r="48" spans="3:11" ht="15">
      <c r="C48" s="155"/>
      <c r="D48" s="155"/>
      <c r="E48" s="155"/>
      <c r="F48" s="155"/>
      <c r="G48" s="155"/>
      <c r="H48" s="155"/>
      <c r="I48" s="155"/>
      <c r="J48" s="153"/>
      <c r="K48" s="154"/>
    </row>
    <row r="49" spans="3:11" ht="15">
      <c r="C49" s="155"/>
      <c r="D49" s="155"/>
      <c r="E49" s="155"/>
      <c r="F49" s="155"/>
      <c r="G49" s="155"/>
      <c r="H49" s="155"/>
      <c r="I49" s="155"/>
      <c r="J49" s="153"/>
      <c r="K49" s="154"/>
    </row>
    <row r="50" spans="3:11" ht="15">
      <c r="C50" s="155"/>
      <c r="D50" s="155"/>
      <c r="E50" s="155"/>
      <c r="F50" s="155"/>
      <c r="G50" s="155"/>
      <c r="H50" s="155"/>
      <c r="I50" s="155"/>
      <c r="J50" s="153"/>
      <c r="K50" s="155"/>
    </row>
    <row r="51" spans="3:11" ht="15">
      <c r="C51" s="155"/>
      <c r="D51" s="155"/>
      <c r="E51" s="155"/>
      <c r="F51" s="155"/>
      <c r="G51" s="155"/>
      <c r="H51" s="155"/>
      <c r="I51" s="155"/>
      <c r="J51" s="153"/>
      <c r="K51" s="155"/>
    </row>
    <row r="52" spans="3:11" ht="15">
      <c r="C52" s="155"/>
      <c r="D52" s="155"/>
      <c r="E52" s="155"/>
      <c r="F52" s="155"/>
      <c r="G52" s="155"/>
      <c r="H52" s="155"/>
      <c r="I52" s="155"/>
      <c r="J52" s="153"/>
      <c r="K52" s="155"/>
    </row>
    <row r="53" spans="3:11" ht="15">
      <c r="C53" s="155"/>
      <c r="D53" s="155"/>
      <c r="E53" s="155"/>
      <c r="F53" s="155"/>
      <c r="G53" s="155"/>
      <c r="H53" s="155"/>
      <c r="I53" s="155"/>
      <c r="J53" s="153"/>
      <c r="K53" s="155"/>
    </row>
    <row r="54" spans="3:11" ht="15">
      <c r="C54" s="155"/>
      <c r="D54" s="155"/>
      <c r="E54" s="155"/>
      <c r="F54" s="155"/>
      <c r="G54" s="155"/>
      <c r="H54" s="155"/>
      <c r="I54" s="155"/>
      <c r="J54" s="153"/>
      <c r="K54" s="155"/>
    </row>
    <row r="55" spans="3:11" ht="15">
      <c r="C55" s="155"/>
      <c r="D55" s="155"/>
      <c r="E55" s="155"/>
      <c r="F55" s="155"/>
      <c r="G55" s="155"/>
      <c r="H55" s="155"/>
      <c r="I55" s="155"/>
      <c r="J55" s="153"/>
      <c r="K55" s="155"/>
    </row>
    <row r="56" spans="3:11" ht="15">
      <c r="C56" s="155"/>
      <c r="D56" s="155"/>
      <c r="E56" s="155"/>
      <c r="F56" s="155"/>
      <c r="G56" s="155"/>
      <c r="H56" s="155"/>
      <c r="I56" s="155"/>
      <c r="J56" s="153"/>
      <c r="K56" s="155"/>
    </row>
    <row r="57" spans="3:11" ht="15">
      <c r="C57" s="155"/>
      <c r="D57" s="155"/>
      <c r="E57" s="155"/>
      <c r="F57" s="155"/>
      <c r="G57" s="155"/>
      <c r="H57" s="155"/>
      <c r="I57" s="155"/>
      <c r="J57" s="153"/>
      <c r="K57" s="155"/>
    </row>
    <row r="58" spans="3:11" ht="15">
      <c r="C58" s="155"/>
      <c r="D58" s="155"/>
      <c r="E58" s="155"/>
      <c r="F58" s="155"/>
      <c r="G58" s="155"/>
      <c r="H58" s="155"/>
      <c r="I58" s="155"/>
      <c r="J58" s="153"/>
      <c r="K58" s="155"/>
    </row>
    <row r="59" spans="3:11" ht="15">
      <c r="C59" s="155"/>
      <c r="D59" s="155"/>
      <c r="E59" s="155"/>
      <c r="F59" s="155"/>
      <c r="G59" s="155"/>
      <c r="H59" s="155"/>
      <c r="I59" s="155"/>
      <c r="J59" s="153"/>
      <c r="K59" s="155"/>
    </row>
    <row r="60" spans="3:11" ht="15">
      <c r="C60" s="155"/>
      <c r="D60" s="155"/>
      <c r="E60" s="155"/>
      <c r="F60" s="155"/>
      <c r="G60" s="155"/>
      <c r="H60" s="155"/>
      <c r="I60" s="155"/>
      <c r="J60" s="153"/>
      <c r="K60" s="155"/>
    </row>
    <row r="61" spans="3:11" ht="15">
      <c r="C61" s="155"/>
      <c r="D61" s="155"/>
      <c r="E61" s="155"/>
      <c r="F61" s="155"/>
      <c r="G61" s="155"/>
      <c r="H61" s="155"/>
      <c r="I61" s="155"/>
      <c r="J61" s="153"/>
      <c r="K61" s="155"/>
    </row>
    <row r="62" spans="3:11" ht="15">
      <c r="C62" s="155"/>
      <c r="D62" s="155"/>
      <c r="E62" s="155"/>
      <c r="F62" s="155"/>
      <c r="G62" s="155"/>
      <c r="H62" s="155"/>
      <c r="I62" s="155"/>
      <c r="J62" s="153"/>
      <c r="K62" s="155"/>
    </row>
    <row r="63" spans="3:11" ht="15">
      <c r="C63" s="155"/>
      <c r="D63" s="155"/>
      <c r="E63" s="155"/>
      <c r="F63" s="155"/>
      <c r="G63" s="155"/>
      <c r="H63" s="155"/>
      <c r="I63" s="155"/>
      <c r="J63" s="153"/>
      <c r="K63" s="155"/>
    </row>
    <row r="64" spans="3:11" ht="15">
      <c r="C64" s="155"/>
      <c r="D64" s="155"/>
      <c r="E64" s="155"/>
      <c r="F64" s="155"/>
      <c r="G64" s="155"/>
      <c r="H64" s="155"/>
      <c r="I64" s="155"/>
      <c r="J64" s="153"/>
      <c r="K64" s="155"/>
    </row>
    <row r="65" spans="3:11" ht="15">
      <c r="C65" s="155"/>
      <c r="D65" s="155"/>
      <c r="E65" s="155"/>
      <c r="F65" s="155"/>
      <c r="G65" s="155"/>
      <c r="H65" s="155"/>
      <c r="I65" s="155"/>
      <c r="J65" s="153"/>
      <c r="K65" s="155"/>
    </row>
    <row r="66" spans="3:11" ht="15">
      <c r="C66" s="155"/>
      <c r="D66" s="155"/>
      <c r="E66" s="155"/>
      <c r="F66" s="155"/>
      <c r="G66" s="155"/>
      <c r="H66" s="155"/>
      <c r="I66" s="155"/>
      <c r="J66" s="153"/>
      <c r="K66" s="155"/>
    </row>
    <row r="67" spans="3:11" ht="15">
      <c r="C67" s="155"/>
      <c r="D67" s="155"/>
      <c r="E67" s="155"/>
      <c r="F67" s="155"/>
      <c r="G67" s="155"/>
      <c r="H67" s="155"/>
      <c r="I67" s="155"/>
      <c r="J67" s="153"/>
      <c r="K67" s="155"/>
    </row>
    <row r="68" spans="3:11" ht="15">
      <c r="C68" s="155"/>
      <c r="D68" s="155"/>
      <c r="E68" s="155"/>
      <c r="F68" s="155"/>
      <c r="G68" s="155"/>
      <c r="H68" s="155"/>
      <c r="I68" s="155"/>
      <c r="J68" s="153"/>
      <c r="K68" s="155"/>
    </row>
    <row r="69" spans="3:11" ht="15">
      <c r="C69" s="155"/>
      <c r="D69" s="155"/>
      <c r="E69" s="155"/>
      <c r="F69" s="155"/>
      <c r="G69" s="155"/>
      <c r="H69" s="155"/>
      <c r="I69" s="155"/>
      <c r="J69" s="153"/>
      <c r="K69" s="155"/>
    </row>
    <row r="70" spans="3:11" ht="15">
      <c r="C70" s="155"/>
      <c r="D70" s="155"/>
      <c r="E70" s="155"/>
      <c r="F70" s="155"/>
      <c r="G70" s="155"/>
      <c r="H70" s="155"/>
      <c r="I70" s="155"/>
      <c r="J70" s="153"/>
      <c r="K70" s="155"/>
    </row>
    <row r="71" spans="3:11" ht="15">
      <c r="C71" s="155"/>
      <c r="D71" s="155"/>
      <c r="E71" s="155"/>
      <c r="F71" s="155"/>
      <c r="G71" s="155"/>
      <c r="H71" s="155"/>
      <c r="I71" s="155"/>
      <c r="J71" s="153"/>
      <c r="K71" s="155"/>
    </row>
    <row r="72" spans="3:11" ht="15">
      <c r="C72" s="155"/>
      <c r="D72" s="155"/>
      <c r="E72" s="155"/>
      <c r="F72" s="155"/>
      <c r="G72" s="155"/>
      <c r="H72" s="155"/>
      <c r="I72" s="155"/>
      <c r="J72" s="153"/>
      <c r="K72" s="155"/>
    </row>
    <row r="73" spans="3:11" ht="15">
      <c r="C73" s="155"/>
      <c r="D73" s="155"/>
      <c r="E73" s="155"/>
      <c r="F73" s="155"/>
      <c r="G73" s="155"/>
      <c r="H73" s="155"/>
      <c r="I73" s="155"/>
      <c r="J73" s="153"/>
      <c r="K73" s="155"/>
    </row>
    <row r="74" spans="3:11" ht="15">
      <c r="C74" s="155"/>
      <c r="D74" s="155"/>
      <c r="E74" s="155"/>
      <c r="F74" s="155"/>
      <c r="G74" s="155"/>
      <c r="H74" s="155"/>
      <c r="I74" s="155"/>
      <c r="J74" s="153"/>
      <c r="K74" s="155"/>
    </row>
    <row r="75" spans="3:11" ht="15">
      <c r="C75" s="155"/>
      <c r="D75" s="155"/>
      <c r="E75" s="155"/>
      <c r="F75" s="155"/>
      <c r="G75" s="155"/>
      <c r="H75" s="155"/>
      <c r="I75" s="155"/>
      <c r="J75" s="153"/>
      <c r="K75" s="155"/>
    </row>
    <row r="76" spans="3:11" ht="15">
      <c r="C76" s="155"/>
      <c r="D76" s="155"/>
      <c r="E76" s="155"/>
      <c r="F76" s="155"/>
      <c r="G76" s="155"/>
      <c r="H76" s="155"/>
      <c r="I76" s="155"/>
      <c r="J76" s="153"/>
      <c r="K76" s="155"/>
    </row>
    <row r="77" spans="3:11" ht="15">
      <c r="C77" s="155"/>
      <c r="D77" s="155"/>
      <c r="E77" s="155"/>
      <c r="F77" s="155"/>
      <c r="G77" s="155"/>
      <c r="H77" s="155"/>
      <c r="I77" s="155"/>
      <c r="J77" s="153"/>
      <c r="K77" s="155"/>
    </row>
    <row r="78" spans="3:11" ht="15">
      <c r="C78" s="155"/>
      <c r="D78" s="155"/>
      <c r="E78" s="155"/>
      <c r="F78" s="155"/>
      <c r="G78" s="155"/>
      <c r="H78" s="155"/>
      <c r="I78" s="155"/>
      <c r="J78" s="153"/>
      <c r="K78" s="155"/>
    </row>
    <row r="79" spans="3:11" ht="15">
      <c r="C79" s="155"/>
      <c r="D79" s="155"/>
      <c r="E79" s="155"/>
      <c r="F79" s="155"/>
      <c r="G79" s="155"/>
      <c r="H79" s="155"/>
      <c r="I79" s="155"/>
      <c r="J79" s="153"/>
      <c r="K79" s="155"/>
    </row>
    <row r="80" spans="3:11" ht="15">
      <c r="C80" s="155"/>
      <c r="D80" s="155"/>
      <c r="E80" s="155"/>
      <c r="F80" s="155"/>
      <c r="G80" s="155"/>
      <c r="H80" s="155"/>
      <c r="I80" s="155"/>
      <c r="J80" s="153"/>
      <c r="K80" s="155"/>
    </row>
    <row r="81" spans="3:11" ht="15">
      <c r="C81" s="155"/>
      <c r="D81" s="155"/>
      <c r="E81" s="155"/>
      <c r="F81" s="155"/>
      <c r="G81" s="155"/>
      <c r="H81" s="155"/>
      <c r="I81" s="155"/>
      <c r="J81" s="153"/>
      <c r="K81" s="155"/>
    </row>
    <row r="82" spans="3:11" ht="15">
      <c r="C82" s="155"/>
      <c r="D82" s="155"/>
      <c r="E82" s="155"/>
      <c r="F82" s="155"/>
      <c r="G82" s="155"/>
      <c r="H82" s="155"/>
      <c r="I82" s="155"/>
      <c r="J82" s="153"/>
      <c r="K82" s="155"/>
    </row>
    <row r="83" spans="3:11" ht="15">
      <c r="C83" s="155"/>
      <c r="D83" s="155"/>
      <c r="E83" s="155"/>
      <c r="F83" s="155"/>
      <c r="G83" s="155"/>
      <c r="H83" s="155"/>
      <c r="I83" s="155"/>
      <c r="J83" s="153"/>
      <c r="K83" s="155"/>
    </row>
    <row r="84" spans="3:11" ht="15">
      <c r="C84" s="155"/>
      <c r="D84" s="155"/>
      <c r="E84" s="155"/>
      <c r="F84" s="155"/>
      <c r="G84" s="155"/>
      <c r="H84" s="155"/>
      <c r="I84" s="155"/>
      <c r="J84" s="153"/>
      <c r="K84" s="155"/>
    </row>
    <row r="85" spans="3:11" ht="15">
      <c r="C85" s="155"/>
      <c r="D85" s="155"/>
      <c r="E85" s="155"/>
      <c r="F85" s="155"/>
      <c r="G85" s="155"/>
      <c r="H85" s="155"/>
      <c r="I85" s="155"/>
      <c r="J85" s="153"/>
      <c r="K85" s="155"/>
    </row>
    <row r="86" spans="3:11" ht="15">
      <c r="C86" s="155"/>
      <c r="D86" s="155"/>
      <c r="E86" s="155"/>
      <c r="F86" s="155"/>
      <c r="G86" s="155"/>
      <c r="H86" s="155"/>
      <c r="I86" s="155"/>
      <c r="J86" s="153"/>
      <c r="K86" s="155"/>
    </row>
    <row r="87" spans="3:11" ht="15">
      <c r="C87" s="155"/>
      <c r="D87" s="155"/>
      <c r="E87" s="155"/>
      <c r="F87" s="155"/>
      <c r="G87" s="155"/>
      <c r="H87" s="155"/>
      <c r="I87" s="155"/>
      <c r="J87" s="153"/>
      <c r="K87" s="155"/>
    </row>
    <row r="88" spans="3:11" ht="15">
      <c r="C88" s="155"/>
      <c r="D88" s="155"/>
      <c r="E88" s="155"/>
      <c r="F88" s="155"/>
      <c r="G88" s="155"/>
      <c r="H88" s="155"/>
      <c r="I88" s="155"/>
      <c r="J88" s="153"/>
      <c r="K88" s="155"/>
    </row>
    <row r="89" spans="3:11" ht="15">
      <c r="C89" s="155"/>
      <c r="D89" s="155"/>
      <c r="E89" s="155"/>
      <c r="F89" s="155"/>
      <c r="G89" s="155"/>
      <c r="H89" s="155"/>
      <c r="I89" s="155"/>
      <c r="J89" s="153"/>
      <c r="K89" s="155"/>
    </row>
    <row r="90" spans="3:11" ht="15">
      <c r="C90" s="155"/>
      <c r="D90" s="155"/>
      <c r="E90" s="155"/>
      <c r="F90" s="155"/>
      <c r="G90" s="155"/>
      <c r="H90" s="155"/>
      <c r="I90" s="155"/>
      <c r="J90" s="153"/>
      <c r="K90" s="155"/>
    </row>
    <row r="91" spans="3:11" ht="15">
      <c r="C91" s="155"/>
      <c r="D91" s="155"/>
      <c r="E91" s="155"/>
      <c r="F91" s="155"/>
      <c r="G91" s="155"/>
      <c r="H91" s="155"/>
      <c r="I91" s="155"/>
      <c r="J91" s="153"/>
      <c r="K91" s="155"/>
    </row>
    <row r="92" spans="3:11" ht="15">
      <c r="C92" s="155"/>
      <c r="D92" s="155"/>
      <c r="E92" s="155"/>
      <c r="F92" s="155"/>
      <c r="G92" s="155"/>
      <c r="H92" s="155"/>
      <c r="I92" s="155"/>
      <c r="J92" s="153"/>
      <c r="K92" s="155"/>
    </row>
    <row r="93" spans="3:11" ht="15">
      <c r="C93" s="155"/>
      <c r="D93" s="155"/>
      <c r="E93" s="155"/>
      <c r="F93" s="155"/>
      <c r="G93" s="155"/>
      <c r="H93" s="155"/>
      <c r="I93" s="155"/>
      <c r="J93" s="153"/>
      <c r="K93" s="155"/>
    </row>
    <row r="94" spans="3:11" ht="15">
      <c r="C94" s="155"/>
      <c r="D94" s="155"/>
      <c r="E94" s="155"/>
      <c r="F94" s="155"/>
      <c r="G94" s="155"/>
      <c r="H94" s="155"/>
      <c r="I94" s="155"/>
      <c r="J94" s="153"/>
      <c r="K94" s="155"/>
    </row>
    <row r="95" spans="3:11" ht="15">
      <c r="C95" s="155"/>
      <c r="D95" s="155"/>
      <c r="E95" s="155"/>
      <c r="F95" s="155"/>
      <c r="G95" s="155"/>
      <c r="H95" s="155"/>
      <c r="I95" s="155"/>
      <c r="J95" s="153"/>
      <c r="K95" s="155"/>
    </row>
    <row r="96" spans="3:11" ht="15">
      <c r="C96" s="155"/>
      <c r="D96" s="155"/>
      <c r="E96" s="155"/>
      <c r="F96" s="155"/>
      <c r="G96" s="155"/>
      <c r="H96" s="155"/>
      <c r="I96" s="155"/>
      <c r="J96" s="153"/>
      <c r="K96" s="155"/>
    </row>
    <row r="97" spans="3:11" ht="15">
      <c r="C97" s="155"/>
      <c r="D97" s="155"/>
      <c r="E97" s="155"/>
      <c r="F97" s="155"/>
      <c r="G97" s="155"/>
      <c r="H97" s="155"/>
      <c r="I97" s="155"/>
      <c r="J97" s="153"/>
      <c r="K97" s="155"/>
    </row>
    <row r="98" spans="3:11" ht="15">
      <c r="C98" s="155"/>
      <c r="D98" s="155"/>
      <c r="E98" s="155"/>
      <c r="F98" s="155"/>
      <c r="G98" s="155"/>
      <c r="H98" s="155"/>
      <c r="I98" s="155"/>
      <c r="J98" s="153"/>
      <c r="K98" s="155"/>
    </row>
    <row r="99" spans="3:11" ht="15">
      <c r="C99" s="155"/>
      <c r="D99" s="155"/>
      <c r="E99" s="155"/>
      <c r="F99" s="155"/>
      <c r="G99" s="155"/>
      <c r="H99" s="155"/>
      <c r="I99" s="155"/>
      <c r="J99" s="153"/>
      <c r="K99" s="155"/>
    </row>
    <row r="100" spans="3:11" ht="15">
      <c r="C100" s="155"/>
      <c r="D100" s="155"/>
      <c r="E100" s="155"/>
      <c r="F100" s="155"/>
      <c r="G100" s="155"/>
      <c r="H100" s="155"/>
      <c r="I100" s="155"/>
      <c r="J100" s="153"/>
      <c r="K100" s="155"/>
    </row>
    <row r="101" spans="3:11" ht="15">
      <c r="C101" s="155"/>
      <c r="D101" s="155"/>
      <c r="E101" s="155"/>
      <c r="F101" s="155"/>
      <c r="G101" s="155"/>
      <c r="H101" s="155"/>
      <c r="I101" s="155"/>
      <c r="J101" s="153"/>
      <c r="K101" s="155"/>
    </row>
    <row r="102" spans="3:11" ht="15">
      <c r="C102" s="155"/>
      <c r="D102" s="155"/>
      <c r="E102" s="155"/>
      <c r="F102" s="155"/>
      <c r="G102" s="155"/>
      <c r="H102" s="155"/>
      <c r="I102" s="155"/>
      <c r="J102" s="153"/>
      <c r="K102" s="155"/>
    </row>
    <row r="103" spans="3:11" ht="15">
      <c r="C103" s="155"/>
      <c r="D103" s="155"/>
      <c r="E103" s="155"/>
      <c r="F103" s="155"/>
      <c r="G103" s="155"/>
      <c r="H103" s="155"/>
      <c r="I103" s="155"/>
      <c r="J103" s="153"/>
      <c r="K103" s="155"/>
    </row>
    <row r="104" spans="3:11" ht="15">
      <c r="C104" s="155"/>
      <c r="D104" s="155"/>
      <c r="E104" s="155"/>
      <c r="F104" s="155"/>
      <c r="G104" s="155"/>
      <c r="H104" s="155"/>
      <c r="I104" s="155"/>
      <c r="J104" s="153"/>
      <c r="K104" s="155"/>
    </row>
    <row r="105" spans="3:11" ht="15">
      <c r="C105" s="155"/>
      <c r="D105" s="155"/>
      <c r="E105" s="155"/>
      <c r="F105" s="155"/>
      <c r="G105" s="155"/>
      <c r="H105" s="155"/>
      <c r="I105" s="155"/>
      <c r="J105" s="153"/>
      <c r="K105" s="155"/>
    </row>
    <row r="106" spans="3:11" ht="15">
      <c r="C106" s="155"/>
      <c r="D106" s="155"/>
      <c r="E106" s="155"/>
      <c r="F106" s="155"/>
      <c r="G106" s="155"/>
      <c r="H106" s="155"/>
      <c r="I106" s="155"/>
      <c r="J106" s="153"/>
      <c r="K106" s="155"/>
    </row>
    <row r="107" spans="3:11" ht="15">
      <c r="C107" s="155"/>
      <c r="D107" s="155"/>
      <c r="E107" s="155"/>
      <c r="F107" s="155"/>
      <c r="G107" s="155"/>
      <c r="H107" s="155"/>
      <c r="I107" s="155"/>
      <c r="J107" s="153"/>
      <c r="K107" s="155"/>
    </row>
    <row r="108" spans="3:11" ht="15">
      <c r="C108" s="155"/>
      <c r="D108" s="155"/>
      <c r="E108" s="155"/>
      <c r="F108" s="155"/>
      <c r="G108" s="155"/>
      <c r="H108" s="155"/>
      <c r="I108" s="155"/>
      <c r="J108" s="153"/>
      <c r="K108" s="155"/>
    </row>
    <row r="109" spans="3:11" ht="15">
      <c r="C109" s="155"/>
      <c r="D109" s="155"/>
      <c r="E109" s="155"/>
      <c r="F109" s="155"/>
      <c r="G109" s="155"/>
      <c r="H109" s="155"/>
      <c r="I109" s="155"/>
      <c r="J109" s="153"/>
      <c r="K109" s="155"/>
    </row>
    <row r="110" spans="3:11" ht="15">
      <c r="C110" s="155"/>
      <c r="D110" s="155"/>
      <c r="E110" s="155"/>
      <c r="F110" s="155"/>
      <c r="G110" s="155"/>
      <c r="H110" s="155"/>
      <c r="I110" s="155"/>
      <c r="J110" s="153"/>
      <c r="K110" s="155"/>
    </row>
    <row r="111" spans="3:11" ht="15">
      <c r="C111" s="155"/>
      <c r="D111" s="155"/>
      <c r="E111" s="155"/>
      <c r="F111" s="155"/>
      <c r="G111" s="155"/>
      <c r="H111" s="155"/>
      <c r="I111" s="155"/>
      <c r="J111" s="153"/>
      <c r="K111" s="155"/>
    </row>
    <row r="112" spans="3:11" ht="15">
      <c r="C112" s="155"/>
      <c r="D112" s="155"/>
      <c r="E112" s="155"/>
      <c r="F112" s="155"/>
      <c r="G112" s="155"/>
      <c r="H112" s="155"/>
      <c r="I112" s="155"/>
      <c r="J112" s="153"/>
      <c r="K112" s="155"/>
    </row>
    <row r="113" spans="3:11" ht="15">
      <c r="C113" s="155"/>
      <c r="D113" s="155"/>
      <c r="E113" s="155"/>
      <c r="F113" s="155"/>
      <c r="G113" s="155"/>
      <c r="H113" s="155"/>
      <c r="I113" s="155"/>
      <c r="J113" s="153"/>
      <c r="K113" s="155"/>
    </row>
    <row r="114" spans="3:11" ht="15">
      <c r="C114" s="155"/>
      <c r="D114" s="155"/>
      <c r="E114" s="155"/>
      <c r="F114" s="155"/>
      <c r="G114" s="155"/>
      <c r="H114" s="155"/>
      <c r="I114" s="155"/>
      <c r="J114" s="153"/>
      <c r="K114" s="155"/>
    </row>
    <row r="115" spans="3:11" ht="15">
      <c r="C115" s="155"/>
      <c r="D115" s="155"/>
      <c r="E115" s="155"/>
      <c r="F115" s="155"/>
      <c r="G115" s="155"/>
      <c r="H115" s="155"/>
      <c r="I115" s="155"/>
      <c r="J115" s="153"/>
      <c r="K115" s="155"/>
    </row>
    <row r="116" spans="3:11" ht="15">
      <c r="C116" s="155"/>
      <c r="D116" s="155"/>
      <c r="E116" s="155"/>
      <c r="F116" s="155"/>
      <c r="G116" s="155"/>
      <c r="H116" s="155"/>
      <c r="I116" s="155"/>
      <c r="J116" s="153"/>
      <c r="K116" s="155"/>
    </row>
    <row r="117" spans="3:11" ht="15">
      <c r="C117" s="155"/>
      <c r="D117" s="155"/>
      <c r="E117" s="155"/>
      <c r="F117" s="155"/>
      <c r="G117" s="155"/>
      <c r="H117" s="155"/>
      <c r="I117" s="155"/>
      <c r="J117" s="153"/>
      <c r="K117" s="155"/>
    </row>
    <row r="118" spans="3:11" ht="15">
      <c r="C118" s="155"/>
      <c r="D118" s="155"/>
      <c r="E118" s="155"/>
      <c r="F118" s="155"/>
      <c r="G118" s="155"/>
      <c r="H118" s="155"/>
      <c r="I118" s="155"/>
      <c r="J118" s="153"/>
      <c r="K118" s="155"/>
    </row>
    <row r="119" spans="3:11" ht="15">
      <c r="C119" s="155"/>
      <c r="D119" s="155"/>
      <c r="E119" s="155"/>
      <c r="F119" s="155"/>
      <c r="G119" s="155"/>
      <c r="H119" s="155"/>
      <c r="I119" s="155"/>
      <c r="J119" s="153"/>
      <c r="K119" s="155"/>
    </row>
    <row r="120" spans="3:11" ht="15">
      <c r="C120" s="155"/>
      <c r="D120" s="155"/>
      <c r="E120" s="155"/>
      <c r="F120" s="155"/>
      <c r="G120" s="155"/>
      <c r="H120" s="155"/>
      <c r="I120" s="155"/>
      <c r="J120" s="153"/>
      <c r="K120" s="155"/>
    </row>
    <row r="121" spans="3:11" ht="15">
      <c r="C121" s="155"/>
      <c r="D121" s="155"/>
      <c r="E121" s="155"/>
      <c r="F121" s="155"/>
      <c r="G121" s="155"/>
      <c r="H121" s="155"/>
      <c r="I121" s="155"/>
      <c r="J121" s="153"/>
      <c r="K121" s="155"/>
    </row>
    <row r="122" spans="3:11" ht="15">
      <c r="C122" s="155"/>
      <c r="D122" s="155"/>
      <c r="E122" s="155"/>
      <c r="F122" s="155"/>
      <c r="G122" s="155"/>
      <c r="H122" s="155"/>
      <c r="I122" s="155"/>
      <c r="J122" s="153"/>
      <c r="K122" s="155"/>
    </row>
    <row r="123" spans="3:11" ht="15">
      <c r="C123" s="155"/>
      <c r="D123" s="155"/>
      <c r="E123" s="155"/>
      <c r="F123" s="155"/>
      <c r="G123" s="155"/>
      <c r="H123" s="155"/>
      <c r="I123" s="155"/>
      <c r="J123" s="153"/>
      <c r="K123" s="155"/>
    </row>
    <row r="124" spans="3:11" ht="15">
      <c r="C124" s="155"/>
      <c r="D124" s="155"/>
      <c r="E124" s="155"/>
      <c r="F124" s="155"/>
      <c r="G124" s="155"/>
      <c r="H124" s="155"/>
      <c r="I124" s="155"/>
      <c r="J124" s="153"/>
      <c r="K124" s="155"/>
    </row>
    <row r="125" spans="3:11" ht="15">
      <c r="C125" s="155"/>
      <c r="D125" s="155"/>
      <c r="E125" s="155"/>
      <c r="F125" s="155"/>
      <c r="G125" s="155"/>
      <c r="H125" s="155"/>
      <c r="I125" s="155"/>
      <c r="J125" s="153"/>
      <c r="K125" s="155"/>
    </row>
    <row r="126" spans="3:11" ht="15">
      <c r="C126" s="155"/>
      <c r="D126" s="155"/>
      <c r="E126" s="155"/>
      <c r="F126" s="155"/>
      <c r="G126" s="155"/>
      <c r="H126" s="155"/>
      <c r="I126" s="155"/>
      <c r="J126" s="153"/>
      <c r="K126" s="155"/>
    </row>
    <row r="127" spans="3:11" ht="15">
      <c r="C127" s="155"/>
      <c r="D127" s="155"/>
      <c r="E127" s="155"/>
      <c r="F127" s="155"/>
      <c r="G127" s="155"/>
      <c r="H127" s="155"/>
      <c r="I127" s="155"/>
      <c r="J127" s="153"/>
      <c r="K127" s="155"/>
    </row>
    <row r="128" spans="3:11" ht="15">
      <c r="C128" s="155"/>
      <c r="D128" s="155"/>
      <c r="E128" s="155"/>
      <c r="F128" s="155"/>
      <c r="G128" s="155"/>
      <c r="H128" s="155"/>
      <c r="I128" s="155"/>
      <c r="J128" s="153"/>
      <c r="K128" s="155"/>
    </row>
    <row r="129" spans="3:11" ht="15">
      <c r="C129" s="155"/>
      <c r="D129" s="155"/>
      <c r="E129" s="155"/>
      <c r="F129" s="155"/>
      <c r="G129" s="155"/>
      <c r="H129" s="155"/>
      <c r="I129" s="155"/>
      <c r="J129" s="153"/>
      <c r="K129" s="155"/>
    </row>
    <row r="130" spans="3:11" ht="15">
      <c r="C130" s="155"/>
      <c r="D130" s="155"/>
      <c r="E130" s="155"/>
      <c r="F130" s="155"/>
      <c r="G130" s="155"/>
      <c r="H130" s="155"/>
      <c r="I130" s="155"/>
      <c r="J130" s="153"/>
      <c r="K130" s="155"/>
    </row>
    <row r="131" spans="3:11" ht="15">
      <c r="C131" s="155"/>
      <c r="D131" s="155"/>
      <c r="E131" s="155"/>
      <c r="F131" s="155"/>
      <c r="G131" s="155"/>
      <c r="H131" s="155"/>
      <c r="I131" s="155"/>
      <c r="J131" s="153"/>
      <c r="K131" s="155"/>
    </row>
    <row r="132" spans="3:11" ht="15">
      <c r="C132" s="155"/>
      <c r="D132" s="155"/>
      <c r="E132" s="155"/>
      <c r="F132" s="155"/>
      <c r="G132" s="155"/>
      <c r="H132" s="155"/>
      <c r="I132" s="155"/>
      <c r="J132" s="153"/>
      <c r="K132" s="155"/>
    </row>
    <row r="133" spans="3:11" ht="15">
      <c r="C133" s="155"/>
      <c r="D133" s="155"/>
      <c r="E133" s="155"/>
      <c r="F133" s="155"/>
      <c r="G133" s="155"/>
      <c r="H133" s="155"/>
      <c r="I133" s="155"/>
      <c r="J133" s="153"/>
      <c r="K133" s="155"/>
    </row>
    <row r="134" spans="3:11" ht="15">
      <c r="C134" s="155"/>
      <c r="D134" s="155"/>
      <c r="E134" s="155"/>
      <c r="F134" s="155"/>
      <c r="G134" s="155"/>
      <c r="H134" s="155"/>
      <c r="I134" s="155"/>
      <c r="J134" s="153"/>
      <c r="K134" s="155"/>
    </row>
    <row r="135" spans="3:11" ht="15">
      <c r="C135" s="155"/>
      <c r="D135" s="155"/>
      <c r="E135" s="155"/>
      <c r="F135" s="155"/>
      <c r="G135" s="155"/>
      <c r="H135" s="155"/>
      <c r="I135" s="155"/>
      <c r="J135" s="153"/>
      <c r="K135" s="155"/>
    </row>
    <row r="136" spans="3:11" ht="15">
      <c r="C136" s="155"/>
      <c r="D136" s="155"/>
      <c r="E136" s="155"/>
      <c r="F136" s="155"/>
      <c r="G136" s="155"/>
      <c r="H136" s="155"/>
      <c r="I136" s="155"/>
      <c r="J136" s="153"/>
      <c r="K136" s="155"/>
    </row>
    <row r="137" spans="3:11" ht="15">
      <c r="C137" s="155"/>
      <c r="D137" s="155"/>
      <c r="E137" s="155"/>
      <c r="F137" s="155"/>
      <c r="G137" s="155"/>
      <c r="H137" s="155"/>
      <c r="I137" s="155"/>
      <c r="J137" s="153"/>
      <c r="K137" s="155"/>
    </row>
    <row r="138" spans="3:11" ht="15">
      <c r="C138" s="155"/>
      <c r="D138" s="155"/>
      <c r="E138" s="155"/>
      <c r="F138" s="155"/>
      <c r="G138" s="155"/>
      <c r="H138" s="155"/>
      <c r="I138" s="155"/>
      <c r="J138" s="153"/>
      <c r="K138" s="155"/>
    </row>
    <row r="139" spans="3:11" ht="15">
      <c r="C139" s="155"/>
      <c r="D139" s="155"/>
      <c r="E139" s="155"/>
      <c r="F139" s="155"/>
      <c r="G139" s="155"/>
      <c r="H139" s="155"/>
      <c r="I139" s="155"/>
      <c r="J139" s="153"/>
      <c r="K139" s="155"/>
    </row>
    <row r="140" spans="3:11" ht="15">
      <c r="C140" s="155"/>
      <c r="D140" s="155"/>
      <c r="E140" s="155"/>
      <c r="F140" s="155"/>
      <c r="G140" s="155"/>
      <c r="H140" s="155"/>
      <c r="I140" s="155"/>
      <c r="J140" s="153"/>
      <c r="K140" s="155"/>
    </row>
    <row r="141" spans="3:11" ht="15">
      <c r="C141" s="155"/>
      <c r="D141" s="155"/>
      <c r="E141" s="155"/>
      <c r="F141" s="155"/>
      <c r="G141" s="155"/>
      <c r="H141" s="155"/>
      <c r="I141" s="155"/>
      <c r="J141" s="153"/>
      <c r="K141" s="155"/>
    </row>
    <row r="142" spans="3:11" ht="15">
      <c r="C142" s="155"/>
      <c r="D142" s="155"/>
      <c r="E142" s="155"/>
      <c r="F142" s="155"/>
      <c r="G142" s="155"/>
      <c r="H142" s="155"/>
      <c r="I142" s="155"/>
      <c r="J142" s="153"/>
      <c r="K142" s="155"/>
    </row>
    <row r="143" spans="3:11" ht="15">
      <c r="C143" s="155"/>
      <c r="D143" s="155"/>
      <c r="E143" s="155"/>
      <c r="F143" s="155"/>
      <c r="G143" s="155"/>
      <c r="H143" s="155"/>
      <c r="I143" s="155"/>
      <c r="J143" s="153"/>
      <c r="K143" s="155"/>
    </row>
    <row r="144" spans="3:11" ht="15">
      <c r="C144" s="155"/>
      <c r="D144" s="155"/>
      <c r="E144" s="155"/>
      <c r="F144" s="155"/>
      <c r="G144" s="155"/>
      <c r="H144" s="155"/>
      <c r="I144" s="155"/>
      <c r="J144" s="153"/>
      <c r="K144" s="155"/>
    </row>
    <row r="145" spans="3:11" ht="15">
      <c r="C145" s="155"/>
      <c r="D145" s="155"/>
      <c r="E145" s="155"/>
      <c r="F145" s="155"/>
      <c r="G145" s="155"/>
      <c r="H145" s="155"/>
      <c r="I145" s="155"/>
      <c r="J145" s="153"/>
      <c r="K145" s="155"/>
    </row>
    <row r="146" spans="3:11" ht="15">
      <c r="C146" s="155"/>
      <c r="D146" s="155"/>
      <c r="E146" s="155"/>
      <c r="F146" s="155"/>
      <c r="G146" s="155"/>
      <c r="H146" s="155"/>
      <c r="I146" s="155"/>
      <c r="J146" s="153"/>
      <c r="K146" s="155"/>
    </row>
    <row r="147" spans="3:11" ht="15">
      <c r="C147" s="155"/>
      <c r="D147" s="155"/>
      <c r="E147" s="155"/>
      <c r="F147" s="155"/>
      <c r="G147" s="155"/>
      <c r="H147" s="155"/>
      <c r="I147" s="155"/>
      <c r="J147" s="153"/>
      <c r="K147" s="155"/>
    </row>
    <row r="148" spans="3:11" ht="15">
      <c r="C148" s="155"/>
      <c r="D148" s="155"/>
      <c r="E148" s="155"/>
      <c r="F148" s="155"/>
      <c r="G148" s="155"/>
      <c r="H148" s="155"/>
      <c r="I148" s="155"/>
      <c r="J148" s="153"/>
      <c r="K148" s="155"/>
    </row>
    <row r="149" spans="3:11" ht="15">
      <c r="C149" s="155"/>
      <c r="D149" s="155"/>
      <c r="E149" s="155"/>
      <c r="F149" s="155"/>
      <c r="G149" s="155"/>
      <c r="H149" s="155"/>
      <c r="I149" s="155"/>
      <c r="J149" s="153"/>
      <c r="K149" s="155"/>
    </row>
    <row r="150" spans="3:11" ht="15">
      <c r="C150" s="155"/>
      <c r="D150" s="155"/>
      <c r="E150" s="155"/>
      <c r="F150" s="155"/>
      <c r="G150" s="155"/>
      <c r="H150" s="155"/>
      <c r="I150" s="155"/>
      <c r="J150" s="153"/>
      <c r="K150" s="155"/>
    </row>
    <row r="151" spans="3:11" ht="15">
      <c r="C151" s="155"/>
      <c r="D151" s="155"/>
      <c r="E151" s="155"/>
      <c r="F151" s="155"/>
      <c r="G151" s="155"/>
      <c r="H151" s="155"/>
      <c r="I151" s="155"/>
      <c r="J151" s="153"/>
      <c r="K151" s="155"/>
    </row>
    <row r="152" spans="3:11" ht="15">
      <c r="C152" s="155"/>
      <c r="D152" s="155"/>
      <c r="E152" s="155"/>
      <c r="F152" s="155"/>
      <c r="G152" s="155"/>
      <c r="H152" s="155"/>
      <c r="I152" s="155"/>
      <c r="J152" s="153"/>
      <c r="K152" s="155"/>
    </row>
    <row r="153" spans="3:11" ht="15">
      <c r="C153" s="155"/>
      <c r="D153" s="155"/>
      <c r="E153" s="155"/>
      <c r="F153" s="155"/>
      <c r="G153" s="155"/>
      <c r="H153" s="155"/>
      <c r="I153" s="155"/>
      <c r="J153" s="153"/>
      <c r="K153" s="155"/>
    </row>
    <row r="154" spans="3:11" ht="15">
      <c r="C154" s="155"/>
      <c r="D154" s="155"/>
      <c r="E154" s="155"/>
      <c r="F154" s="155"/>
      <c r="G154" s="155"/>
      <c r="H154" s="155"/>
      <c r="I154" s="155"/>
      <c r="J154" s="153"/>
      <c r="K154" s="155"/>
    </row>
    <row r="155" spans="3:11" ht="15">
      <c r="C155" s="155"/>
      <c r="D155" s="155"/>
      <c r="E155" s="155"/>
      <c r="F155" s="155"/>
      <c r="G155" s="155"/>
      <c r="H155" s="155"/>
      <c r="I155" s="155"/>
      <c r="J155" s="153"/>
      <c r="K155" s="155"/>
    </row>
    <row r="156" spans="3:11" ht="15">
      <c r="C156" s="155"/>
      <c r="D156" s="155"/>
      <c r="E156" s="155"/>
      <c r="F156" s="155"/>
      <c r="G156" s="155"/>
      <c r="H156" s="155"/>
      <c r="I156" s="155"/>
      <c r="J156" s="153"/>
      <c r="K156" s="155"/>
    </row>
    <row r="157" spans="3:11" ht="15">
      <c r="C157" s="155"/>
      <c r="D157" s="155"/>
      <c r="E157" s="155"/>
      <c r="F157" s="155"/>
      <c r="G157" s="155"/>
      <c r="H157" s="155"/>
      <c r="I157" s="155"/>
      <c r="J157" s="153"/>
      <c r="K157" s="155"/>
    </row>
    <row r="158" spans="3:11" ht="15">
      <c r="C158" s="155"/>
      <c r="D158" s="155"/>
      <c r="E158" s="155"/>
      <c r="F158" s="155"/>
      <c r="G158" s="155"/>
      <c r="H158" s="155"/>
      <c r="I158" s="155"/>
      <c r="J158" s="153"/>
      <c r="K158" s="155"/>
    </row>
    <row r="159" spans="3:11" ht="15">
      <c r="C159" s="155"/>
      <c r="D159" s="155"/>
      <c r="E159" s="155"/>
      <c r="F159" s="155"/>
      <c r="G159" s="155"/>
      <c r="H159" s="155"/>
      <c r="I159" s="155"/>
      <c r="J159" s="153"/>
      <c r="K159" s="155"/>
    </row>
    <row r="160" spans="3:11" ht="15">
      <c r="C160" s="155"/>
      <c r="D160" s="155"/>
      <c r="E160" s="155"/>
      <c r="F160" s="155"/>
      <c r="G160" s="155"/>
      <c r="H160" s="155"/>
      <c r="I160" s="155"/>
      <c r="J160" s="153"/>
      <c r="K160" s="155"/>
    </row>
    <row r="161" spans="3:11" ht="15">
      <c r="C161" s="155"/>
      <c r="D161" s="155"/>
      <c r="E161" s="155"/>
      <c r="F161" s="155"/>
      <c r="G161" s="155"/>
      <c r="H161" s="155"/>
      <c r="I161" s="155"/>
      <c r="J161" s="153"/>
      <c r="K161" s="155"/>
    </row>
    <row r="162" spans="3:11" ht="15">
      <c r="C162" s="155"/>
      <c r="D162" s="155"/>
      <c r="E162" s="155"/>
      <c r="F162" s="155"/>
      <c r="G162" s="155"/>
      <c r="H162" s="155"/>
      <c r="I162" s="155"/>
      <c r="J162" s="153"/>
      <c r="K162" s="155"/>
    </row>
    <row r="163" spans="3:11" ht="15">
      <c r="C163" s="155"/>
      <c r="D163" s="155"/>
      <c r="E163" s="155"/>
      <c r="F163" s="155"/>
      <c r="G163" s="155"/>
      <c r="H163" s="155"/>
      <c r="I163" s="155"/>
      <c r="J163" s="153"/>
      <c r="K163" s="155"/>
    </row>
    <row r="164" spans="3:11" ht="15">
      <c r="C164" s="155"/>
      <c r="D164" s="155"/>
      <c r="E164" s="155"/>
      <c r="F164" s="155"/>
      <c r="G164" s="155"/>
      <c r="H164" s="155"/>
      <c r="I164" s="155"/>
      <c r="J164" s="153"/>
      <c r="K164" s="155"/>
    </row>
    <row r="165" spans="3:11" ht="15">
      <c r="C165" s="155"/>
      <c r="D165" s="155"/>
      <c r="E165" s="155"/>
      <c r="F165" s="155"/>
      <c r="G165" s="155"/>
      <c r="H165" s="155"/>
      <c r="I165" s="155"/>
      <c r="J165" s="153"/>
      <c r="K165" s="155"/>
    </row>
    <row r="166" spans="3:11" ht="15">
      <c r="C166" s="155"/>
      <c r="D166" s="155"/>
      <c r="E166" s="155"/>
      <c r="F166" s="155"/>
      <c r="G166" s="155"/>
      <c r="H166" s="155"/>
      <c r="I166" s="155"/>
      <c r="J166" s="153"/>
      <c r="K166" s="155"/>
    </row>
    <row r="167" spans="3:11" ht="15">
      <c r="C167" s="155"/>
      <c r="D167" s="155"/>
      <c r="E167" s="155"/>
      <c r="F167" s="155"/>
      <c r="G167" s="155"/>
      <c r="H167" s="155"/>
      <c r="I167" s="155"/>
      <c r="J167" s="153"/>
      <c r="K167" s="155"/>
    </row>
    <row r="168" spans="3:11" ht="15">
      <c r="C168" s="155"/>
      <c r="D168" s="155"/>
      <c r="E168" s="155"/>
      <c r="F168" s="155"/>
      <c r="G168" s="155"/>
      <c r="H168" s="155"/>
      <c r="I168" s="155"/>
      <c r="J168" s="153"/>
      <c r="K168" s="155"/>
    </row>
    <row r="169" spans="3:11" ht="15">
      <c r="C169" s="155"/>
      <c r="D169" s="155"/>
      <c r="E169" s="155"/>
      <c r="F169" s="155"/>
      <c r="G169" s="155"/>
      <c r="H169" s="155"/>
      <c r="I169" s="155"/>
      <c r="J169" s="153"/>
      <c r="K169" s="155"/>
    </row>
    <row r="170" spans="3:11" ht="15">
      <c r="C170" s="155"/>
      <c r="D170" s="155"/>
      <c r="E170" s="155"/>
      <c r="F170" s="155"/>
      <c r="G170" s="155"/>
      <c r="H170" s="155"/>
      <c r="I170" s="155"/>
      <c r="J170" s="153"/>
      <c r="K170" s="155"/>
    </row>
    <row r="171" spans="3:11" ht="15">
      <c r="C171" s="155"/>
      <c r="D171" s="155"/>
      <c r="E171" s="155"/>
      <c r="F171" s="155"/>
      <c r="G171" s="155"/>
      <c r="H171" s="155"/>
      <c r="I171" s="155"/>
      <c r="J171" s="153"/>
      <c r="K171" s="155"/>
    </row>
    <row r="172" spans="3:11" ht="15">
      <c r="C172" s="155"/>
      <c r="D172" s="155"/>
      <c r="E172" s="155"/>
      <c r="F172" s="155"/>
      <c r="G172" s="155"/>
      <c r="H172" s="155"/>
      <c r="I172" s="155"/>
      <c r="J172" s="153"/>
      <c r="K172" s="155"/>
    </row>
    <row r="173" spans="3:11" ht="15">
      <c r="C173" s="155"/>
      <c r="D173" s="155"/>
      <c r="E173" s="155"/>
      <c r="F173" s="155"/>
      <c r="G173" s="155"/>
      <c r="H173" s="155"/>
      <c r="I173" s="155"/>
      <c r="J173" s="153"/>
      <c r="K173" s="155"/>
    </row>
    <row r="174" spans="3:11" ht="15">
      <c r="C174" s="155"/>
      <c r="D174" s="155"/>
      <c r="E174" s="155"/>
      <c r="F174" s="155"/>
      <c r="G174" s="155"/>
      <c r="H174" s="155"/>
      <c r="I174" s="155"/>
      <c r="J174" s="153"/>
      <c r="K174" s="155"/>
    </row>
    <row r="175" spans="3:11" ht="15">
      <c r="C175" s="155"/>
      <c r="D175" s="155"/>
      <c r="E175" s="155"/>
      <c r="F175" s="155"/>
      <c r="G175" s="155"/>
      <c r="H175" s="155"/>
      <c r="I175" s="155"/>
      <c r="J175" s="153"/>
      <c r="K175" s="155"/>
    </row>
    <row r="176" spans="3:11" ht="15">
      <c r="C176" s="155"/>
      <c r="D176" s="155"/>
      <c r="E176" s="155"/>
      <c r="F176" s="155"/>
      <c r="G176" s="155"/>
      <c r="H176" s="155"/>
      <c r="I176" s="155"/>
      <c r="J176" s="153"/>
      <c r="K176" s="155"/>
    </row>
    <row r="177" spans="3:11" ht="15">
      <c r="C177" s="155"/>
      <c r="D177" s="155"/>
      <c r="E177" s="155"/>
      <c r="F177" s="155"/>
      <c r="G177" s="155"/>
      <c r="H177" s="155"/>
      <c r="I177" s="155"/>
      <c r="J177" s="153"/>
      <c r="K177" s="155"/>
    </row>
    <row r="178" spans="3:11" ht="15">
      <c r="C178" s="155"/>
      <c r="D178" s="155"/>
      <c r="E178" s="155"/>
      <c r="F178" s="155"/>
      <c r="G178" s="155"/>
      <c r="H178" s="155"/>
      <c r="I178" s="155"/>
      <c r="J178" s="153"/>
      <c r="K178" s="155"/>
    </row>
    <row r="179" spans="3:11" ht="15">
      <c r="C179" s="155"/>
      <c r="D179" s="155"/>
      <c r="E179" s="155"/>
      <c r="F179" s="155"/>
      <c r="G179" s="155"/>
      <c r="H179" s="155"/>
      <c r="I179" s="155"/>
      <c r="J179" s="153"/>
      <c r="K179" s="155"/>
    </row>
    <row r="180" spans="3:11" ht="15">
      <c r="C180" s="155"/>
      <c r="D180" s="155"/>
      <c r="E180" s="155"/>
      <c r="F180" s="155"/>
      <c r="G180" s="155"/>
      <c r="H180" s="155"/>
      <c r="I180" s="155"/>
      <c r="J180" s="153"/>
      <c r="K180" s="155"/>
    </row>
    <row r="181" spans="3:11" ht="15">
      <c r="C181" s="155"/>
      <c r="D181" s="155"/>
      <c r="E181" s="155"/>
      <c r="F181" s="155"/>
      <c r="G181" s="155"/>
      <c r="H181" s="155"/>
      <c r="I181" s="155"/>
      <c r="J181" s="153"/>
      <c r="K181" s="155"/>
    </row>
    <row r="182" spans="3:11" ht="15">
      <c r="C182" s="155"/>
      <c r="D182" s="155"/>
      <c r="E182" s="155"/>
      <c r="F182" s="155"/>
      <c r="G182" s="155"/>
      <c r="H182" s="155"/>
      <c r="I182" s="155"/>
      <c r="J182" s="153"/>
      <c r="K182" s="155"/>
    </row>
    <row r="183" spans="3:11" ht="15">
      <c r="C183" s="155"/>
      <c r="D183" s="155"/>
      <c r="E183" s="155"/>
      <c r="F183" s="155"/>
      <c r="G183" s="155"/>
      <c r="H183" s="155"/>
      <c r="I183" s="155"/>
      <c r="J183" s="153"/>
      <c r="K183" s="155"/>
    </row>
    <row r="184" spans="3:11" ht="15">
      <c r="C184" s="155"/>
      <c r="D184" s="155"/>
      <c r="E184" s="155"/>
      <c r="F184" s="155"/>
      <c r="G184" s="155"/>
      <c r="H184" s="155"/>
      <c r="I184" s="155"/>
      <c r="J184" s="153"/>
      <c r="K184" s="155"/>
    </row>
    <row r="185" spans="3:11" ht="15">
      <c r="C185" s="155"/>
      <c r="D185" s="155"/>
      <c r="E185" s="155"/>
      <c r="F185" s="155"/>
      <c r="G185" s="155"/>
      <c r="H185" s="155"/>
      <c r="I185" s="155"/>
      <c r="J185" s="153"/>
      <c r="K185" s="155"/>
    </row>
    <row r="186" spans="3:11" ht="15">
      <c r="C186" s="155"/>
      <c r="D186" s="155"/>
      <c r="E186" s="155"/>
      <c r="F186" s="155"/>
      <c r="G186" s="155"/>
      <c r="H186" s="155"/>
      <c r="I186" s="155"/>
      <c r="J186" s="153"/>
      <c r="K186" s="155"/>
    </row>
    <row r="187" spans="3:11" ht="15">
      <c r="C187" s="155"/>
      <c r="D187" s="155"/>
      <c r="E187" s="155"/>
      <c r="F187" s="155"/>
      <c r="G187" s="155"/>
      <c r="H187" s="155"/>
      <c r="I187" s="155"/>
      <c r="J187" s="153"/>
      <c r="K187" s="155"/>
    </row>
    <row r="188" spans="3:11" ht="15">
      <c r="C188" s="155"/>
      <c r="D188" s="155"/>
      <c r="E188" s="155"/>
      <c r="F188" s="155"/>
      <c r="G188" s="155"/>
      <c r="H188" s="155"/>
      <c r="I188" s="155"/>
      <c r="J188" s="153"/>
      <c r="K188" s="155"/>
    </row>
    <row r="189" spans="3:11" ht="15">
      <c r="C189" s="155"/>
      <c r="D189" s="155"/>
      <c r="E189" s="155"/>
      <c r="F189" s="155"/>
      <c r="G189" s="155"/>
      <c r="H189" s="155"/>
      <c r="I189" s="155"/>
      <c r="J189" s="153"/>
      <c r="K189" s="155"/>
    </row>
    <row r="190" spans="3:11" ht="15">
      <c r="C190" s="155"/>
      <c r="D190" s="155"/>
      <c r="E190" s="155"/>
      <c r="F190" s="155"/>
      <c r="G190" s="155"/>
      <c r="H190" s="155"/>
      <c r="I190" s="155"/>
      <c r="J190" s="153"/>
      <c r="K190" s="155"/>
    </row>
    <row r="191" spans="3:11" ht="15">
      <c r="C191" s="155"/>
      <c r="D191" s="155"/>
      <c r="E191" s="155"/>
      <c r="F191" s="155"/>
      <c r="G191" s="155"/>
      <c r="H191" s="155"/>
      <c r="I191" s="155"/>
      <c r="J191" s="153"/>
      <c r="K191" s="155"/>
    </row>
    <row r="192" spans="3:11" ht="15">
      <c r="C192" s="155"/>
      <c r="D192" s="155"/>
      <c r="E192" s="155"/>
      <c r="F192" s="155"/>
      <c r="G192" s="155"/>
      <c r="H192" s="155"/>
      <c r="I192" s="155"/>
      <c r="J192" s="153"/>
      <c r="K192" s="155"/>
    </row>
    <row r="193" spans="3:11" ht="15">
      <c r="C193" s="155"/>
      <c r="D193" s="155"/>
      <c r="E193" s="155"/>
      <c r="F193" s="155"/>
      <c r="G193" s="155"/>
      <c r="H193" s="155"/>
      <c r="I193" s="155"/>
      <c r="J193" s="153"/>
      <c r="K193" s="155"/>
    </row>
    <row r="194" spans="3:11" ht="15">
      <c r="C194" s="155"/>
      <c r="D194" s="155"/>
      <c r="E194" s="155"/>
      <c r="F194" s="155"/>
      <c r="G194" s="155"/>
      <c r="H194" s="155"/>
      <c r="I194" s="155"/>
      <c r="J194" s="153"/>
      <c r="K194" s="155"/>
    </row>
    <row r="195" spans="3:11" ht="15">
      <c r="C195" s="155"/>
      <c r="D195" s="155"/>
      <c r="E195" s="155"/>
      <c r="F195" s="155"/>
      <c r="G195" s="155"/>
      <c r="H195" s="155"/>
      <c r="I195" s="155"/>
      <c r="J195" s="153"/>
      <c r="K195" s="155"/>
    </row>
    <row r="196" spans="3:11" ht="15">
      <c r="C196" s="155"/>
      <c r="D196" s="155"/>
      <c r="E196" s="155"/>
      <c r="F196" s="155"/>
      <c r="G196" s="155"/>
      <c r="H196" s="155"/>
      <c r="I196" s="155"/>
      <c r="J196" s="153"/>
      <c r="K196" s="155"/>
    </row>
    <row r="197" spans="3:11" ht="15">
      <c r="C197" s="155"/>
      <c r="D197" s="155"/>
      <c r="E197" s="155"/>
      <c r="F197" s="155"/>
      <c r="G197" s="155"/>
      <c r="H197" s="155"/>
      <c r="I197" s="155"/>
      <c r="J197" s="153"/>
      <c r="K197" s="155"/>
    </row>
    <row r="198" spans="3:11" ht="15">
      <c r="C198" s="155"/>
      <c r="D198" s="155"/>
      <c r="E198" s="155"/>
      <c r="F198" s="155"/>
      <c r="G198" s="155"/>
      <c r="H198" s="155"/>
      <c r="I198" s="155"/>
      <c r="J198" s="153"/>
      <c r="K198" s="155"/>
    </row>
    <row r="199" spans="3:11" ht="15">
      <c r="C199" s="155"/>
      <c r="D199" s="155"/>
      <c r="E199" s="155"/>
      <c r="F199" s="155"/>
      <c r="G199" s="155"/>
      <c r="H199" s="155"/>
      <c r="I199" s="155"/>
      <c r="J199" s="153"/>
      <c r="K199" s="155"/>
    </row>
    <row r="200" spans="3:11" ht="15">
      <c r="C200" s="155"/>
      <c r="D200" s="155"/>
      <c r="E200" s="155"/>
      <c r="F200" s="155"/>
      <c r="G200" s="155"/>
      <c r="H200" s="155"/>
      <c r="I200" s="155"/>
      <c r="J200" s="153"/>
      <c r="K200" s="155"/>
    </row>
    <row r="201" spans="3:11" ht="15">
      <c r="C201" s="155"/>
      <c r="D201" s="155"/>
      <c r="E201" s="155"/>
      <c r="F201" s="155"/>
      <c r="G201" s="155"/>
      <c r="H201" s="155"/>
      <c r="I201" s="155"/>
      <c r="J201" s="153"/>
      <c r="K201" s="155"/>
    </row>
    <row r="202" spans="3:11" ht="15">
      <c r="C202" s="155"/>
      <c r="D202" s="155"/>
      <c r="E202" s="155"/>
      <c r="F202" s="155"/>
      <c r="G202" s="155"/>
      <c r="H202" s="155"/>
      <c r="I202" s="155"/>
      <c r="J202" s="153"/>
      <c r="K202" s="155"/>
    </row>
    <row r="203" spans="3:11" ht="15">
      <c r="C203" s="155"/>
      <c r="D203" s="155"/>
      <c r="E203" s="155"/>
      <c r="F203" s="155"/>
      <c r="G203" s="155"/>
      <c r="H203" s="155"/>
      <c r="I203" s="155"/>
      <c r="J203" s="153"/>
      <c r="K203" s="155"/>
    </row>
    <row r="204" spans="3:11" ht="15">
      <c r="C204" s="155"/>
      <c r="D204" s="155"/>
      <c r="E204" s="155"/>
      <c r="F204" s="155"/>
      <c r="G204" s="155"/>
      <c r="H204" s="155"/>
      <c r="I204" s="155"/>
      <c r="J204" s="153"/>
      <c r="K204" s="155"/>
    </row>
    <row r="205" spans="3:11" ht="15">
      <c r="C205" s="155"/>
      <c r="D205" s="155"/>
      <c r="E205" s="155"/>
      <c r="F205" s="155"/>
      <c r="G205" s="155"/>
      <c r="H205" s="155"/>
      <c r="I205" s="155"/>
      <c r="J205" s="153"/>
      <c r="K205" s="155"/>
    </row>
    <row r="206" spans="3:11" ht="15">
      <c r="C206" s="155"/>
      <c r="D206" s="155"/>
      <c r="E206" s="155"/>
      <c r="F206" s="155"/>
      <c r="G206" s="155"/>
      <c r="H206" s="155"/>
      <c r="I206" s="155"/>
      <c r="J206" s="153"/>
      <c r="K206" s="155"/>
    </row>
    <row r="207" spans="3:11" ht="15">
      <c r="C207" s="155"/>
      <c r="D207" s="155"/>
      <c r="E207" s="155"/>
      <c r="F207" s="155"/>
      <c r="G207" s="155"/>
      <c r="H207" s="155"/>
      <c r="I207" s="155"/>
      <c r="J207" s="153"/>
      <c r="K207" s="155"/>
    </row>
    <row r="208" spans="3:11" ht="15">
      <c r="C208" s="155"/>
      <c r="D208" s="155"/>
      <c r="E208" s="155"/>
      <c r="F208" s="155"/>
      <c r="G208" s="155"/>
      <c r="H208" s="155"/>
      <c r="I208" s="155"/>
      <c r="J208" s="153"/>
      <c r="K208" s="155"/>
    </row>
    <row r="209" spans="3:11" ht="15">
      <c r="C209" s="155"/>
      <c r="D209" s="155"/>
      <c r="E209" s="155"/>
      <c r="F209" s="155"/>
      <c r="G209" s="155"/>
      <c r="H209" s="155"/>
      <c r="I209" s="155"/>
      <c r="J209" s="153"/>
      <c r="K209" s="155"/>
    </row>
    <row r="210" spans="3:11" ht="15">
      <c r="C210" s="155"/>
      <c r="D210" s="155"/>
      <c r="E210" s="155"/>
      <c r="F210" s="155"/>
      <c r="G210" s="155"/>
      <c r="H210" s="155"/>
      <c r="I210" s="155"/>
      <c r="J210" s="153"/>
      <c r="K210" s="155"/>
    </row>
    <row r="211" spans="3:11" ht="15">
      <c r="C211" s="155"/>
      <c r="D211" s="155"/>
      <c r="E211" s="155"/>
      <c r="F211" s="155"/>
      <c r="G211" s="155"/>
      <c r="H211" s="155"/>
      <c r="I211" s="155"/>
      <c r="J211" s="153"/>
      <c r="K211" s="155"/>
    </row>
    <row r="212" spans="3:11" ht="15">
      <c r="C212" s="155"/>
      <c r="D212" s="155"/>
      <c r="E212" s="155"/>
      <c r="F212" s="155"/>
      <c r="G212" s="155"/>
      <c r="H212" s="155"/>
      <c r="I212" s="155"/>
      <c r="J212" s="153"/>
      <c r="K212" s="155"/>
    </row>
    <row r="213" spans="3:11" ht="15">
      <c r="C213" s="155"/>
      <c r="D213" s="155"/>
      <c r="E213" s="155"/>
      <c r="F213" s="155"/>
      <c r="G213" s="155"/>
      <c r="H213" s="155"/>
      <c r="I213" s="155"/>
      <c r="J213" s="153"/>
      <c r="K213" s="155"/>
    </row>
    <row r="214" spans="3:11" ht="15">
      <c r="C214" s="155"/>
      <c r="D214" s="155"/>
      <c r="E214" s="155"/>
      <c r="F214" s="155"/>
      <c r="G214" s="155"/>
      <c r="H214" s="155"/>
      <c r="I214" s="155"/>
      <c r="J214" s="153"/>
      <c r="K214" s="155"/>
    </row>
    <row r="215" spans="3:11" ht="15">
      <c r="C215" s="155"/>
      <c r="D215" s="155"/>
      <c r="E215" s="155"/>
      <c r="F215" s="155"/>
      <c r="G215" s="155"/>
      <c r="H215" s="155"/>
      <c r="I215" s="155"/>
      <c r="J215" s="153"/>
      <c r="K215" s="155"/>
    </row>
    <row r="216" spans="3:11" ht="15">
      <c r="C216" s="155"/>
      <c r="D216" s="155"/>
      <c r="E216" s="155"/>
      <c r="F216" s="155"/>
      <c r="G216" s="155"/>
      <c r="H216" s="155"/>
      <c r="I216" s="155"/>
      <c r="J216" s="153"/>
      <c r="K216" s="155"/>
    </row>
    <row r="217" spans="3:11" ht="15">
      <c r="C217" s="155"/>
      <c r="D217" s="155"/>
      <c r="E217" s="155"/>
      <c r="F217" s="155"/>
      <c r="G217" s="155"/>
      <c r="H217" s="155"/>
      <c r="I217" s="155"/>
      <c r="J217" s="153"/>
      <c r="K217" s="155"/>
    </row>
    <row r="218" spans="3:11" ht="15">
      <c r="C218" s="155"/>
      <c r="D218" s="155"/>
      <c r="E218" s="155"/>
      <c r="F218" s="155"/>
      <c r="G218" s="155"/>
      <c r="H218" s="155"/>
      <c r="I218" s="155"/>
      <c r="J218" s="153"/>
      <c r="K218" s="155"/>
    </row>
    <row r="219" spans="3:11" ht="15">
      <c r="C219" s="155"/>
      <c r="D219" s="155"/>
      <c r="E219" s="155"/>
      <c r="F219" s="155"/>
      <c r="G219" s="155"/>
      <c r="H219" s="155"/>
      <c r="I219" s="155"/>
      <c r="J219" s="153"/>
      <c r="K219" s="155"/>
    </row>
    <row r="220" spans="3:11" ht="15">
      <c r="C220" s="155"/>
      <c r="D220" s="155"/>
      <c r="E220" s="155"/>
      <c r="F220" s="155"/>
      <c r="G220" s="155"/>
      <c r="H220" s="155"/>
      <c r="I220" s="155"/>
      <c r="J220" s="153"/>
      <c r="K220" s="155"/>
    </row>
    <row r="221" spans="3:11" ht="15">
      <c r="C221" s="155"/>
      <c r="D221" s="155"/>
      <c r="E221" s="155"/>
      <c r="F221" s="155"/>
      <c r="G221" s="155"/>
      <c r="H221" s="155"/>
      <c r="I221" s="155"/>
      <c r="J221" s="153"/>
      <c r="K221" s="155"/>
    </row>
    <row r="222" spans="3:11" ht="15">
      <c r="C222" s="155"/>
      <c r="D222" s="155"/>
      <c r="E222" s="155"/>
      <c r="F222" s="155"/>
      <c r="G222" s="155"/>
      <c r="H222" s="155"/>
      <c r="I222" s="155"/>
      <c r="J222" s="153"/>
      <c r="K222" s="155"/>
    </row>
    <row r="223" spans="3:11" ht="15">
      <c r="C223" s="155"/>
      <c r="D223" s="155"/>
      <c r="E223" s="155"/>
      <c r="F223" s="155"/>
      <c r="G223" s="155"/>
      <c r="H223" s="155"/>
      <c r="I223" s="155"/>
      <c r="J223" s="153"/>
      <c r="K223" s="155"/>
    </row>
    <row r="224" spans="3:11" ht="15">
      <c r="C224" s="155"/>
      <c r="D224" s="155"/>
      <c r="E224" s="155"/>
      <c r="F224" s="155"/>
      <c r="G224" s="155"/>
      <c r="H224" s="155"/>
      <c r="I224" s="155"/>
      <c r="J224" s="153"/>
      <c r="K224" s="155"/>
    </row>
    <row r="225" spans="3:11" ht="15">
      <c r="C225" s="155"/>
      <c r="D225" s="155"/>
      <c r="E225" s="155"/>
      <c r="F225" s="155"/>
      <c r="G225" s="155"/>
      <c r="H225" s="155"/>
      <c r="I225" s="155"/>
      <c r="J225" s="153"/>
      <c r="K225" s="155"/>
    </row>
    <row r="226" spans="3:11" ht="15">
      <c r="C226" s="155"/>
      <c r="D226" s="155"/>
      <c r="E226" s="155"/>
      <c r="F226" s="155"/>
      <c r="G226" s="155"/>
      <c r="H226" s="155"/>
      <c r="I226" s="155"/>
      <c r="J226" s="153"/>
      <c r="K226" s="155"/>
    </row>
    <row r="227" spans="3:11" ht="15">
      <c r="C227" s="155"/>
      <c r="D227" s="155"/>
      <c r="E227" s="155"/>
      <c r="F227" s="155"/>
      <c r="G227" s="155"/>
      <c r="H227" s="155"/>
      <c r="I227" s="155"/>
      <c r="J227" s="153"/>
      <c r="K227" s="155"/>
    </row>
    <row r="228" spans="3:11" ht="15">
      <c r="C228" s="155"/>
      <c r="D228" s="155"/>
      <c r="E228" s="155"/>
      <c r="F228" s="155"/>
      <c r="G228" s="155"/>
      <c r="H228" s="155"/>
      <c r="I228" s="155"/>
      <c r="J228" s="153"/>
      <c r="K228" s="155"/>
    </row>
    <row r="229" spans="3:11" ht="15">
      <c r="C229" s="155"/>
      <c r="D229" s="155"/>
      <c r="E229" s="155"/>
      <c r="F229" s="155"/>
      <c r="G229" s="155"/>
      <c r="H229" s="155"/>
      <c r="I229" s="155"/>
      <c r="J229" s="153"/>
      <c r="K229" s="155"/>
    </row>
    <row r="230" spans="3:11" ht="15">
      <c r="C230" s="155"/>
      <c r="D230" s="155"/>
      <c r="E230" s="155"/>
      <c r="F230" s="155"/>
      <c r="G230" s="155"/>
      <c r="H230" s="155"/>
      <c r="I230" s="155"/>
      <c r="J230" s="153"/>
      <c r="K230" s="155"/>
    </row>
    <row r="231" spans="3:11" ht="15">
      <c r="C231" s="155"/>
      <c r="D231" s="155"/>
      <c r="E231" s="155"/>
      <c r="F231" s="155"/>
      <c r="G231" s="155"/>
      <c r="H231" s="155"/>
      <c r="I231" s="155"/>
      <c r="J231" s="153"/>
      <c r="K231" s="155"/>
    </row>
    <row r="232" spans="3:11" ht="15">
      <c r="C232" s="155"/>
      <c r="D232" s="155"/>
      <c r="E232" s="155"/>
      <c r="F232" s="155"/>
      <c r="G232" s="155"/>
      <c r="H232" s="155"/>
      <c r="I232" s="155"/>
      <c r="J232" s="153"/>
      <c r="K232" s="155"/>
    </row>
    <row r="233" spans="3:11" ht="15">
      <c r="C233" s="155"/>
      <c r="D233" s="155"/>
      <c r="E233" s="155"/>
      <c r="F233" s="155"/>
      <c r="G233" s="155"/>
      <c r="H233" s="155"/>
      <c r="I233" s="155"/>
      <c r="J233" s="153"/>
      <c r="K233" s="155"/>
    </row>
    <row r="234" spans="3:11" ht="15">
      <c r="C234" s="155"/>
      <c r="D234" s="155"/>
      <c r="E234" s="155"/>
      <c r="F234" s="155"/>
      <c r="G234" s="155"/>
      <c r="H234" s="155"/>
      <c r="I234" s="155"/>
      <c r="J234" s="153"/>
      <c r="K234" s="155"/>
    </row>
    <row r="235" spans="3:11" ht="15">
      <c r="C235" s="155"/>
      <c r="D235" s="155"/>
      <c r="E235" s="155"/>
      <c r="F235" s="155"/>
      <c r="G235" s="155"/>
      <c r="H235" s="155"/>
      <c r="I235" s="155"/>
      <c r="J235" s="153"/>
      <c r="K235" s="155"/>
    </row>
    <row r="236" spans="3:11" ht="15">
      <c r="C236" s="155"/>
      <c r="D236" s="155"/>
      <c r="E236" s="155"/>
      <c r="F236" s="155"/>
      <c r="G236" s="155"/>
      <c r="H236" s="155"/>
      <c r="I236" s="155"/>
      <c r="J236" s="153"/>
      <c r="K236" s="155"/>
    </row>
    <row r="237" spans="3:11" ht="15">
      <c r="C237" s="155"/>
      <c r="D237" s="155"/>
      <c r="E237" s="155"/>
      <c r="F237" s="155"/>
      <c r="G237" s="155"/>
      <c r="H237" s="155"/>
      <c r="I237" s="155"/>
      <c r="J237" s="153"/>
      <c r="K237" s="155"/>
    </row>
    <row r="238" spans="3:11" ht="15">
      <c r="C238" s="155"/>
      <c r="D238" s="155"/>
      <c r="E238" s="155"/>
      <c r="F238" s="155"/>
      <c r="G238" s="155"/>
      <c r="H238" s="155"/>
      <c r="I238" s="155"/>
      <c r="J238" s="153"/>
      <c r="K238" s="155"/>
    </row>
    <row r="239" spans="3:11" ht="15">
      <c r="C239" s="155"/>
      <c r="D239" s="155"/>
      <c r="E239" s="155"/>
      <c r="F239" s="155"/>
      <c r="G239" s="155"/>
      <c r="H239" s="155"/>
      <c r="I239" s="155"/>
      <c r="J239" s="153"/>
      <c r="K239" s="155"/>
    </row>
    <row r="240" spans="3:11" ht="15">
      <c r="C240" s="155"/>
      <c r="D240" s="155"/>
      <c r="E240" s="155"/>
      <c r="F240" s="155"/>
      <c r="G240" s="155"/>
      <c r="H240" s="155"/>
      <c r="I240" s="155"/>
      <c r="J240" s="153"/>
      <c r="K240" s="155"/>
    </row>
    <row r="241" spans="3:11" ht="15">
      <c r="C241" s="155"/>
      <c r="D241" s="155"/>
      <c r="E241" s="155"/>
      <c r="F241" s="155"/>
      <c r="G241" s="155"/>
      <c r="H241" s="155"/>
      <c r="I241" s="155"/>
      <c r="J241" s="153"/>
      <c r="K241" s="155"/>
    </row>
    <row r="242" spans="3:11" ht="15">
      <c r="C242" s="155"/>
      <c r="D242" s="155"/>
      <c r="E242" s="155"/>
      <c r="F242" s="155"/>
      <c r="G242" s="155"/>
      <c r="H242" s="155"/>
      <c r="I242" s="155"/>
      <c r="J242" s="153"/>
      <c r="K242" s="155"/>
    </row>
    <row r="243" spans="3:11" ht="15">
      <c r="C243" s="155"/>
      <c r="D243" s="155"/>
      <c r="E243" s="155"/>
      <c r="F243" s="155"/>
      <c r="G243" s="155"/>
      <c r="H243" s="155"/>
      <c r="I243" s="155"/>
      <c r="J243" s="153"/>
      <c r="K243" s="155"/>
    </row>
    <row r="244" spans="3:11" ht="15">
      <c r="C244" s="155"/>
      <c r="D244" s="155"/>
      <c r="E244" s="155"/>
      <c r="F244" s="155"/>
      <c r="G244" s="155"/>
      <c r="H244" s="155"/>
      <c r="I244" s="155"/>
      <c r="J244" s="153"/>
      <c r="K244" s="155"/>
    </row>
    <row r="245" spans="3:11" ht="15">
      <c r="C245" s="155"/>
      <c r="D245" s="155"/>
      <c r="E245" s="155"/>
      <c r="F245" s="155"/>
      <c r="G245" s="155"/>
      <c r="H245" s="155"/>
      <c r="I245" s="155"/>
      <c r="J245" s="153"/>
      <c r="K245" s="155"/>
    </row>
    <row r="246" spans="3:11" ht="15">
      <c r="C246" s="155"/>
      <c r="D246" s="155"/>
      <c r="E246" s="155"/>
      <c r="F246" s="155"/>
      <c r="G246" s="155"/>
      <c r="H246" s="155"/>
      <c r="I246" s="155"/>
      <c r="J246" s="153"/>
      <c r="K246" s="155"/>
    </row>
    <row r="247" spans="3:11" ht="15">
      <c r="C247" s="155"/>
      <c r="D247" s="155"/>
      <c r="E247" s="155"/>
      <c r="F247" s="155"/>
      <c r="G247" s="155"/>
      <c r="H247" s="155"/>
      <c r="I247" s="155"/>
      <c r="J247" s="153"/>
      <c r="K247" s="155"/>
    </row>
    <row r="248" spans="3:11" ht="15">
      <c r="C248" s="155"/>
      <c r="D248" s="155"/>
      <c r="E248" s="155"/>
      <c r="F248" s="155"/>
      <c r="G248" s="155"/>
      <c r="H248" s="155"/>
      <c r="I248" s="155"/>
      <c r="J248" s="153"/>
      <c r="K248" s="155"/>
    </row>
    <row r="249" spans="3:11" ht="15">
      <c r="C249" s="155"/>
      <c r="D249" s="155"/>
      <c r="E249" s="155"/>
      <c r="F249" s="155"/>
      <c r="G249" s="155"/>
      <c r="H249" s="155"/>
      <c r="I249" s="155"/>
      <c r="J249" s="153"/>
      <c r="K249" s="155"/>
    </row>
    <row r="250" spans="3:11" ht="15">
      <c r="C250" s="155"/>
      <c r="D250" s="155"/>
      <c r="E250" s="155"/>
      <c r="F250" s="155"/>
      <c r="G250" s="155"/>
      <c r="H250" s="155"/>
      <c r="I250" s="155"/>
      <c r="J250" s="153"/>
      <c r="K250" s="155"/>
    </row>
    <row r="251" spans="3:11" ht="15">
      <c r="C251" s="155"/>
      <c r="D251" s="155"/>
      <c r="E251" s="155"/>
      <c r="F251" s="155"/>
      <c r="G251" s="155"/>
      <c r="H251" s="155"/>
      <c r="I251" s="155"/>
      <c r="J251" s="153"/>
      <c r="K251" s="155"/>
    </row>
    <row r="252" spans="3:11" ht="15">
      <c r="C252" s="155"/>
      <c r="D252" s="155"/>
      <c r="E252" s="155"/>
      <c r="F252" s="155"/>
      <c r="G252" s="155"/>
      <c r="H252" s="155"/>
      <c r="I252" s="155"/>
      <c r="J252" s="153"/>
      <c r="K252" s="155"/>
    </row>
    <row r="253" spans="3:11" ht="15">
      <c r="C253" s="155"/>
      <c r="D253" s="155"/>
      <c r="E253" s="155"/>
      <c r="F253" s="155"/>
      <c r="G253" s="155"/>
      <c r="H253" s="155"/>
      <c r="I253" s="155"/>
      <c r="J253" s="153"/>
      <c r="K253" s="155"/>
    </row>
    <row r="254" spans="3:11" ht="15">
      <c r="C254" s="155"/>
      <c r="D254" s="155"/>
      <c r="E254" s="155"/>
      <c r="F254" s="155"/>
      <c r="G254" s="155"/>
      <c r="H254" s="155"/>
      <c r="I254" s="155"/>
      <c r="J254" s="153"/>
      <c r="K254" s="155"/>
    </row>
    <row r="255" spans="3:11" ht="15">
      <c r="C255" s="155"/>
      <c r="D255" s="155"/>
      <c r="E255" s="155"/>
      <c r="F255" s="155"/>
      <c r="G255" s="155"/>
      <c r="H255" s="155"/>
      <c r="I255" s="155"/>
      <c r="J255" s="153"/>
      <c r="K255" s="155"/>
    </row>
    <row r="256" spans="3:11" ht="15">
      <c r="C256" s="155"/>
      <c r="D256" s="155"/>
      <c r="E256" s="155"/>
      <c r="F256" s="155"/>
      <c r="G256" s="155"/>
      <c r="H256" s="155"/>
      <c r="I256" s="155"/>
      <c r="J256" s="153"/>
      <c r="K256" s="155"/>
    </row>
    <row r="257" spans="3:11" ht="15">
      <c r="C257" s="155"/>
      <c r="D257" s="155"/>
      <c r="E257" s="155"/>
      <c r="F257" s="155"/>
      <c r="G257" s="155"/>
      <c r="H257" s="155"/>
      <c r="I257" s="155"/>
      <c r="J257" s="153"/>
      <c r="K257" s="155"/>
    </row>
    <row r="258" spans="3:11" ht="15">
      <c r="C258" s="155"/>
      <c r="D258" s="155"/>
      <c r="E258" s="155"/>
      <c r="F258" s="155"/>
      <c r="G258" s="155"/>
      <c r="H258" s="155"/>
      <c r="I258" s="155"/>
      <c r="J258" s="153"/>
      <c r="K258" s="155"/>
    </row>
    <row r="259" spans="3:11" ht="15">
      <c r="C259" s="155"/>
      <c r="D259" s="155"/>
      <c r="E259" s="155"/>
      <c r="F259" s="155"/>
      <c r="G259" s="155"/>
      <c r="H259" s="155"/>
      <c r="I259" s="155"/>
      <c r="J259" s="153"/>
      <c r="K259" s="155"/>
    </row>
    <row r="260" spans="3:11" ht="15">
      <c r="C260" s="155"/>
      <c r="D260" s="155"/>
      <c r="E260" s="155"/>
      <c r="F260" s="155"/>
      <c r="G260" s="155"/>
      <c r="H260" s="155"/>
      <c r="I260" s="155"/>
      <c r="J260" s="153"/>
      <c r="K260" s="155"/>
    </row>
    <row r="261" spans="3:11" ht="15">
      <c r="C261" s="155"/>
      <c r="D261" s="155"/>
      <c r="E261" s="155"/>
      <c r="F261" s="155"/>
      <c r="G261" s="155"/>
      <c r="H261" s="155"/>
      <c r="I261" s="155"/>
      <c r="J261" s="153"/>
      <c r="K261" s="155"/>
    </row>
    <row r="262" spans="3:11" ht="15">
      <c r="C262" s="155"/>
      <c r="D262" s="155"/>
      <c r="E262" s="155"/>
      <c r="F262" s="155"/>
      <c r="G262" s="155"/>
      <c r="H262" s="155"/>
      <c r="I262" s="155"/>
      <c r="J262" s="153"/>
      <c r="K262" s="155"/>
    </row>
    <row r="263" spans="3:11" ht="15">
      <c r="C263" s="155"/>
      <c r="D263" s="155"/>
      <c r="E263" s="155"/>
      <c r="F263" s="155"/>
      <c r="G263" s="155"/>
      <c r="H263" s="155"/>
      <c r="I263" s="155"/>
      <c r="J263" s="153"/>
      <c r="K263" s="155"/>
    </row>
    <row r="264" spans="3:11" ht="15">
      <c r="C264" s="155"/>
      <c r="D264" s="155"/>
      <c r="E264" s="155"/>
      <c r="F264" s="155"/>
      <c r="G264" s="155"/>
      <c r="H264" s="155"/>
      <c r="I264" s="155"/>
      <c r="J264" s="153"/>
      <c r="K264" s="155"/>
    </row>
    <row r="265" spans="3:11" ht="15">
      <c r="C265" s="155"/>
      <c r="D265" s="155"/>
      <c r="E265" s="155"/>
      <c r="F265" s="155"/>
      <c r="G265" s="155"/>
      <c r="H265" s="155"/>
      <c r="I265" s="155"/>
      <c r="J265" s="153"/>
      <c r="K265" s="155"/>
    </row>
    <row r="266" spans="3:11" ht="15">
      <c r="C266" s="155"/>
      <c r="D266" s="155"/>
      <c r="E266" s="155"/>
      <c r="F266" s="155"/>
      <c r="G266" s="155"/>
      <c r="H266" s="155"/>
      <c r="I266" s="155"/>
      <c r="J266" s="153"/>
      <c r="K266" s="155"/>
    </row>
    <row r="267" spans="3:11" ht="15">
      <c r="C267" s="155"/>
      <c r="D267" s="155"/>
      <c r="E267" s="155"/>
      <c r="F267" s="155"/>
      <c r="G267" s="155"/>
      <c r="H267" s="155"/>
      <c r="I267" s="155"/>
      <c r="J267" s="153"/>
      <c r="K267" s="155"/>
    </row>
    <row r="268" spans="3:11" ht="15">
      <c r="C268" s="155"/>
      <c r="D268" s="155"/>
      <c r="E268" s="155"/>
      <c r="F268" s="155"/>
      <c r="G268" s="155"/>
      <c r="H268" s="155"/>
      <c r="I268" s="155"/>
      <c r="J268" s="153"/>
      <c r="K268" s="155"/>
    </row>
    <row r="269" spans="3:11" ht="15">
      <c r="C269" s="155"/>
      <c r="D269" s="155"/>
      <c r="E269" s="155"/>
      <c r="F269" s="155"/>
      <c r="G269" s="155"/>
      <c r="H269" s="155"/>
      <c r="I269" s="155"/>
      <c r="J269" s="153"/>
      <c r="K269" s="155"/>
    </row>
    <row r="270" spans="3:11" ht="15">
      <c r="C270" s="155"/>
      <c r="D270" s="155"/>
      <c r="E270" s="155"/>
      <c r="F270" s="155"/>
      <c r="G270" s="155"/>
      <c r="H270" s="155"/>
      <c r="I270" s="155"/>
      <c r="J270" s="153"/>
      <c r="K270" s="155"/>
    </row>
    <row r="271" spans="3:11" ht="15">
      <c r="C271" s="155"/>
      <c r="D271" s="155"/>
      <c r="E271" s="155"/>
      <c r="F271" s="155"/>
      <c r="G271" s="155"/>
      <c r="H271" s="155"/>
      <c r="I271" s="155"/>
      <c r="J271" s="153"/>
      <c r="K271" s="155"/>
    </row>
    <row r="272" spans="3:11" ht="15">
      <c r="C272" s="155"/>
      <c r="D272" s="155"/>
      <c r="E272" s="155"/>
      <c r="F272" s="155"/>
      <c r="G272" s="155"/>
      <c r="H272" s="155"/>
      <c r="I272" s="155"/>
      <c r="J272" s="153"/>
      <c r="K272" s="155"/>
    </row>
    <row r="273" spans="3:11" ht="15">
      <c r="C273" s="155"/>
      <c r="D273" s="155"/>
      <c r="E273" s="155"/>
      <c r="F273" s="155"/>
      <c r="G273" s="155"/>
      <c r="H273" s="155"/>
      <c r="I273" s="155"/>
      <c r="J273" s="153"/>
      <c r="K273" s="155"/>
    </row>
    <row r="274" spans="3:11" ht="15">
      <c r="C274" s="155"/>
      <c r="D274" s="155"/>
      <c r="E274" s="155"/>
      <c r="F274" s="155"/>
      <c r="G274" s="155"/>
      <c r="H274" s="155"/>
      <c r="I274" s="155"/>
      <c r="J274" s="153"/>
      <c r="K274" s="155"/>
    </row>
    <row r="275" spans="3:11" ht="15">
      <c r="C275" s="155"/>
      <c r="D275" s="155"/>
      <c r="E275" s="155"/>
      <c r="F275" s="155"/>
      <c r="G275" s="155"/>
      <c r="H275" s="155"/>
      <c r="I275" s="155"/>
      <c r="J275" s="153"/>
      <c r="K275" s="155"/>
    </row>
    <row r="276" spans="3:11" ht="15">
      <c r="C276" s="155"/>
      <c r="D276" s="155"/>
      <c r="E276" s="155"/>
      <c r="F276" s="155"/>
      <c r="G276" s="155"/>
      <c r="H276" s="155"/>
      <c r="I276" s="155"/>
      <c r="J276" s="153"/>
      <c r="K276" s="155"/>
    </row>
    <row r="277" spans="3:11" ht="15">
      <c r="C277" s="155"/>
      <c r="D277" s="155"/>
      <c r="E277" s="155"/>
      <c r="F277" s="155"/>
      <c r="G277" s="155"/>
      <c r="H277" s="155"/>
      <c r="I277" s="155"/>
      <c r="J277" s="153"/>
      <c r="K277" s="155"/>
    </row>
    <row r="278" spans="3:11" ht="15">
      <c r="C278" s="155"/>
      <c r="D278" s="155"/>
      <c r="E278" s="155"/>
      <c r="F278" s="155"/>
      <c r="G278" s="155"/>
      <c r="H278" s="155"/>
      <c r="I278" s="155"/>
      <c r="J278" s="153"/>
      <c r="K278" s="155"/>
    </row>
    <row r="279" spans="3:11" ht="15">
      <c r="C279" s="155"/>
      <c r="D279" s="155"/>
      <c r="E279" s="155"/>
      <c r="F279" s="155"/>
      <c r="G279" s="155"/>
      <c r="H279" s="155"/>
      <c r="I279" s="155"/>
      <c r="J279" s="153"/>
      <c r="K279" s="155"/>
    </row>
    <row r="280" spans="3:11" ht="15">
      <c r="C280" s="155"/>
      <c r="D280" s="155"/>
      <c r="E280" s="155"/>
      <c r="F280" s="155"/>
      <c r="G280" s="155"/>
      <c r="H280" s="155"/>
      <c r="I280" s="155"/>
      <c r="J280" s="153"/>
      <c r="K280" s="155"/>
    </row>
    <row r="281" spans="3:11" ht="15">
      <c r="C281" s="155"/>
      <c r="D281" s="155"/>
      <c r="E281" s="155"/>
      <c r="F281" s="155"/>
      <c r="G281" s="155"/>
      <c r="H281" s="155"/>
      <c r="I281" s="155"/>
      <c r="J281" s="153"/>
      <c r="K281" s="155"/>
    </row>
    <row r="282" spans="3:11" ht="15">
      <c r="C282" s="155"/>
      <c r="D282" s="155"/>
      <c r="E282" s="155"/>
      <c r="F282" s="155"/>
      <c r="G282" s="155"/>
      <c r="H282" s="155"/>
      <c r="I282" s="155"/>
      <c r="J282" s="153"/>
      <c r="K282" s="155"/>
    </row>
    <row r="283" spans="3:11" ht="15">
      <c r="C283" s="155"/>
      <c r="D283" s="155"/>
      <c r="E283" s="155"/>
      <c r="F283" s="155"/>
      <c r="G283" s="155"/>
      <c r="H283" s="155"/>
      <c r="I283" s="155"/>
      <c r="J283" s="153"/>
      <c r="K283" s="155"/>
    </row>
    <row r="284" spans="3:11" ht="15">
      <c r="C284" s="155"/>
      <c r="D284" s="155"/>
      <c r="E284" s="155"/>
      <c r="F284" s="155"/>
      <c r="G284" s="155"/>
      <c r="H284" s="155"/>
      <c r="I284" s="155"/>
      <c r="J284" s="153"/>
      <c r="K284" s="155"/>
    </row>
    <row r="285" spans="3:11" ht="15">
      <c r="C285" s="155"/>
      <c r="D285" s="155"/>
      <c r="E285" s="155"/>
      <c r="F285" s="155"/>
      <c r="G285" s="155"/>
      <c r="H285" s="155"/>
      <c r="I285" s="155"/>
      <c r="J285" s="153"/>
      <c r="K285" s="155"/>
    </row>
    <row r="286" spans="3:11" ht="15">
      <c r="C286" s="155"/>
      <c r="D286" s="155"/>
      <c r="E286" s="155"/>
      <c r="F286" s="155"/>
      <c r="G286" s="155"/>
      <c r="H286" s="155"/>
      <c r="I286" s="155"/>
      <c r="J286" s="153"/>
      <c r="K286" s="155"/>
    </row>
    <row r="287" spans="3:11" ht="15">
      <c r="C287" s="155"/>
      <c r="D287" s="155"/>
      <c r="E287" s="155"/>
      <c r="F287" s="155"/>
      <c r="G287" s="155"/>
      <c r="H287" s="155"/>
      <c r="I287" s="155"/>
      <c r="J287" s="153"/>
      <c r="K287" s="155"/>
    </row>
    <row r="288" spans="3:11" ht="15">
      <c r="C288" s="155"/>
      <c r="D288" s="155"/>
      <c r="E288" s="155"/>
      <c r="F288" s="155"/>
      <c r="G288" s="155"/>
      <c r="H288" s="155"/>
      <c r="I288" s="155"/>
      <c r="J288" s="153"/>
      <c r="K288" s="155"/>
    </row>
    <row r="289" spans="3:11" ht="15">
      <c r="C289" s="155"/>
      <c r="D289" s="155"/>
      <c r="E289" s="155"/>
      <c r="F289" s="155"/>
      <c r="G289" s="155"/>
      <c r="H289" s="155"/>
      <c r="I289" s="155"/>
      <c r="J289" s="153"/>
      <c r="K289" s="155"/>
    </row>
    <row r="290" spans="3:11" ht="15">
      <c r="C290" s="155"/>
      <c r="D290" s="155"/>
      <c r="E290" s="155"/>
      <c r="F290" s="155"/>
      <c r="G290" s="155"/>
      <c r="H290" s="155"/>
      <c r="I290" s="155"/>
      <c r="J290" s="153"/>
      <c r="K290" s="155"/>
    </row>
    <row r="291" spans="3:11" ht="15">
      <c r="C291" s="155"/>
      <c r="D291" s="155"/>
      <c r="E291" s="155"/>
      <c r="F291" s="155"/>
      <c r="G291" s="155"/>
      <c r="H291" s="155"/>
      <c r="I291" s="155"/>
      <c r="J291" s="153"/>
      <c r="K291" s="155"/>
    </row>
    <row r="292" spans="3:11" ht="15">
      <c r="C292" s="155"/>
      <c r="D292" s="155"/>
      <c r="E292" s="155"/>
      <c r="F292" s="155"/>
      <c r="G292" s="155"/>
      <c r="H292" s="155"/>
      <c r="I292" s="155"/>
      <c r="J292" s="153"/>
      <c r="K292" s="155"/>
    </row>
    <row r="293" spans="3:11" ht="15">
      <c r="C293" s="155"/>
      <c r="D293" s="155"/>
      <c r="E293" s="155"/>
      <c r="F293" s="155"/>
      <c r="G293" s="155"/>
      <c r="H293" s="155"/>
      <c r="I293" s="155"/>
      <c r="J293" s="153"/>
      <c r="K293" s="155"/>
    </row>
    <row r="294" spans="3:11" ht="15">
      <c r="C294" s="155"/>
      <c r="D294" s="155"/>
      <c r="E294" s="155"/>
      <c r="F294" s="155"/>
      <c r="G294" s="155"/>
      <c r="H294" s="155"/>
      <c r="I294" s="155"/>
      <c r="J294" s="153"/>
      <c r="K294" s="155"/>
    </row>
    <row r="295" spans="3:11" ht="15">
      <c r="C295" s="155"/>
      <c r="D295" s="155"/>
      <c r="E295" s="155"/>
      <c r="F295" s="155"/>
      <c r="G295" s="155"/>
      <c r="H295" s="155"/>
      <c r="I295" s="155"/>
      <c r="J295" s="153"/>
      <c r="K295" s="155"/>
    </row>
    <row r="296" spans="3:11" ht="15">
      <c r="C296" s="155"/>
      <c r="D296" s="155"/>
      <c r="E296" s="155"/>
      <c r="F296" s="155"/>
      <c r="G296" s="155"/>
      <c r="H296" s="155"/>
      <c r="I296" s="155"/>
      <c r="J296" s="153"/>
      <c r="K296" s="155"/>
    </row>
    <row r="297" spans="3:11" ht="15">
      <c r="C297" s="155"/>
      <c r="D297" s="155"/>
      <c r="E297" s="155"/>
      <c r="F297" s="155"/>
      <c r="G297" s="155"/>
      <c r="H297" s="155"/>
      <c r="I297" s="155"/>
      <c r="J297" s="153"/>
      <c r="K297" s="155"/>
    </row>
    <row r="298" spans="3:11" ht="15">
      <c r="C298" s="155"/>
      <c r="D298" s="155"/>
      <c r="E298" s="155"/>
      <c r="F298" s="155"/>
      <c r="G298" s="155"/>
      <c r="H298" s="155"/>
      <c r="I298" s="155"/>
      <c r="J298" s="153"/>
      <c r="K298" s="155"/>
    </row>
    <row r="299" spans="3:11" ht="15">
      <c r="C299" s="155"/>
      <c r="D299" s="155"/>
      <c r="E299" s="155"/>
      <c r="F299" s="155"/>
      <c r="G299" s="155"/>
      <c r="H299" s="155"/>
      <c r="I299" s="155"/>
      <c r="J299" s="153"/>
      <c r="K299" s="155"/>
    </row>
    <row r="300" spans="3:11" ht="15">
      <c r="C300" s="155"/>
      <c r="D300" s="155"/>
      <c r="E300" s="155"/>
      <c r="F300" s="155"/>
      <c r="G300" s="155"/>
      <c r="H300" s="155"/>
      <c r="I300" s="155"/>
      <c r="J300" s="153"/>
      <c r="K300" s="155"/>
    </row>
    <row r="301" spans="3:11" ht="15">
      <c r="C301" s="155"/>
      <c r="D301" s="155"/>
      <c r="E301" s="155"/>
      <c r="F301" s="155"/>
      <c r="G301" s="155"/>
      <c r="H301" s="155"/>
      <c r="I301" s="155"/>
      <c r="J301" s="153"/>
      <c r="K301" s="155"/>
    </row>
    <row r="302" spans="3:11" ht="15">
      <c r="C302" s="155"/>
      <c r="D302" s="155"/>
      <c r="E302" s="155"/>
      <c r="F302" s="155"/>
      <c r="G302" s="155"/>
      <c r="H302" s="155"/>
      <c r="I302" s="155"/>
      <c r="J302" s="153"/>
      <c r="K302" s="155"/>
    </row>
    <row r="303" spans="3:11" ht="15">
      <c r="C303" s="155"/>
      <c r="D303" s="155"/>
      <c r="E303" s="155"/>
      <c r="F303" s="155"/>
      <c r="G303" s="155"/>
      <c r="H303" s="155"/>
      <c r="I303" s="155"/>
      <c r="J303" s="153"/>
      <c r="K303" s="155"/>
    </row>
    <row r="304" spans="3:11" ht="15">
      <c r="C304" s="155"/>
      <c r="D304" s="155"/>
      <c r="E304" s="155"/>
      <c r="F304" s="155"/>
      <c r="G304" s="155"/>
      <c r="H304" s="155"/>
      <c r="I304" s="155"/>
      <c r="J304" s="153"/>
      <c r="K304" s="155"/>
    </row>
    <row r="305" spans="3:11" ht="15">
      <c r="C305" s="155"/>
      <c r="D305" s="155"/>
      <c r="E305" s="155"/>
      <c r="F305" s="155"/>
      <c r="G305" s="155"/>
      <c r="H305" s="155"/>
      <c r="I305" s="155"/>
      <c r="J305" s="153"/>
      <c r="K305" s="155"/>
    </row>
    <row r="306" ht="15">
      <c r="J306" s="153"/>
    </row>
    <row r="307" ht="15">
      <c r="J307" s="153"/>
    </row>
    <row r="308" ht="15">
      <c r="J308" s="153"/>
    </row>
    <row r="309" ht="15">
      <c r="J309" s="153"/>
    </row>
    <row r="310" ht="15">
      <c r="J310" s="153"/>
    </row>
    <row r="311" ht="15">
      <c r="J311" s="153"/>
    </row>
    <row r="312" ht="15">
      <c r="J312" s="153"/>
    </row>
    <row r="313" ht="15">
      <c r="J313" s="153"/>
    </row>
    <row r="314" ht="15">
      <c r="J314" s="153"/>
    </row>
    <row r="315" ht="15">
      <c r="J315" s="153"/>
    </row>
    <row r="316" ht="15">
      <c r="J316" s="153"/>
    </row>
    <row r="317" ht="15">
      <c r="J317" s="153"/>
    </row>
    <row r="318" ht="15">
      <c r="J318" s="153"/>
    </row>
    <row r="319" ht="15">
      <c r="J319" s="153"/>
    </row>
    <row r="320" ht="15">
      <c r="J320" s="153"/>
    </row>
    <row r="321" ht="15">
      <c r="J321" s="153"/>
    </row>
    <row r="322" ht="15">
      <c r="J322" s="153"/>
    </row>
    <row r="323" ht="15">
      <c r="J323" s="153"/>
    </row>
    <row r="324" ht="15">
      <c r="J324" s="153"/>
    </row>
    <row r="325" ht="15">
      <c r="J325" s="153"/>
    </row>
    <row r="326" ht="15">
      <c r="J326" s="153"/>
    </row>
    <row r="327" ht="15">
      <c r="J327" s="153"/>
    </row>
    <row r="328" ht="15">
      <c r="J328" s="153"/>
    </row>
    <row r="329" ht="15">
      <c r="J329" s="153"/>
    </row>
    <row r="330" ht="15">
      <c r="J330" s="153"/>
    </row>
    <row r="331" ht="15">
      <c r="J331" s="153"/>
    </row>
    <row r="332" ht="15">
      <c r="J332" s="153"/>
    </row>
    <row r="333" ht="15">
      <c r="J333" s="153"/>
    </row>
    <row r="334" ht="15">
      <c r="J334" s="153"/>
    </row>
    <row r="335" ht="15">
      <c r="J335" s="153"/>
    </row>
    <row r="336" ht="15">
      <c r="J336" s="153"/>
    </row>
    <row r="337" ht="15">
      <c r="J337" s="153"/>
    </row>
    <row r="338" ht="15">
      <c r="J338" s="153"/>
    </row>
    <row r="339" ht="15">
      <c r="J339" s="153"/>
    </row>
    <row r="340" ht="15">
      <c r="J340" s="153"/>
    </row>
    <row r="341" ht="15">
      <c r="J341" s="153"/>
    </row>
    <row r="342" ht="15">
      <c r="J342" s="153"/>
    </row>
    <row r="343" ht="15">
      <c r="J343" s="153"/>
    </row>
    <row r="344" ht="15">
      <c r="J344" s="153"/>
    </row>
    <row r="345" ht="15">
      <c r="J345" s="153"/>
    </row>
    <row r="346" ht="15">
      <c r="J346" s="153"/>
    </row>
    <row r="347" ht="15">
      <c r="J347" s="153"/>
    </row>
    <row r="348" ht="15">
      <c r="J348" s="153"/>
    </row>
    <row r="349" ht="15">
      <c r="J349" s="153"/>
    </row>
    <row r="350" ht="15">
      <c r="J350" s="153"/>
    </row>
    <row r="351" ht="15">
      <c r="J351" s="153"/>
    </row>
    <row r="352" ht="15">
      <c r="J352" s="153"/>
    </row>
    <row r="353" ht="15">
      <c r="J353" s="153"/>
    </row>
    <row r="354" ht="15">
      <c r="J354" s="153"/>
    </row>
    <row r="355" ht="15">
      <c r="J355" s="153"/>
    </row>
    <row r="356" ht="15">
      <c r="J356" s="153"/>
    </row>
    <row r="357" ht="15">
      <c r="J357" s="153"/>
    </row>
    <row r="358" ht="15">
      <c r="J358" s="153"/>
    </row>
    <row r="359" ht="15">
      <c r="J359" s="153"/>
    </row>
    <row r="360" ht="15">
      <c r="J360" s="153"/>
    </row>
    <row r="361" ht="15">
      <c r="J361" s="153"/>
    </row>
    <row r="362" ht="15">
      <c r="J362" s="153"/>
    </row>
    <row r="363" ht="15">
      <c r="J363" s="153"/>
    </row>
    <row r="364" ht="15">
      <c r="J364" s="153"/>
    </row>
    <row r="365" ht="15">
      <c r="J365" s="153"/>
    </row>
    <row r="366" ht="15">
      <c r="J366" s="153"/>
    </row>
    <row r="367" ht="15">
      <c r="J367" s="153"/>
    </row>
    <row r="368" ht="15">
      <c r="J368" s="153"/>
    </row>
    <row r="369" ht="15">
      <c r="J369" s="153"/>
    </row>
    <row r="370" ht="15">
      <c r="J370" s="153"/>
    </row>
    <row r="371" ht="15">
      <c r="J371" s="153"/>
    </row>
    <row r="372" ht="15">
      <c r="J372" s="153"/>
    </row>
    <row r="373" ht="15">
      <c r="J373" s="153"/>
    </row>
    <row r="374" ht="15">
      <c r="J374" s="153"/>
    </row>
    <row r="375" ht="15">
      <c r="J375" s="153"/>
    </row>
    <row r="376" ht="15">
      <c r="J376" s="153"/>
    </row>
    <row r="377" ht="15">
      <c r="J377" s="153"/>
    </row>
    <row r="378" ht="15">
      <c r="J378" s="153"/>
    </row>
    <row r="379" ht="15">
      <c r="J379" s="153"/>
    </row>
    <row r="380" ht="15">
      <c r="J380" s="153"/>
    </row>
    <row r="381" ht="15">
      <c r="J381" s="153"/>
    </row>
    <row r="382" ht="15">
      <c r="J382" s="153"/>
    </row>
    <row r="383" ht="15">
      <c r="J383" s="153"/>
    </row>
    <row r="384" ht="15">
      <c r="J384" s="153"/>
    </row>
    <row r="385" ht="15">
      <c r="J385" s="153"/>
    </row>
    <row r="386" ht="15">
      <c r="J386" s="153"/>
    </row>
    <row r="387" ht="15">
      <c r="J387" s="153"/>
    </row>
    <row r="388" ht="15">
      <c r="J388" s="153"/>
    </row>
    <row r="389" ht="15">
      <c r="J389" s="153"/>
    </row>
    <row r="390" ht="15">
      <c r="J390" s="153"/>
    </row>
    <row r="391" ht="15">
      <c r="J391" s="153"/>
    </row>
    <row r="392" ht="15">
      <c r="J392" s="153"/>
    </row>
    <row r="393" ht="15">
      <c r="J393" s="153"/>
    </row>
    <row r="394" ht="15">
      <c r="J394" s="153"/>
    </row>
    <row r="395" ht="15">
      <c r="J395" s="153"/>
    </row>
    <row r="396" ht="15">
      <c r="J396" s="153"/>
    </row>
    <row r="397" ht="15">
      <c r="J397" s="153"/>
    </row>
    <row r="398" ht="15">
      <c r="J398" s="153"/>
    </row>
    <row r="399" ht="15">
      <c r="J399" s="153"/>
    </row>
    <row r="400" ht="15">
      <c r="J400" s="153"/>
    </row>
    <row r="401" ht="15">
      <c r="J401" s="153"/>
    </row>
    <row r="402" ht="15">
      <c r="J402" s="153"/>
    </row>
    <row r="403" ht="15">
      <c r="J403" s="153"/>
    </row>
    <row r="404" ht="15">
      <c r="J404" s="153"/>
    </row>
    <row r="405" ht="15">
      <c r="J405" s="153"/>
    </row>
    <row r="406" ht="15">
      <c r="J406" s="153"/>
    </row>
    <row r="407" ht="15">
      <c r="J407" s="153"/>
    </row>
    <row r="408" ht="15">
      <c r="J408" s="153"/>
    </row>
    <row r="409" ht="15">
      <c r="J409" s="153"/>
    </row>
    <row r="410" ht="15">
      <c r="J410" s="153"/>
    </row>
    <row r="411" ht="15">
      <c r="J411" s="153"/>
    </row>
    <row r="412" ht="15">
      <c r="J412" s="153"/>
    </row>
    <row r="413" ht="15">
      <c r="J413" s="153"/>
    </row>
    <row r="414" ht="15">
      <c r="J414" s="153"/>
    </row>
    <row r="415" ht="15">
      <c r="J415" s="153"/>
    </row>
    <row r="416" ht="15">
      <c r="J416" s="153"/>
    </row>
    <row r="417" ht="15">
      <c r="J417" s="153"/>
    </row>
    <row r="418" ht="15">
      <c r="J418" s="153"/>
    </row>
    <row r="419" ht="15">
      <c r="J419" s="153"/>
    </row>
    <row r="420" ht="15">
      <c r="J420" s="153"/>
    </row>
    <row r="421" ht="15">
      <c r="J421" s="153"/>
    </row>
    <row r="422" ht="15">
      <c r="J422" s="153"/>
    </row>
    <row r="423" ht="15">
      <c r="J423" s="153"/>
    </row>
    <row r="424" ht="15">
      <c r="J424" s="153"/>
    </row>
    <row r="425" ht="15">
      <c r="J425" s="153"/>
    </row>
    <row r="426" ht="15">
      <c r="J426" s="153"/>
    </row>
    <row r="427" ht="15">
      <c r="J427" s="153"/>
    </row>
    <row r="428" ht="15">
      <c r="J428" s="153"/>
    </row>
    <row r="429" ht="15">
      <c r="J429" s="153"/>
    </row>
    <row r="430" ht="15">
      <c r="J430" s="153"/>
    </row>
    <row r="431" ht="15">
      <c r="J431" s="153"/>
    </row>
    <row r="432" ht="15">
      <c r="J432" s="153"/>
    </row>
    <row r="433" ht="15">
      <c r="J433" s="153"/>
    </row>
    <row r="434" ht="15">
      <c r="J434" s="153"/>
    </row>
    <row r="435" ht="15">
      <c r="J435" s="153"/>
    </row>
    <row r="436" ht="15">
      <c r="J436" s="153"/>
    </row>
    <row r="437" ht="15">
      <c r="J437" s="153"/>
    </row>
    <row r="438" ht="15">
      <c r="J438" s="153"/>
    </row>
    <row r="439" ht="15">
      <c r="J439" s="153"/>
    </row>
    <row r="440" ht="15">
      <c r="J440" s="153"/>
    </row>
    <row r="441" ht="15">
      <c r="J441" s="153"/>
    </row>
    <row r="442" ht="15">
      <c r="J442" s="153"/>
    </row>
    <row r="443" ht="15">
      <c r="J443" s="153"/>
    </row>
    <row r="444" ht="15">
      <c r="J444" s="153"/>
    </row>
    <row r="445" ht="15">
      <c r="J445" s="153"/>
    </row>
    <row r="446" ht="15">
      <c r="J446" s="153"/>
    </row>
    <row r="447" ht="15">
      <c r="J447" s="153"/>
    </row>
    <row r="448" ht="15">
      <c r="J448" s="153"/>
    </row>
    <row r="449" ht="15">
      <c r="J449" s="153"/>
    </row>
    <row r="450" ht="15">
      <c r="J450" s="153"/>
    </row>
    <row r="451" ht="15">
      <c r="J451" s="153"/>
    </row>
    <row r="452" ht="15">
      <c r="J452" s="153"/>
    </row>
    <row r="453" ht="15">
      <c r="J453" s="153"/>
    </row>
    <row r="454" ht="15">
      <c r="J454" s="153"/>
    </row>
    <row r="455" ht="15">
      <c r="J455" s="153"/>
    </row>
    <row r="456" ht="15">
      <c r="J456" s="153"/>
    </row>
    <row r="457" ht="15">
      <c r="J457" s="153"/>
    </row>
    <row r="458" ht="15">
      <c r="J458" s="153"/>
    </row>
    <row r="459" ht="15">
      <c r="J459" s="153"/>
    </row>
    <row r="460" ht="15">
      <c r="J460" s="153"/>
    </row>
    <row r="461" ht="15">
      <c r="J461" s="153"/>
    </row>
    <row r="462" ht="15">
      <c r="J462" s="153"/>
    </row>
    <row r="463" ht="15">
      <c r="J463" s="153"/>
    </row>
  </sheetData>
  <sheetProtection/>
  <mergeCells count="10">
    <mergeCell ref="J1:K1"/>
    <mergeCell ref="D2:K2"/>
    <mergeCell ref="D3:K3"/>
    <mergeCell ref="D4:K4"/>
    <mergeCell ref="A10:A11"/>
    <mergeCell ref="B10:B11"/>
    <mergeCell ref="K10:K11"/>
    <mergeCell ref="C10:J11"/>
    <mergeCell ref="A5:K5"/>
    <mergeCell ref="A6:K6"/>
  </mergeCells>
  <printOptions horizontalCentered="1"/>
  <pageMargins left="0.7874015748031497" right="0.3937007874015748" top="0.7874015748031497" bottom="0.5905511811023623"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O1088"/>
  <sheetViews>
    <sheetView zoomScalePageLayoutView="0" workbookViewId="0" topLeftCell="A1">
      <selection activeCell="A5" sqref="A5:G5"/>
    </sheetView>
  </sheetViews>
  <sheetFormatPr defaultColWidth="9.125" defaultRowHeight="12.75"/>
  <cols>
    <col min="1" max="1" width="35.125" style="12" customWidth="1"/>
    <col min="2" max="2" width="6.875" style="12" customWidth="1"/>
    <col min="3" max="3" width="8.875" style="12" customWidth="1"/>
    <col min="4" max="4" width="14.375" style="12" customWidth="1"/>
    <col min="5" max="5" width="10.125" style="12" customWidth="1"/>
    <col min="6" max="6" width="19.75390625" style="26" customWidth="1"/>
    <col min="7" max="7" width="21.00390625" style="26" customWidth="1"/>
    <col min="8" max="8" width="0" style="12" hidden="1" customWidth="1"/>
    <col min="9" max="9" width="22.75390625" style="12" hidden="1" customWidth="1"/>
    <col min="10" max="10" width="11.125" style="12" hidden="1" customWidth="1"/>
    <col min="11" max="11" width="31.75390625" style="12" hidden="1" customWidth="1"/>
    <col min="12" max="12" width="32.125" style="12" hidden="1" customWidth="1"/>
    <col min="13" max="13" width="17.625" style="12" hidden="1" customWidth="1"/>
    <col min="14" max="14" width="9.125" style="12" customWidth="1"/>
    <col min="15" max="15" width="15.125" style="12" bestFit="1" customWidth="1"/>
    <col min="16" max="16384" width="9.125" style="12" customWidth="1"/>
  </cols>
  <sheetData>
    <row r="1" spans="2:7" ht="15.75">
      <c r="B1" s="30"/>
      <c r="C1" s="30"/>
      <c r="D1" s="30"/>
      <c r="E1" s="30"/>
      <c r="F1" s="266" t="s">
        <v>912</v>
      </c>
      <c r="G1" s="266"/>
    </row>
    <row r="2" spans="2:7" ht="15.75">
      <c r="B2" s="30"/>
      <c r="C2" s="266" t="s">
        <v>570</v>
      </c>
      <c r="D2" s="266"/>
      <c r="E2" s="266"/>
      <c r="F2" s="266"/>
      <c r="G2" s="266"/>
    </row>
    <row r="3" spans="2:7" ht="15.75" customHeight="1">
      <c r="B3" s="30"/>
      <c r="C3" s="30"/>
      <c r="D3" s="285" t="s">
        <v>918</v>
      </c>
      <c r="E3" s="266"/>
      <c r="F3" s="266"/>
      <c r="G3" s="266"/>
    </row>
    <row r="4" spans="2:7" ht="15.75" customHeight="1">
      <c r="B4" s="30"/>
      <c r="C4" s="266" t="s">
        <v>1243</v>
      </c>
      <c r="D4" s="266"/>
      <c r="E4" s="266"/>
      <c r="F4" s="266"/>
      <c r="G4" s="266"/>
    </row>
    <row r="5" spans="1:7" ht="64.5" customHeight="1">
      <c r="A5" s="283" t="s">
        <v>521</v>
      </c>
      <c r="B5" s="284"/>
      <c r="C5" s="284"/>
      <c r="D5" s="284"/>
      <c r="E5" s="284"/>
      <c r="F5" s="284"/>
      <c r="G5" s="284"/>
    </row>
    <row r="6" spans="6:7" ht="15.75">
      <c r="F6" s="41"/>
      <c r="G6" s="41" t="s">
        <v>743</v>
      </c>
    </row>
    <row r="7" spans="1:7" ht="94.5">
      <c r="A7" s="15" t="s">
        <v>915</v>
      </c>
      <c r="B7" s="15" t="s">
        <v>745</v>
      </c>
      <c r="C7" s="15" t="s">
        <v>56</v>
      </c>
      <c r="D7" s="15" t="s">
        <v>58</v>
      </c>
      <c r="E7" s="15" t="s">
        <v>57</v>
      </c>
      <c r="F7" s="40" t="s">
        <v>916</v>
      </c>
      <c r="G7" s="15" t="s">
        <v>601</v>
      </c>
    </row>
    <row r="8" spans="1:7" ht="15.75">
      <c r="A8" s="15">
        <v>1</v>
      </c>
      <c r="B8" s="15">
        <v>2</v>
      </c>
      <c r="C8" s="15">
        <v>3</v>
      </c>
      <c r="D8" s="15">
        <v>4</v>
      </c>
      <c r="E8" s="15">
        <v>5</v>
      </c>
      <c r="F8" s="42">
        <v>6</v>
      </c>
      <c r="G8" s="42">
        <v>7</v>
      </c>
    </row>
    <row r="9" spans="1:12" s="43" customFormat="1" ht="28.5" customHeight="1">
      <c r="A9" s="1" t="s">
        <v>59</v>
      </c>
      <c r="B9" s="2" t="s">
        <v>917</v>
      </c>
      <c r="C9" s="2"/>
      <c r="D9" s="9"/>
      <c r="E9" s="9"/>
      <c r="F9" s="32">
        <f>F10+F16+F24+F95+F103+F107+F87+F91</f>
        <v>178522881.26000002</v>
      </c>
      <c r="G9" s="32">
        <f>G10+G16+G24+G95+G103+G107+G87</f>
        <v>1510500</v>
      </c>
      <c r="K9" s="75">
        <f>прил7!G10+прил7!G53+прил7!G283+прил7!G583+прил7!G636+прил7!G849+прил7!G1036</f>
        <v>178522881.26000002</v>
      </c>
      <c r="L9" s="75">
        <f>прил7!H10+прил7!H53+прил7!H283+прил7!H583+прил7!H636+прил7!H849+прил7!H1036</f>
        <v>1510500</v>
      </c>
    </row>
    <row r="10" spans="1:12" s="43" customFormat="1" ht="63" customHeight="1">
      <c r="A10" s="1" t="s">
        <v>814</v>
      </c>
      <c r="B10" s="2" t="s">
        <v>917</v>
      </c>
      <c r="C10" s="2" t="s">
        <v>45</v>
      </c>
      <c r="D10" s="2"/>
      <c r="E10" s="2"/>
      <c r="F10" s="76">
        <f>F11</f>
        <v>2268855.47</v>
      </c>
      <c r="G10" s="76"/>
      <c r="K10" s="75">
        <f>F9-K9</f>
        <v>0</v>
      </c>
      <c r="L10" s="75">
        <f>G9-L9</f>
        <v>0</v>
      </c>
    </row>
    <row r="11" spans="1:7" s="43" customFormat="1" ht="20.25">
      <c r="A11" s="27" t="s">
        <v>91</v>
      </c>
      <c r="B11" s="4" t="s">
        <v>917</v>
      </c>
      <c r="C11" s="4" t="s">
        <v>45</v>
      </c>
      <c r="D11" s="4" t="s">
        <v>734</v>
      </c>
      <c r="E11" s="4"/>
      <c r="F11" s="29">
        <f>F12+F14</f>
        <v>2268855.47</v>
      </c>
      <c r="G11" s="29"/>
    </row>
    <row r="12" spans="1:11" s="43" customFormat="1" ht="47.25">
      <c r="A12" s="3" t="s">
        <v>586</v>
      </c>
      <c r="B12" s="4" t="s">
        <v>917</v>
      </c>
      <c r="C12" s="4" t="s">
        <v>45</v>
      </c>
      <c r="D12" s="4" t="s">
        <v>735</v>
      </c>
      <c r="E12" s="4"/>
      <c r="F12" s="29">
        <f>F13</f>
        <v>2268855.47</v>
      </c>
      <c r="G12" s="29"/>
      <c r="K12" s="75">
        <f>прил7!G11</f>
        <v>2268855.47</v>
      </c>
    </row>
    <row r="13" spans="1:7" s="43" customFormat="1" ht="110.25">
      <c r="A13" s="3" t="s">
        <v>92</v>
      </c>
      <c r="B13" s="4" t="s">
        <v>917</v>
      </c>
      <c r="C13" s="4" t="s">
        <v>45</v>
      </c>
      <c r="D13" s="4" t="s">
        <v>735</v>
      </c>
      <c r="E13" s="4" t="s">
        <v>604</v>
      </c>
      <c r="F13" s="29">
        <f>прил7!G14</f>
        <v>2268855.47</v>
      </c>
      <c r="G13" s="29"/>
    </row>
    <row r="14" spans="1:7" s="43" customFormat="1" ht="108" hidden="1">
      <c r="A14" s="3" t="s">
        <v>587</v>
      </c>
      <c r="B14" s="4" t="s">
        <v>917</v>
      </c>
      <c r="C14" s="4" t="s">
        <v>45</v>
      </c>
      <c r="D14" s="4" t="s">
        <v>702</v>
      </c>
      <c r="E14" s="4"/>
      <c r="F14" s="29">
        <f>F15</f>
        <v>0</v>
      </c>
      <c r="G14" s="29"/>
    </row>
    <row r="15" spans="1:7" s="43" customFormat="1" ht="123.75" hidden="1">
      <c r="A15" s="3" t="s">
        <v>92</v>
      </c>
      <c r="B15" s="4" t="s">
        <v>917</v>
      </c>
      <c r="C15" s="4" t="s">
        <v>45</v>
      </c>
      <c r="D15" s="4" t="s">
        <v>702</v>
      </c>
      <c r="E15" s="4" t="s">
        <v>604</v>
      </c>
      <c r="F15" s="29">
        <f>прил7!G16</f>
        <v>0</v>
      </c>
      <c r="G15" s="29"/>
    </row>
    <row r="16" spans="1:11" s="43" customFormat="1" ht="94.5">
      <c r="A16" s="1" t="s">
        <v>610</v>
      </c>
      <c r="B16" s="2" t="s">
        <v>917</v>
      </c>
      <c r="C16" s="2" t="s">
        <v>47</v>
      </c>
      <c r="D16" s="2"/>
      <c r="E16" s="2"/>
      <c r="F16" s="33">
        <f>F17</f>
        <v>4644342.53</v>
      </c>
      <c r="G16" s="33"/>
      <c r="K16" s="75">
        <f>прил7!G17</f>
        <v>4644342.53</v>
      </c>
    </row>
    <row r="17" spans="1:7" s="43" customFormat="1" ht="20.25">
      <c r="A17" s="27" t="s">
        <v>91</v>
      </c>
      <c r="B17" s="4" t="s">
        <v>917</v>
      </c>
      <c r="C17" s="4" t="s">
        <v>47</v>
      </c>
      <c r="D17" s="4" t="s">
        <v>734</v>
      </c>
      <c r="E17" s="4"/>
      <c r="F17" s="29">
        <f>F18+F20+F22</f>
        <v>4644342.53</v>
      </c>
      <c r="G17" s="33"/>
    </row>
    <row r="18" spans="1:7" s="43" customFormat="1" ht="63">
      <c r="A18" s="3" t="s">
        <v>588</v>
      </c>
      <c r="B18" s="4" t="s">
        <v>917</v>
      </c>
      <c r="C18" s="4" t="s">
        <v>47</v>
      </c>
      <c r="D18" s="4" t="s">
        <v>703</v>
      </c>
      <c r="E18" s="4"/>
      <c r="F18" s="29">
        <f>F19</f>
        <v>1656638.54</v>
      </c>
      <c r="G18" s="33"/>
    </row>
    <row r="19" spans="1:7" s="43" customFormat="1" ht="110.25">
      <c r="A19" s="3" t="s">
        <v>92</v>
      </c>
      <c r="B19" s="4" t="s">
        <v>917</v>
      </c>
      <c r="C19" s="4" t="s">
        <v>47</v>
      </c>
      <c r="D19" s="4" t="s">
        <v>703</v>
      </c>
      <c r="E19" s="4" t="s">
        <v>604</v>
      </c>
      <c r="F19" s="29">
        <f>прил7!G20</f>
        <v>1656638.54</v>
      </c>
      <c r="G19" s="33"/>
    </row>
    <row r="20" spans="1:7" s="43" customFormat="1" ht="47.25">
      <c r="A20" s="3" t="s">
        <v>589</v>
      </c>
      <c r="B20" s="4" t="s">
        <v>917</v>
      </c>
      <c r="C20" s="4" t="s">
        <v>47</v>
      </c>
      <c r="D20" s="4" t="s">
        <v>704</v>
      </c>
      <c r="E20" s="4"/>
      <c r="F20" s="29">
        <f>F21</f>
        <v>2987578</v>
      </c>
      <c r="G20" s="33"/>
    </row>
    <row r="21" spans="1:7" s="43" customFormat="1" ht="110.25">
      <c r="A21" s="3" t="s">
        <v>92</v>
      </c>
      <c r="B21" s="4" t="s">
        <v>917</v>
      </c>
      <c r="C21" s="4" t="s">
        <v>47</v>
      </c>
      <c r="D21" s="4" t="s">
        <v>704</v>
      </c>
      <c r="E21" s="4" t="s">
        <v>604</v>
      </c>
      <c r="F21" s="29">
        <f>прил7!G22</f>
        <v>2987578</v>
      </c>
      <c r="G21" s="33"/>
    </row>
    <row r="22" spans="1:7" s="43" customFormat="1" ht="94.5">
      <c r="A22" s="3" t="s">
        <v>587</v>
      </c>
      <c r="B22" s="4" t="s">
        <v>917</v>
      </c>
      <c r="C22" s="4" t="s">
        <v>47</v>
      </c>
      <c r="D22" s="4" t="s">
        <v>702</v>
      </c>
      <c r="E22" s="4"/>
      <c r="F22" s="29">
        <f>F23</f>
        <v>125.98999999999069</v>
      </c>
      <c r="G22" s="33"/>
    </row>
    <row r="23" spans="1:7" s="43" customFormat="1" ht="110.25">
      <c r="A23" s="3" t="s">
        <v>506</v>
      </c>
      <c r="B23" s="4" t="s">
        <v>917</v>
      </c>
      <c r="C23" s="4" t="s">
        <v>47</v>
      </c>
      <c r="D23" s="4" t="s">
        <v>702</v>
      </c>
      <c r="E23" s="4" t="s">
        <v>604</v>
      </c>
      <c r="F23" s="29">
        <f>прил7!G24</f>
        <v>125.98999999999069</v>
      </c>
      <c r="G23" s="33"/>
    </row>
    <row r="24" spans="1:11" ht="110.25">
      <c r="A24" s="1" t="s">
        <v>599</v>
      </c>
      <c r="B24" s="2" t="s">
        <v>917</v>
      </c>
      <c r="C24" s="2" t="s">
        <v>50</v>
      </c>
      <c r="D24" s="2"/>
      <c r="E24" s="2"/>
      <c r="F24" s="33">
        <f>F25+F49+F59</f>
        <v>72405703.43</v>
      </c>
      <c r="G24" s="33"/>
      <c r="K24" s="26">
        <f>прил7!G54+прил7!G284+прил7!G584+прил7!G637+прил7!G850</f>
        <v>72405703.43</v>
      </c>
    </row>
    <row r="25" spans="1:11" ht="47.25">
      <c r="A25" s="3" t="s">
        <v>102</v>
      </c>
      <c r="B25" s="4" t="s">
        <v>917</v>
      </c>
      <c r="C25" s="4" t="s">
        <v>50</v>
      </c>
      <c r="D25" s="4" t="s">
        <v>552</v>
      </c>
      <c r="E25" s="2"/>
      <c r="F25" s="29">
        <f>F26</f>
        <v>15855210.429999998</v>
      </c>
      <c r="G25" s="33"/>
      <c r="K25" s="26"/>
    </row>
    <row r="26" spans="1:7" ht="63">
      <c r="A26" s="21" t="s">
        <v>533</v>
      </c>
      <c r="B26" s="4" t="s">
        <v>917</v>
      </c>
      <c r="C26" s="4" t="s">
        <v>50</v>
      </c>
      <c r="D26" s="4" t="s">
        <v>326</v>
      </c>
      <c r="E26" s="4"/>
      <c r="F26" s="29">
        <f>F27+F30+F35+F41</f>
        <v>15855210.429999998</v>
      </c>
      <c r="G26" s="33"/>
    </row>
    <row r="27" spans="1:7" ht="157.5">
      <c r="A27" s="219" t="s">
        <v>489</v>
      </c>
      <c r="B27" s="4" t="s">
        <v>917</v>
      </c>
      <c r="C27" s="4" t="s">
        <v>50</v>
      </c>
      <c r="D27" s="4" t="s">
        <v>327</v>
      </c>
      <c r="E27" s="4"/>
      <c r="F27" s="29">
        <f>F28</f>
        <v>797662.85</v>
      </c>
      <c r="G27" s="33"/>
    </row>
    <row r="28" spans="1:7" ht="47.25">
      <c r="A28" s="21" t="s">
        <v>589</v>
      </c>
      <c r="B28" s="4" t="s">
        <v>917</v>
      </c>
      <c r="C28" s="4" t="s">
        <v>50</v>
      </c>
      <c r="D28" s="4" t="s">
        <v>328</v>
      </c>
      <c r="E28" s="4"/>
      <c r="F28" s="29">
        <f>F29</f>
        <v>797662.85</v>
      </c>
      <c r="G28" s="33"/>
    </row>
    <row r="29" spans="1:7" ht="110.25">
      <c r="A29" s="21" t="s">
        <v>506</v>
      </c>
      <c r="B29" s="4" t="s">
        <v>917</v>
      </c>
      <c r="C29" s="4" t="s">
        <v>50</v>
      </c>
      <c r="D29" s="4" t="s">
        <v>328</v>
      </c>
      <c r="E29" s="4" t="s">
        <v>604</v>
      </c>
      <c r="F29" s="29">
        <f>прил7!G643</f>
        <v>797662.85</v>
      </c>
      <c r="G29" s="33"/>
    </row>
    <row r="30" spans="1:7" ht="126">
      <c r="A30" s="21" t="s">
        <v>329</v>
      </c>
      <c r="B30" s="4" t="s">
        <v>917</v>
      </c>
      <c r="C30" s="4" t="s">
        <v>50</v>
      </c>
      <c r="D30" s="4" t="s">
        <v>330</v>
      </c>
      <c r="E30" s="4"/>
      <c r="F30" s="29">
        <f>F31+F33</f>
        <v>1015551.47</v>
      </c>
      <c r="G30" s="33"/>
    </row>
    <row r="31" spans="1:7" ht="47.25">
      <c r="A31" s="21" t="s">
        <v>589</v>
      </c>
      <c r="B31" s="4" t="s">
        <v>917</v>
      </c>
      <c r="C31" s="4" t="s">
        <v>50</v>
      </c>
      <c r="D31" s="4" t="s">
        <v>331</v>
      </c>
      <c r="E31" s="4"/>
      <c r="F31" s="29">
        <f>F32</f>
        <v>955551.47</v>
      </c>
      <c r="G31" s="33"/>
    </row>
    <row r="32" spans="1:7" ht="110.25">
      <c r="A32" s="21" t="s">
        <v>506</v>
      </c>
      <c r="B32" s="4" t="s">
        <v>917</v>
      </c>
      <c r="C32" s="4" t="s">
        <v>50</v>
      </c>
      <c r="D32" s="4" t="s">
        <v>331</v>
      </c>
      <c r="E32" s="4" t="s">
        <v>604</v>
      </c>
      <c r="F32" s="29">
        <f>прил7!G646</f>
        <v>955551.47</v>
      </c>
      <c r="G32" s="33"/>
    </row>
    <row r="33" spans="1:7" ht="94.5">
      <c r="A33" s="21" t="s">
        <v>587</v>
      </c>
      <c r="B33" s="4" t="s">
        <v>917</v>
      </c>
      <c r="C33" s="4" t="s">
        <v>50</v>
      </c>
      <c r="D33" s="4" t="s">
        <v>332</v>
      </c>
      <c r="E33" s="4"/>
      <c r="F33" s="29">
        <f>F34</f>
        <v>60000</v>
      </c>
      <c r="G33" s="33"/>
    </row>
    <row r="34" spans="1:7" ht="110.25">
      <c r="A34" s="21" t="s">
        <v>506</v>
      </c>
      <c r="B34" s="4" t="s">
        <v>917</v>
      </c>
      <c r="C34" s="4" t="s">
        <v>50</v>
      </c>
      <c r="D34" s="4" t="s">
        <v>332</v>
      </c>
      <c r="E34" s="4" t="s">
        <v>604</v>
      </c>
      <c r="F34" s="29">
        <f>прил7!G648</f>
        <v>60000</v>
      </c>
      <c r="G34" s="33"/>
    </row>
    <row r="35" spans="1:7" ht="141.75">
      <c r="A35" s="21" t="s">
        <v>76</v>
      </c>
      <c r="B35" s="281" t="s">
        <v>917</v>
      </c>
      <c r="C35" s="281" t="s">
        <v>50</v>
      </c>
      <c r="D35" s="281" t="s">
        <v>333</v>
      </c>
      <c r="E35" s="281"/>
      <c r="F35" s="280">
        <f>F38+F40</f>
        <v>3989369.13</v>
      </c>
      <c r="G35" s="282"/>
    </row>
    <row r="36" spans="1:7" ht="31.5">
      <c r="A36" s="21" t="s">
        <v>75</v>
      </c>
      <c r="B36" s="281"/>
      <c r="C36" s="281"/>
      <c r="D36" s="281"/>
      <c r="E36" s="281"/>
      <c r="F36" s="280"/>
      <c r="G36" s="282"/>
    </row>
    <row r="37" spans="1:7" ht="47.25">
      <c r="A37" s="21" t="s">
        <v>589</v>
      </c>
      <c r="B37" s="4" t="s">
        <v>917</v>
      </c>
      <c r="C37" s="4" t="s">
        <v>50</v>
      </c>
      <c r="D37" s="4" t="s">
        <v>334</v>
      </c>
      <c r="E37" s="4"/>
      <c r="F37" s="29">
        <f>F38</f>
        <v>3901605.13</v>
      </c>
      <c r="G37" s="33"/>
    </row>
    <row r="38" spans="1:7" ht="110.25">
      <c r="A38" s="21" t="s">
        <v>506</v>
      </c>
      <c r="B38" s="4" t="s">
        <v>917</v>
      </c>
      <c r="C38" s="4" t="s">
        <v>50</v>
      </c>
      <c r="D38" s="4" t="s">
        <v>334</v>
      </c>
      <c r="E38" s="4" t="s">
        <v>604</v>
      </c>
      <c r="F38" s="29">
        <f>прил7!G652</f>
        <v>3901605.13</v>
      </c>
      <c r="G38" s="29"/>
    </row>
    <row r="39" spans="1:7" ht="94.5">
      <c r="A39" s="21" t="s">
        <v>587</v>
      </c>
      <c r="B39" s="4" t="s">
        <v>917</v>
      </c>
      <c r="C39" s="4" t="s">
        <v>50</v>
      </c>
      <c r="D39" s="4" t="s">
        <v>335</v>
      </c>
      <c r="E39" s="4"/>
      <c r="F39" s="29">
        <f>F40</f>
        <v>87764</v>
      </c>
      <c r="G39" s="33"/>
    </row>
    <row r="40" spans="1:7" ht="110.25">
      <c r="A40" s="21" t="s">
        <v>506</v>
      </c>
      <c r="B40" s="4" t="s">
        <v>917</v>
      </c>
      <c r="C40" s="4" t="s">
        <v>50</v>
      </c>
      <c r="D40" s="4" t="s">
        <v>335</v>
      </c>
      <c r="E40" s="4" t="s">
        <v>604</v>
      </c>
      <c r="F40" s="29">
        <f>прил7!G654</f>
        <v>87764</v>
      </c>
      <c r="G40" s="29"/>
    </row>
    <row r="41" spans="1:7" ht="141.75">
      <c r="A41" s="21" t="s">
        <v>1151</v>
      </c>
      <c r="B41" s="281" t="s">
        <v>917</v>
      </c>
      <c r="C41" s="281" t="s">
        <v>50</v>
      </c>
      <c r="D41" s="281" t="s">
        <v>336</v>
      </c>
      <c r="E41" s="281"/>
      <c r="F41" s="280">
        <f>F43+F47+F45</f>
        <v>10052626.979999999</v>
      </c>
      <c r="G41" s="282"/>
    </row>
    <row r="42" spans="1:7" ht="78.75">
      <c r="A42" s="21" t="s">
        <v>64</v>
      </c>
      <c r="B42" s="281"/>
      <c r="C42" s="281"/>
      <c r="D42" s="281"/>
      <c r="E42" s="281"/>
      <c r="F42" s="280"/>
      <c r="G42" s="282"/>
    </row>
    <row r="43" spans="1:7" ht="47.25">
      <c r="A43" s="21" t="s">
        <v>589</v>
      </c>
      <c r="B43" s="4" t="s">
        <v>917</v>
      </c>
      <c r="C43" s="4" t="s">
        <v>50</v>
      </c>
      <c r="D43" s="4" t="s">
        <v>337</v>
      </c>
      <c r="E43" s="4"/>
      <c r="F43" s="29">
        <f>F44</f>
        <v>9947626.979999999</v>
      </c>
      <c r="G43" s="33"/>
    </row>
    <row r="44" spans="1:7" ht="110.25">
      <c r="A44" s="21" t="s">
        <v>506</v>
      </c>
      <c r="B44" s="4" t="s">
        <v>917</v>
      </c>
      <c r="C44" s="4" t="s">
        <v>50</v>
      </c>
      <c r="D44" s="4" t="s">
        <v>337</v>
      </c>
      <c r="E44" s="4" t="s">
        <v>604</v>
      </c>
      <c r="F44" s="29">
        <f>прил7!G658</f>
        <v>9947626.979999999</v>
      </c>
      <c r="G44" s="33"/>
    </row>
    <row r="45" spans="1:7" ht="47.25">
      <c r="A45" s="21" t="s">
        <v>590</v>
      </c>
      <c r="B45" s="4" t="s">
        <v>917</v>
      </c>
      <c r="C45" s="4" t="s">
        <v>50</v>
      </c>
      <c r="D45" s="4" t="s">
        <v>338</v>
      </c>
      <c r="E45" s="4"/>
      <c r="F45" s="29">
        <f>F46</f>
        <v>1800</v>
      </c>
      <c r="G45" s="33"/>
    </row>
    <row r="46" spans="1:7" ht="110.25">
      <c r="A46" s="21" t="s">
        <v>506</v>
      </c>
      <c r="B46" s="4" t="s">
        <v>917</v>
      </c>
      <c r="C46" s="4" t="s">
        <v>50</v>
      </c>
      <c r="D46" s="4" t="s">
        <v>338</v>
      </c>
      <c r="E46" s="4" t="s">
        <v>604</v>
      </c>
      <c r="F46" s="29">
        <f>прил7!G660</f>
        <v>1800</v>
      </c>
      <c r="G46" s="33"/>
    </row>
    <row r="47" spans="1:7" ht="94.5">
      <c r="A47" s="21" t="s">
        <v>587</v>
      </c>
      <c r="B47" s="4" t="s">
        <v>917</v>
      </c>
      <c r="C47" s="4" t="s">
        <v>50</v>
      </c>
      <c r="D47" s="4" t="s">
        <v>339</v>
      </c>
      <c r="E47" s="4"/>
      <c r="F47" s="29">
        <f>F48</f>
        <v>103200</v>
      </c>
      <c r="G47" s="33"/>
    </row>
    <row r="48" spans="1:7" ht="110.25">
      <c r="A48" s="21" t="s">
        <v>506</v>
      </c>
      <c r="B48" s="4" t="s">
        <v>917</v>
      </c>
      <c r="C48" s="4" t="s">
        <v>50</v>
      </c>
      <c r="D48" s="4" t="s">
        <v>339</v>
      </c>
      <c r="E48" s="4" t="s">
        <v>604</v>
      </c>
      <c r="F48" s="29">
        <f>прил7!G662</f>
        <v>103200</v>
      </c>
      <c r="G48" s="33"/>
    </row>
    <row r="49" spans="1:7" ht="94.5">
      <c r="A49" s="59" t="s">
        <v>103</v>
      </c>
      <c r="B49" s="4" t="s">
        <v>917</v>
      </c>
      <c r="C49" s="4" t="s">
        <v>50</v>
      </c>
      <c r="D49" s="4" t="s">
        <v>1042</v>
      </c>
      <c r="E49" s="4"/>
      <c r="F49" s="29">
        <f>F50</f>
        <v>10388358</v>
      </c>
      <c r="G49" s="33"/>
    </row>
    <row r="50" spans="1:7" ht="47.25">
      <c r="A50" s="59" t="s">
        <v>125</v>
      </c>
      <c r="B50" s="4" t="s">
        <v>917</v>
      </c>
      <c r="C50" s="4" t="s">
        <v>50</v>
      </c>
      <c r="D50" s="4" t="s">
        <v>1041</v>
      </c>
      <c r="E50" s="4"/>
      <c r="F50" s="29">
        <f>F51+F56</f>
        <v>10388358</v>
      </c>
      <c r="G50" s="33"/>
    </row>
    <row r="51" spans="1:7" ht="63">
      <c r="A51" s="59" t="s">
        <v>1043</v>
      </c>
      <c r="B51" s="4" t="s">
        <v>917</v>
      </c>
      <c r="C51" s="4" t="s">
        <v>50</v>
      </c>
      <c r="D51" s="4" t="s">
        <v>1044</v>
      </c>
      <c r="E51" s="4"/>
      <c r="F51" s="29">
        <f>F52+F54</f>
        <v>7114686.7299999995</v>
      </c>
      <c r="G51" s="33"/>
    </row>
    <row r="52" spans="1:7" ht="47.25">
      <c r="A52" s="59" t="s">
        <v>589</v>
      </c>
      <c r="B52" s="4" t="s">
        <v>917</v>
      </c>
      <c r="C52" s="4" t="s">
        <v>50</v>
      </c>
      <c r="D52" s="4" t="s">
        <v>1045</v>
      </c>
      <c r="E52" s="4"/>
      <c r="F52" s="29">
        <f>F53</f>
        <v>6670695.7299999995</v>
      </c>
      <c r="G52" s="33"/>
    </row>
    <row r="53" spans="1:7" ht="110.25">
      <c r="A53" s="59" t="s">
        <v>507</v>
      </c>
      <c r="B53" s="4" t="s">
        <v>917</v>
      </c>
      <c r="C53" s="4" t="s">
        <v>50</v>
      </c>
      <c r="D53" s="4" t="s">
        <v>1045</v>
      </c>
      <c r="E53" s="4" t="s">
        <v>604</v>
      </c>
      <c r="F53" s="29">
        <f>прил7!G589</f>
        <v>6670695.7299999995</v>
      </c>
      <c r="G53" s="33"/>
    </row>
    <row r="54" spans="1:7" ht="94.5">
      <c r="A54" s="3" t="s">
        <v>587</v>
      </c>
      <c r="B54" s="4" t="s">
        <v>917</v>
      </c>
      <c r="C54" s="4" t="s">
        <v>50</v>
      </c>
      <c r="D54" s="4" t="s">
        <v>1046</v>
      </c>
      <c r="E54" s="4"/>
      <c r="F54" s="29">
        <f>F55</f>
        <v>443991</v>
      </c>
      <c r="G54" s="33"/>
    </row>
    <row r="55" spans="1:7" ht="110.25">
      <c r="A55" s="3" t="s">
        <v>506</v>
      </c>
      <c r="B55" s="4" t="s">
        <v>917</v>
      </c>
      <c r="C55" s="4" t="s">
        <v>50</v>
      </c>
      <c r="D55" s="4" t="s">
        <v>1046</v>
      </c>
      <c r="E55" s="4" t="s">
        <v>604</v>
      </c>
      <c r="F55" s="29">
        <f>прил7!G591</f>
        <v>443991</v>
      </c>
      <c r="G55" s="33"/>
    </row>
    <row r="56" spans="1:7" ht="47.25">
      <c r="A56" s="3" t="s">
        <v>1047</v>
      </c>
      <c r="B56" s="4" t="s">
        <v>917</v>
      </c>
      <c r="C56" s="4" t="s">
        <v>50</v>
      </c>
      <c r="D56" s="4" t="s">
        <v>1048</v>
      </c>
      <c r="E56" s="4"/>
      <c r="F56" s="29">
        <f>F57</f>
        <v>3273671.27</v>
      </c>
      <c r="G56" s="33"/>
    </row>
    <row r="57" spans="1:7" ht="47.25">
      <c r="A57" s="59" t="s">
        <v>589</v>
      </c>
      <c r="B57" s="4" t="s">
        <v>917</v>
      </c>
      <c r="C57" s="4" t="s">
        <v>50</v>
      </c>
      <c r="D57" s="4" t="s">
        <v>1049</v>
      </c>
      <c r="E57" s="4"/>
      <c r="F57" s="29">
        <f>F58</f>
        <v>3273671.27</v>
      </c>
      <c r="G57" s="33"/>
    </row>
    <row r="58" spans="1:7" ht="110.25">
      <c r="A58" s="59" t="s">
        <v>507</v>
      </c>
      <c r="B58" s="4" t="s">
        <v>917</v>
      </c>
      <c r="C58" s="4" t="s">
        <v>50</v>
      </c>
      <c r="D58" s="4" t="s">
        <v>1049</v>
      </c>
      <c r="E58" s="4" t="s">
        <v>604</v>
      </c>
      <c r="F58" s="29">
        <f>прил7!G594</f>
        <v>3273671.27</v>
      </c>
      <c r="G58" s="33"/>
    </row>
    <row r="59" spans="1:7" s="16" customFormat="1" ht="63">
      <c r="A59" s="27" t="s">
        <v>104</v>
      </c>
      <c r="B59" s="4" t="s">
        <v>917</v>
      </c>
      <c r="C59" s="4" t="s">
        <v>50</v>
      </c>
      <c r="D59" s="4" t="s">
        <v>705</v>
      </c>
      <c r="E59" s="4"/>
      <c r="F59" s="29">
        <f>F60+F73+F81</f>
        <v>46162135</v>
      </c>
      <c r="G59" s="33"/>
    </row>
    <row r="60" spans="1:7" s="16" customFormat="1" ht="47.25">
      <c r="A60" s="27" t="s">
        <v>96</v>
      </c>
      <c r="B60" s="4" t="s">
        <v>917</v>
      </c>
      <c r="C60" s="4" t="s">
        <v>50</v>
      </c>
      <c r="D60" s="4" t="s">
        <v>717</v>
      </c>
      <c r="E60" s="4"/>
      <c r="F60" s="29">
        <f>F61</f>
        <v>28091263</v>
      </c>
      <c r="G60" s="29"/>
    </row>
    <row r="61" spans="1:7" s="16" customFormat="1" ht="94.5">
      <c r="A61" s="27" t="s">
        <v>718</v>
      </c>
      <c r="B61" s="4" t="s">
        <v>917</v>
      </c>
      <c r="C61" s="4" t="s">
        <v>50</v>
      </c>
      <c r="D61" s="4" t="s">
        <v>719</v>
      </c>
      <c r="E61" s="4"/>
      <c r="F61" s="29">
        <f>F62+F64+F67+F71+F69</f>
        <v>28091263</v>
      </c>
      <c r="G61" s="29"/>
    </row>
    <row r="62" spans="1:7" ht="47.25">
      <c r="A62" s="27" t="s">
        <v>591</v>
      </c>
      <c r="B62" s="4" t="s">
        <v>917</v>
      </c>
      <c r="C62" s="4" t="s">
        <v>50</v>
      </c>
      <c r="D62" s="4" t="s">
        <v>720</v>
      </c>
      <c r="E62" s="4"/>
      <c r="F62" s="29">
        <f>F63</f>
        <v>1940779</v>
      </c>
      <c r="G62" s="29"/>
    </row>
    <row r="63" spans="1:7" ht="110.25">
      <c r="A63" s="27" t="s">
        <v>506</v>
      </c>
      <c r="B63" s="4" t="s">
        <v>917</v>
      </c>
      <c r="C63" s="4" t="s">
        <v>50</v>
      </c>
      <c r="D63" s="4" t="s">
        <v>720</v>
      </c>
      <c r="E63" s="4" t="s">
        <v>604</v>
      </c>
      <c r="F63" s="29">
        <f>прил7!G59</f>
        <v>1940779</v>
      </c>
      <c r="G63" s="29"/>
    </row>
    <row r="64" spans="1:7" ht="47.25">
      <c r="A64" s="27" t="s">
        <v>589</v>
      </c>
      <c r="B64" s="4" t="s">
        <v>917</v>
      </c>
      <c r="C64" s="4" t="s">
        <v>50</v>
      </c>
      <c r="D64" s="4" t="s">
        <v>721</v>
      </c>
      <c r="E64" s="4"/>
      <c r="F64" s="29">
        <f>F65+F66</f>
        <v>25304641.02</v>
      </c>
      <c r="G64" s="29"/>
    </row>
    <row r="65" spans="1:7" ht="110.25">
      <c r="A65" s="27" t="s">
        <v>506</v>
      </c>
      <c r="B65" s="4" t="s">
        <v>917</v>
      </c>
      <c r="C65" s="4" t="s">
        <v>50</v>
      </c>
      <c r="D65" s="4" t="s">
        <v>721</v>
      </c>
      <c r="E65" s="4" t="s">
        <v>604</v>
      </c>
      <c r="F65" s="29">
        <f>прил7!G61</f>
        <v>25083242.57</v>
      </c>
      <c r="G65" s="29"/>
    </row>
    <row r="66" spans="1:7" ht="31.5">
      <c r="A66" s="193" t="s">
        <v>565</v>
      </c>
      <c r="B66" s="4" t="s">
        <v>917</v>
      </c>
      <c r="C66" s="4" t="s">
        <v>50</v>
      </c>
      <c r="D66" s="4" t="s">
        <v>721</v>
      </c>
      <c r="E66" s="4" t="s">
        <v>566</v>
      </c>
      <c r="F66" s="29">
        <f>прил7!G62</f>
        <v>221398.45</v>
      </c>
      <c r="G66" s="29"/>
    </row>
    <row r="67" spans="1:7" ht="47.25">
      <c r="A67" s="27" t="s">
        <v>590</v>
      </c>
      <c r="B67" s="4" t="s">
        <v>917</v>
      </c>
      <c r="C67" s="4" t="s">
        <v>50</v>
      </c>
      <c r="D67" s="4" t="s">
        <v>722</v>
      </c>
      <c r="E67" s="4"/>
      <c r="F67" s="29">
        <f>F68</f>
        <v>3360</v>
      </c>
      <c r="G67" s="29"/>
    </row>
    <row r="68" spans="1:7" ht="110.25">
      <c r="A68" s="27" t="s">
        <v>506</v>
      </c>
      <c r="B68" s="4" t="s">
        <v>917</v>
      </c>
      <c r="C68" s="4" t="s">
        <v>50</v>
      </c>
      <c r="D68" s="4" t="s">
        <v>722</v>
      </c>
      <c r="E68" s="4" t="s">
        <v>604</v>
      </c>
      <c r="F68" s="29">
        <f>прил7!G64</f>
        <v>3360</v>
      </c>
      <c r="G68" s="29"/>
    </row>
    <row r="69" spans="1:7" ht="78.75">
      <c r="A69" s="27" t="s">
        <v>1178</v>
      </c>
      <c r="B69" s="4" t="s">
        <v>917</v>
      </c>
      <c r="C69" s="4" t="s">
        <v>50</v>
      </c>
      <c r="D69" s="4" t="s">
        <v>1179</v>
      </c>
      <c r="E69" s="4"/>
      <c r="F69" s="29">
        <f>F70</f>
        <v>444834.98</v>
      </c>
      <c r="G69" s="29"/>
    </row>
    <row r="70" spans="1:7" ht="110.25">
      <c r="A70" s="27" t="s">
        <v>506</v>
      </c>
      <c r="B70" s="4" t="s">
        <v>917</v>
      </c>
      <c r="C70" s="4" t="s">
        <v>50</v>
      </c>
      <c r="D70" s="4" t="s">
        <v>1179</v>
      </c>
      <c r="E70" s="4" t="s">
        <v>604</v>
      </c>
      <c r="F70" s="29">
        <f>прил7!G66</f>
        <v>444834.98</v>
      </c>
      <c r="G70" s="29"/>
    </row>
    <row r="71" spans="1:7" ht="94.5">
      <c r="A71" s="27" t="s">
        <v>587</v>
      </c>
      <c r="B71" s="4" t="s">
        <v>917</v>
      </c>
      <c r="C71" s="4" t="s">
        <v>50</v>
      </c>
      <c r="D71" s="4" t="s">
        <v>723</v>
      </c>
      <c r="E71" s="4"/>
      <c r="F71" s="29">
        <f>F72</f>
        <v>397648</v>
      </c>
      <c r="G71" s="29"/>
    </row>
    <row r="72" spans="1:7" ht="110.25">
      <c r="A72" s="27" t="s">
        <v>506</v>
      </c>
      <c r="B72" s="4" t="s">
        <v>917</v>
      </c>
      <c r="C72" s="4" t="s">
        <v>50</v>
      </c>
      <c r="D72" s="4" t="s">
        <v>723</v>
      </c>
      <c r="E72" s="4" t="s">
        <v>604</v>
      </c>
      <c r="F72" s="29">
        <f>прил7!G68</f>
        <v>397648</v>
      </c>
      <c r="G72" s="29"/>
    </row>
    <row r="73" spans="1:7" ht="78.75">
      <c r="A73" s="27" t="s">
        <v>121</v>
      </c>
      <c r="B73" s="4" t="s">
        <v>917</v>
      </c>
      <c r="C73" s="4" t="s">
        <v>50</v>
      </c>
      <c r="D73" s="4" t="s">
        <v>621</v>
      </c>
      <c r="E73" s="4"/>
      <c r="F73" s="29">
        <f>F74</f>
        <v>11049312</v>
      </c>
      <c r="G73" s="29"/>
    </row>
    <row r="74" spans="1:7" ht="47.25">
      <c r="A74" s="27" t="s">
        <v>622</v>
      </c>
      <c r="B74" s="4" t="s">
        <v>917</v>
      </c>
      <c r="C74" s="4" t="s">
        <v>50</v>
      </c>
      <c r="D74" s="4" t="s">
        <v>623</v>
      </c>
      <c r="E74" s="4"/>
      <c r="F74" s="29">
        <f>F75+F77+F79</f>
        <v>11049312</v>
      </c>
      <c r="G74" s="29"/>
    </row>
    <row r="75" spans="1:7" ht="47.25">
      <c r="A75" s="27" t="s">
        <v>589</v>
      </c>
      <c r="B75" s="4" t="s">
        <v>917</v>
      </c>
      <c r="C75" s="4" t="s">
        <v>50</v>
      </c>
      <c r="D75" s="4" t="s">
        <v>624</v>
      </c>
      <c r="E75" s="4"/>
      <c r="F75" s="29">
        <f>F76</f>
        <v>10799597</v>
      </c>
      <c r="G75" s="29"/>
    </row>
    <row r="76" spans="1:7" ht="110.25">
      <c r="A76" s="27" t="s">
        <v>506</v>
      </c>
      <c r="B76" s="4" t="s">
        <v>917</v>
      </c>
      <c r="C76" s="4" t="s">
        <v>50</v>
      </c>
      <c r="D76" s="4" t="s">
        <v>624</v>
      </c>
      <c r="E76" s="4" t="s">
        <v>604</v>
      </c>
      <c r="F76" s="29">
        <f>прил7!G289</f>
        <v>10799597</v>
      </c>
      <c r="G76" s="29"/>
    </row>
    <row r="77" spans="1:7" ht="47.25">
      <c r="A77" s="27" t="s">
        <v>590</v>
      </c>
      <c r="B77" s="4" t="s">
        <v>917</v>
      </c>
      <c r="C77" s="4" t="s">
        <v>50</v>
      </c>
      <c r="D77" s="4" t="s">
        <v>625</v>
      </c>
      <c r="E77" s="4"/>
      <c r="F77" s="29">
        <f>F78</f>
        <v>750</v>
      </c>
      <c r="G77" s="29"/>
    </row>
    <row r="78" spans="1:7" ht="110.25">
      <c r="A78" s="27" t="s">
        <v>506</v>
      </c>
      <c r="B78" s="4" t="s">
        <v>917</v>
      </c>
      <c r="C78" s="4" t="s">
        <v>50</v>
      </c>
      <c r="D78" s="4" t="s">
        <v>625</v>
      </c>
      <c r="E78" s="4" t="s">
        <v>604</v>
      </c>
      <c r="F78" s="29">
        <f>прил7!G291</f>
        <v>750</v>
      </c>
      <c r="G78" s="29"/>
    </row>
    <row r="79" spans="1:7" ht="94.5">
      <c r="A79" s="27" t="s">
        <v>587</v>
      </c>
      <c r="B79" s="4" t="s">
        <v>917</v>
      </c>
      <c r="C79" s="4" t="s">
        <v>50</v>
      </c>
      <c r="D79" s="4" t="s">
        <v>626</v>
      </c>
      <c r="E79" s="4"/>
      <c r="F79" s="29">
        <f>F80</f>
        <v>248965</v>
      </c>
      <c r="G79" s="29"/>
    </row>
    <row r="80" spans="1:7" ht="110.25">
      <c r="A80" s="27" t="s">
        <v>506</v>
      </c>
      <c r="B80" s="4" t="s">
        <v>917</v>
      </c>
      <c r="C80" s="4" t="s">
        <v>50</v>
      </c>
      <c r="D80" s="4" t="s">
        <v>626</v>
      </c>
      <c r="E80" s="4" t="s">
        <v>604</v>
      </c>
      <c r="F80" s="29">
        <f>прил7!G293</f>
        <v>248965</v>
      </c>
      <c r="G80" s="29"/>
    </row>
    <row r="81" spans="1:7" ht="78.75">
      <c r="A81" s="21" t="s">
        <v>139</v>
      </c>
      <c r="B81" s="4" t="s">
        <v>917</v>
      </c>
      <c r="C81" s="4" t="s">
        <v>50</v>
      </c>
      <c r="D81" s="4" t="s">
        <v>677</v>
      </c>
      <c r="E81" s="4"/>
      <c r="F81" s="29">
        <f>F82</f>
        <v>7021560</v>
      </c>
      <c r="G81" s="29"/>
    </row>
    <row r="82" spans="1:7" ht="78.75">
      <c r="A82" s="21" t="s">
        <v>678</v>
      </c>
      <c r="B82" s="4" t="s">
        <v>917</v>
      </c>
      <c r="C82" s="4" t="s">
        <v>50</v>
      </c>
      <c r="D82" s="4" t="s">
        <v>679</v>
      </c>
      <c r="E82" s="4"/>
      <c r="F82" s="29">
        <f>F83+F85</f>
        <v>7021560</v>
      </c>
      <c r="G82" s="29"/>
    </row>
    <row r="83" spans="1:7" ht="47.25">
      <c r="A83" s="21" t="s">
        <v>589</v>
      </c>
      <c r="B83" s="4" t="s">
        <v>917</v>
      </c>
      <c r="C83" s="4" t="s">
        <v>50</v>
      </c>
      <c r="D83" s="4" t="s">
        <v>680</v>
      </c>
      <c r="E83" s="4"/>
      <c r="F83" s="29">
        <f>F84</f>
        <v>6916196.46</v>
      </c>
      <c r="G83" s="29"/>
    </row>
    <row r="84" spans="1:7" ht="110.25">
      <c r="A84" s="21" t="s">
        <v>506</v>
      </c>
      <c r="B84" s="4" t="s">
        <v>917</v>
      </c>
      <c r="C84" s="4" t="s">
        <v>50</v>
      </c>
      <c r="D84" s="4" t="s">
        <v>680</v>
      </c>
      <c r="E84" s="4" t="s">
        <v>604</v>
      </c>
      <c r="F84" s="29">
        <f>прил7!G855</f>
        <v>6916196.46</v>
      </c>
      <c r="G84" s="29"/>
    </row>
    <row r="85" spans="1:7" ht="94.5">
      <c r="A85" s="21" t="s">
        <v>587</v>
      </c>
      <c r="B85" s="4" t="s">
        <v>917</v>
      </c>
      <c r="C85" s="4" t="s">
        <v>50</v>
      </c>
      <c r="D85" s="4" t="s">
        <v>681</v>
      </c>
      <c r="E85" s="4"/>
      <c r="F85" s="29">
        <f>F86</f>
        <v>105363.54</v>
      </c>
      <c r="G85" s="29"/>
    </row>
    <row r="86" spans="1:7" ht="110.25">
      <c r="A86" s="21" t="s">
        <v>506</v>
      </c>
      <c r="B86" s="4" t="s">
        <v>917</v>
      </c>
      <c r="C86" s="4" t="s">
        <v>50</v>
      </c>
      <c r="D86" s="4" t="s">
        <v>681</v>
      </c>
      <c r="E86" s="4" t="s">
        <v>604</v>
      </c>
      <c r="F86" s="29">
        <f>прил7!G857</f>
        <v>105363.54</v>
      </c>
      <c r="G86" s="29"/>
    </row>
    <row r="87" spans="1:7" ht="15.75">
      <c r="A87" s="39" t="s">
        <v>766</v>
      </c>
      <c r="B87" s="5" t="s">
        <v>917</v>
      </c>
      <c r="C87" s="5" t="s">
        <v>42</v>
      </c>
      <c r="D87" s="5"/>
      <c r="E87" s="5"/>
      <c r="F87" s="28">
        <f>F88</f>
        <v>38000</v>
      </c>
      <c r="G87" s="28">
        <f>F87</f>
        <v>38000</v>
      </c>
    </row>
    <row r="88" spans="1:7" ht="24" customHeight="1">
      <c r="A88" s="3" t="s">
        <v>91</v>
      </c>
      <c r="B88" s="4" t="s">
        <v>917</v>
      </c>
      <c r="C88" s="4" t="s">
        <v>42</v>
      </c>
      <c r="D88" s="4" t="s">
        <v>734</v>
      </c>
      <c r="E88" s="4"/>
      <c r="F88" s="29">
        <f>F89</f>
        <v>38000</v>
      </c>
      <c r="G88" s="29">
        <f>F88</f>
        <v>38000</v>
      </c>
    </row>
    <row r="89" spans="1:7" ht="94.5">
      <c r="A89" s="3" t="s">
        <v>101</v>
      </c>
      <c r="B89" s="4" t="s">
        <v>917</v>
      </c>
      <c r="C89" s="4" t="s">
        <v>42</v>
      </c>
      <c r="D89" s="4" t="s">
        <v>203</v>
      </c>
      <c r="E89" s="4"/>
      <c r="F89" s="29">
        <f>F90</f>
        <v>38000</v>
      </c>
      <c r="G89" s="29">
        <f>F89</f>
        <v>38000</v>
      </c>
    </row>
    <row r="90" spans="1:7" ht="47.25">
      <c r="A90" s="6" t="s">
        <v>701</v>
      </c>
      <c r="B90" s="7" t="s">
        <v>917</v>
      </c>
      <c r="C90" s="7" t="s">
        <v>42</v>
      </c>
      <c r="D90" s="7" t="s">
        <v>203</v>
      </c>
      <c r="E90" s="7" t="s">
        <v>605</v>
      </c>
      <c r="F90" s="31">
        <f>прил7!G72</f>
        <v>38000</v>
      </c>
      <c r="G90" s="31">
        <f>F90</f>
        <v>38000</v>
      </c>
    </row>
    <row r="91" spans="1:7" ht="31.5">
      <c r="A91" s="13" t="s">
        <v>1068</v>
      </c>
      <c r="B91" s="5" t="s">
        <v>917</v>
      </c>
      <c r="C91" s="5" t="s">
        <v>43</v>
      </c>
      <c r="D91" s="5"/>
      <c r="E91" s="5"/>
      <c r="F91" s="33">
        <f>F92</f>
        <v>562092</v>
      </c>
      <c r="G91" s="33"/>
    </row>
    <row r="92" spans="1:7" ht="15.75">
      <c r="A92" s="3" t="s">
        <v>91</v>
      </c>
      <c r="B92" s="4" t="s">
        <v>917</v>
      </c>
      <c r="C92" s="4" t="s">
        <v>43</v>
      </c>
      <c r="D92" s="4" t="s">
        <v>734</v>
      </c>
      <c r="E92" s="4"/>
      <c r="F92" s="29">
        <f>F93</f>
        <v>562092</v>
      </c>
      <c r="G92" s="29"/>
    </row>
    <row r="93" spans="1:7" ht="47.25">
      <c r="A93" s="3" t="s">
        <v>1069</v>
      </c>
      <c r="B93" s="4" t="s">
        <v>917</v>
      </c>
      <c r="C93" s="4" t="s">
        <v>43</v>
      </c>
      <c r="D93" s="4" t="s">
        <v>1070</v>
      </c>
      <c r="E93" s="4"/>
      <c r="F93" s="29">
        <f>F94</f>
        <v>562092</v>
      </c>
      <c r="G93" s="29"/>
    </row>
    <row r="94" spans="1:7" ht="47.25">
      <c r="A94" s="6" t="s">
        <v>701</v>
      </c>
      <c r="B94" s="7" t="s">
        <v>917</v>
      </c>
      <c r="C94" s="7" t="s">
        <v>43</v>
      </c>
      <c r="D94" s="7" t="s">
        <v>1070</v>
      </c>
      <c r="E94" s="7" t="s">
        <v>605</v>
      </c>
      <c r="F94" s="31">
        <f>прил7!G76</f>
        <v>562092</v>
      </c>
      <c r="G94" s="31"/>
    </row>
    <row r="95" spans="1:11" ht="78.75">
      <c r="A95" s="1" t="s">
        <v>119</v>
      </c>
      <c r="B95" s="2" t="s">
        <v>917</v>
      </c>
      <c r="C95" s="2" t="s">
        <v>41</v>
      </c>
      <c r="D95" s="2"/>
      <c r="E95" s="2"/>
      <c r="F95" s="33">
        <f>F96</f>
        <v>3256152</v>
      </c>
      <c r="G95" s="29"/>
      <c r="K95" s="26">
        <f>прил7!G1037</f>
        <v>3256152</v>
      </c>
    </row>
    <row r="96" spans="1:7" ht="15.75">
      <c r="A96" s="27" t="s">
        <v>91</v>
      </c>
      <c r="B96" s="4" t="s">
        <v>917</v>
      </c>
      <c r="C96" s="4" t="s">
        <v>41</v>
      </c>
      <c r="D96" s="4" t="s">
        <v>734</v>
      </c>
      <c r="E96" s="4"/>
      <c r="F96" s="29">
        <f>F97+F99+F101</f>
        <v>3256152</v>
      </c>
      <c r="G96" s="29"/>
    </row>
    <row r="97" spans="1:7" ht="78.75">
      <c r="A97" s="27" t="s">
        <v>592</v>
      </c>
      <c r="B97" s="4" t="s">
        <v>917</v>
      </c>
      <c r="C97" s="4" t="s">
        <v>41</v>
      </c>
      <c r="D97" s="4" t="s">
        <v>748</v>
      </c>
      <c r="E97" s="4"/>
      <c r="F97" s="29">
        <f>F98</f>
        <v>1270273.59</v>
      </c>
      <c r="G97" s="29"/>
    </row>
    <row r="98" spans="1:7" ht="110.25">
      <c r="A98" s="27" t="s">
        <v>506</v>
      </c>
      <c r="B98" s="4" t="s">
        <v>917</v>
      </c>
      <c r="C98" s="4" t="s">
        <v>41</v>
      </c>
      <c r="D98" s="4" t="s">
        <v>748</v>
      </c>
      <c r="E98" s="4" t="s">
        <v>604</v>
      </c>
      <c r="F98" s="29">
        <f>прил7!G1040</f>
        <v>1270273.59</v>
      </c>
      <c r="G98" s="29"/>
    </row>
    <row r="99" spans="1:7" ht="47.25">
      <c r="A99" s="27" t="s">
        <v>589</v>
      </c>
      <c r="B99" s="4" t="s">
        <v>917</v>
      </c>
      <c r="C99" s="4" t="s">
        <v>41</v>
      </c>
      <c r="D99" s="4" t="s">
        <v>704</v>
      </c>
      <c r="E99" s="4"/>
      <c r="F99" s="29">
        <f>F100</f>
        <v>1934684.66</v>
      </c>
      <c r="G99" s="29"/>
    </row>
    <row r="100" spans="1:7" ht="110.25">
      <c r="A100" s="27" t="s">
        <v>506</v>
      </c>
      <c r="B100" s="4" t="s">
        <v>917</v>
      </c>
      <c r="C100" s="4" t="s">
        <v>41</v>
      </c>
      <c r="D100" s="4" t="s">
        <v>704</v>
      </c>
      <c r="E100" s="4" t="s">
        <v>604</v>
      </c>
      <c r="F100" s="29">
        <f>прил7!G1042</f>
        <v>1934684.66</v>
      </c>
      <c r="G100" s="29"/>
    </row>
    <row r="101" spans="1:7" ht="94.5">
      <c r="A101" s="3" t="s">
        <v>587</v>
      </c>
      <c r="B101" s="4" t="s">
        <v>917</v>
      </c>
      <c r="C101" s="4" t="s">
        <v>41</v>
      </c>
      <c r="D101" s="4" t="s">
        <v>702</v>
      </c>
      <c r="E101" s="4"/>
      <c r="F101" s="29">
        <f>F102</f>
        <v>51193.75</v>
      </c>
      <c r="G101" s="29"/>
    </row>
    <row r="102" spans="1:7" ht="110.25">
      <c r="A102" s="3" t="s">
        <v>506</v>
      </c>
      <c r="B102" s="4" t="s">
        <v>917</v>
      </c>
      <c r="C102" s="4" t="s">
        <v>41</v>
      </c>
      <c r="D102" s="4" t="s">
        <v>702</v>
      </c>
      <c r="E102" s="4" t="s">
        <v>604</v>
      </c>
      <c r="F102" s="29">
        <f>прил7!G1044</f>
        <v>51193.75</v>
      </c>
      <c r="G102" s="29"/>
    </row>
    <row r="103" spans="1:7" ht="22.5" customHeight="1">
      <c r="A103" s="13" t="s">
        <v>740</v>
      </c>
      <c r="B103" s="5" t="s">
        <v>917</v>
      </c>
      <c r="C103" s="5" t="s">
        <v>144</v>
      </c>
      <c r="D103" s="5"/>
      <c r="E103" s="5"/>
      <c r="F103" s="28">
        <f>F104</f>
        <v>500000</v>
      </c>
      <c r="G103" s="28"/>
    </row>
    <row r="104" spans="1:7" ht="22.5" customHeight="1">
      <c r="A104" s="3" t="s">
        <v>91</v>
      </c>
      <c r="B104" s="4" t="s">
        <v>917</v>
      </c>
      <c r="C104" s="4" t="s">
        <v>144</v>
      </c>
      <c r="D104" s="4" t="s">
        <v>734</v>
      </c>
      <c r="E104" s="4"/>
      <c r="F104" s="29">
        <f>F105</f>
        <v>500000</v>
      </c>
      <c r="G104" s="29"/>
    </row>
    <row r="105" spans="1:7" ht="31.5" customHeight="1">
      <c r="A105" s="3" t="s">
        <v>98</v>
      </c>
      <c r="B105" s="4" t="s">
        <v>917</v>
      </c>
      <c r="C105" s="4" t="s">
        <v>144</v>
      </c>
      <c r="D105" s="4" t="s">
        <v>1050</v>
      </c>
      <c r="E105" s="4"/>
      <c r="F105" s="29">
        <f>F106</f>
        <v>500000</v>
      </c>
      <c r="G105" s="29"/>
    </row>
    <row r="106" spans="1:7" ht="24.75" customHeight="1">
      <c r="A106" s="3" t="s">
        <v>1040</v>
      </c>
      <c r="B106" s="4" t="s">
        <v>917</v>
      </c>
      <c r="C106" s="4" t="s">
        <v>144</v>
      </c>
      <c r="D106" s="4" t="s">
        <v>1050</v>
      </c>
      <c r="E106" s="4" t="s">
        <v>608</v>
      </c>
      <c r="F106" s="29">
        <f>прил7!G598</f>
        <v>500000</v>
      </c>
      <c r="G106" s="29"/>
    </row>
    <row r="107" spans="1:11" ht="31.5">
      <c r="A107" s="13" t="s">
        <v>741</v>
      </c>
      <c r="B107" s="5" t="s">
        <v>917</v>
      </c>
      <c r="C107" s="5" t="s">
        <v>602</v>
      </c>
      <c r="D107" s="23"/>
      <c r="E107" s="23"/>
      <c r="F107" s="28">
        <f>F108+F119+F139+F151+F156+F241+F134</f>
        <v>94847735.83000001</v>
      </c>
      <c r="G107" s="28">
        <f>G108+G119+G139+G151+G156+G241</f>
        <v>1472500</v>
      </c>
      <c r="K107" s="26">
        <f>прил7!G25+прил7!G77+прил7!G294+прил7!G599+прил7!G663+прил7!G858+прил7!G1045</f>
        <v>94847735.83000001</v>
      </c>
    </row>
    <row r="108" spans="1:11" ht="78.75">
      <c r="A108" s="3" t="s">
        <v>105</v>
      </c>
      <c r="B108" s="4" t="s">
        <v>917</v>
      </c>
      <c r="C108" s="4" t="s">
        <v>602</v>
      </c>
      <c r="D108" s="4" t="s">
        <v>724</v>
      </c>
      <c r="E108" s="4"/>
      <c r="F108" s="29">
        <f>F109+F113+F116</f>
        <v>1867274.0899999999</v>
      </c>
      <c r="G108" s="29"/>
      <c r="K108" s="26">
        <f>K107-F107</f>
        <v>0</v>
      </c>
    </row>
    <row r="109" spans="1:11" ht="47.25">
      <c r="A109" s="3" t="s">
        <v>204</v>
      </c>
      <c r="B109" s="4" t="s">
        <v>917</v>
      </c>
      <c r="C109" s="4" t="s">
        <v>602</v>
      </c>
      <c r="D109" s="4" t="s">
        <v>205</v>
      </c>
      <c r="E109" s="4"/>
      <c r="F109" s="29">
        <f>F110</f>
        <v>1163000</v>
      </c>
      <c r="G109" s="29"/>
      <c r="K109" s="26">
        <f>K108+K10</f>
        <v>0</v>
      </c>
    </row>
    <row r="110" spans="1:7" ht="31.5">
      <c r="A110" s="3" t="s">
        <v>523</v>
      </c>
      <c r="B110" s="4" t="s">
        <v>917</v>
      </c>
      <c r="C110" s="4" t="s">
        <v>602</v>
      </c>
      <c r="D110" s="4" t="s">
        <v>206</v>
      </c>
      <c r="E110" s="4"/>
      <c r="F110" s="29">
        <f>F111+F112</f>
        <v>1163000</v>
      </c>
      <c r="G110" s="29"/>
    </row>
    <row r="111" spans="1:7" ht="47.25">
      <c r="A111" s="3" t="s">
        <v>701</v>
      </c>
      <c r="B111" s="4" t="s">
        <v>917</v>
      </c>
      <c r="C111" s="4" t="s">
        <v>602</v>
      </c>
      <c r="D111" s="4" t="s">
        <v>206</v>
      </c>
      <c r="E111" s="4" t="s">
        <v>605</v>
      </c>
      <c r="F111" s="29">
        <f>прил7!G81</f>
        <v>57000</v>
      </c>
      <c r="G111" s="29"/>
    </row>
    <row r="112" spans="1:7" ht="31.5">
      <c r="A112" s="3" t="s">
        <v>565</v>
      </c>
      <c r="B112" s="4" t="s">
        <v>917</v>
      </c>
      <c r="C112" s="4" t="s">
        <v>602</v>
      </c>
      <c r="D112" s="4" t="s">
        <v>206</v>
      </c>
      <c r="E112" s="4" t="s">
        <v>566</v>
      </c>
      <c r="F112" s="29">
        <f>прил7!G82</f>
        <v>1106000</v>
      </c>
      <c r="G112" s="29"/>
    </row>
    <row r="113" spans="1:7" ht="78.75">
      <c r="A113" s="3" t="s">
        <v>207</v>
      </c>
      <c r="B113" s="4" t="s">
        <v>917</v>
      </c>
      <c r="C113" s="4" t="s">
        <v>602</v>
      </c>
      <c r="D113" s="4" t="s">
        <v>208</v>
      </c>
      <c r="E113" s="4"/>
      <c r="F113" s="29">
        <f>F114</f>
        <v>300000</v>
      </c>
      <c r="G113" s="29"/>
    </row>
    <row r="114" spans="1:7" ht="47.25">
      <c r="A114" s="59" t="s">
        <v>209</v>
      </c>
      <c r="B114" s="4" t="s">
        <v>917</v>
      </c>
      <c r="C114" s="4" t="s">
        <v>602</v>
      </c>
      <c r="D114" s="4" t="s">
        <v>210</v>
      </c>
      <c r="E114" s="4"/>
      <c r="F114" s="29">
        <f>прил7!G84</f>
        <v>300000</v>
      </c>
      <c r="G114" s="29"/>
    </row>
    <row r="115" spans="1:7" ht="63">
      <c r="A115" s="3" t="s">
        <v>525</v>
      </c>
      <c r="B115" s="4" t="s">
        <v>917</v>
      </c>
      <c r="C115" s="4" t="s">
        <v>602</v>
      </c>
      <c r="D115" s="4" t="s">
        <v>210</v>
      </c>
      <c r="E115" s="4" t="s">
        <v>609</v>
      </c>
      <c r="F115" s="29">
        <f>прил7!G84</f>
        <v>300000</v>
      </c>
      <c r="G115" s="29"/>
    </row>
    <row r="116" spans="1:7" ht="47.25">
      <c r="A116" s="3" t="s">
        <v>627</v>
      </c>
      <c r="B116" s="4" t="s">
        <v>917</v>
      </c>
      <c r="C116" s="4" t="s">
        <v>602</v>
      </c>
      <c r="D116" s="4" t="s">
        <v>628</v>
      </c>
      <c r="E116" s="4"/>
      <c r="F116" s="29">
        <f>F117</f>
        <v>404274.08999999997</v>
      </c>
      <c r="G116" s="29"/>
    </row>
    <row r="117" spans="1:7" ht="47.25">
      <c r="A117" s="3" t="s">
        <v>756</v>
      </c>
      <c r="B117" s="4" t="s">
        <v>917</v>
      </c>
      <c r="C117" s="4" t="s">
        <v>602</v>
      </c>
      <c r="D117" s="4" t="s">
        <v>629</v>
      </c>
      <c r="E117" s="4"/>
      <c r="F117" s="29">
        <f>F118</f>
        <v>404274.08999999997</v>
      </c>
      <c r="G117" s="29"/>
    </row>
    <row r="118" spans="1:7" ht="47.25">
      <c r="A118" s="3" t="s">
        <v>701</v>
      </c>
      <c r="B118" s="4" t="s">
        <v>917</v>
      </c>
      <c r="C118" s="4" t="s">
        <v>602</v>
      </c>
      <c r="D118" s="4" t="s">
        <v>629</v>
      </c>
      <c r="E118" s="4" t="s">
        <v>605</v>
      </c>
      <c r="F118" s="29">
        <f>прил7!G298</f>
        <v>404274.08999999997</v>
      </c>
      <c r="G118" s="29"/>
    </row>
    <row r="119" spans="1:7" ht="63">
      <c r="A119" s="3" t="s">
        <v>108</v>
      </c>
      <c r="B119" s="4" t="s">
        <v>917</v>
      </c>
      <c r="C119" s="4" t="s">
        <v>602</v>
      </c>
      <c r="D119" s="4" t="s">
        <v>630</v>
      </c>
      <c r="E119" s="4"/>
      <c r="F119" s="29">
        <f>F120+F127</f>
        <v>886735</v>
      </c>
      <c r="G119" s="29"/>
    </row>
    <row r="120" spans="1:7" ht="63">
      <c r="A120" s="3" t="s">
        <v>130</v>
      </c>
      <c r="B120" s="4" t="s">
        <v>917</v>
      </c>
      <c r="C120" s="4" t="s">
        <v>602</v>
      </c>
      <c r="D120" s="4" t="s">
        <v>631</v>
      </c>
      <c r="E120" s="4"/>
      <c r="F120" s="29">
        <f>F121+F124</f>
        <v>400000</v>
      </c>
      <c r="G120" s="29"/>
    </row>
    <row r="121" spans="1:7" ht="47.25">
      <c r="A121" s="3" t="s">
        <v>278</v>
      </c>
      <c r="B121" s="4" t="s">
        <v>917</v>
      </c>
      <c r="C121" s="4" t="s">
        <v>602</v>
      </c>
      <c r="D121" s="4" t="s">
        <v>221</v>
      </c>
      <c r="E121" s="4"/>
      <c r="F121" s="29">
        <f>F122</f>
        <v>400000</v>
      </c>
      <c r="G121" s="29"/>
    </row>
    <row r="122" spans="1:7" ht="31.5">
      <c r="A122" s="3" t="s">
        <v>523</v>
      </c>
      <c r="B122" s="4" t="s">
        <v>917</v>
      </c>
      <c r="C122" s="4" t="s">
        <v>602</v>
      </c>
      <c r="D122" s="4" t="s">
        <v>222</v>
      </c>
      <c r="E122" s="4"/>
      <c r="F122" s="29">
        <f>F123</f>
        <v>400000</v>
      </c>
      <c r="G122" s="29"/>
    </row>
    <row r="123" spans="1:7" ht="47.25">
      <c r="A123" s="3" t="s">
        <v>701</v>
      </c>
      <c r="B123" s="4" t="s">
        <v>917</v>
      </c>
      <c r="C123" s="4" t="s">
        <v>602</v>
      </c>
      <c r="D123" s="4" t="s">
        <v>222</v>
      </c>
      <c r="E123" s="4" t="s">
        <v>605</v>
      </c>
      <c r="F123" s="29">
        <f>прил7!G303</f>
        <v>400000</v>
      </c>
      <c r="G123" s="29"/>
    </row>
    <row r="124" spans="1:7" ht="30.75" hidden="1">
      <c r="A124" s="3" t="s">
        <v>279</v>
      </c>
      <c r="B124" s="4" t="s">
        <v>917</v>
      </c>
      <c r="C124" s="4" t="s">
        <v>602</v>
      </c>
      <c r="D124" s="4" t="s">
        <v>280</v>
      </c>
      <c r="E124" s="4"/>
      <c r="F124" s="29">
        <f>F125</f>
        <v>0</v>
      </c>
      <c r="G124" s="29"/>
    </row>
    <row r="125" spans="1:7" ht="30.75" hidden="1">
      <c r="A125" s="3" t="s">
        <v>523</v>
      </c>
      <c r="B125" s="4" t="s">
        <v>917</v>
      </c>
      <c r="C125" s="4" t="s">
        <v>602</v>
      </c>
      <c r="D125" s="4" t="s">
        <v>281</v>
      </c>
      <c r="E125" s="4"/>
      <c r="F125" s="29">
        <f>F126</f>
        <v>0</v>
      </c>
      <c r="G125" s="29"/>
    </row>
    <row r="126" spans="1:7" ht="46.5" hidden="1">
      <c r="A126" s="3" t="s">
        <v>701</v>
      </c>
      <c r="B126" s="4" t="s">
        <v>917</v>
      </c>
      <c r="C126" s="4" t="s">
        <v>602</v>
      </c>
      <c r="D126" s="4" t="s">
        <v>281</v>
      </c>
      <c r="E126" s="4" t="s">
        <v>605</v>
      </c>
      <c r="F126" s="29">
        <f>прил7!G306</f>
        <v>0</v>
      </c>
      <c r="G126" s="29"/>
    </row>
    <row r="127" spans="1:7" ht="47.25">
      <c r="A127" s="3" t="s">
        <v>1125</v>
      </c>
      <c r="B127" s="4" t="s">
        <v>917</v>
      </c>
      <c r="C127" s="4" t="s">
        <v>602</v>
      </c>
      <c r="D127" s="4" t="s">
        <v>1126</v>
      </c>
      <c r="E127" s="4"/>
      <c r="F127" s="29">
        <f>F128+F131</f>
        <v>486735</v>
      </c>
      <c r="G127" s="29"/>
    </row>
    <row r="128" spans="1:7" ht="63">
      <c r="A128" s="3" t="s">
        <v>1127</v>
      </c>
      <c r="B128" s="4" t="s">
        <v>917</v>
      </c>
      <c r="C128" s="4" t="s">
        <v>602</v>
      </c>
      <c r="D128" s="4" t="s">
        <v>1128</v>
      </c>
      <c r="E128" s="4"/>
      <c r="F128" s="29">
        <f>F129</f>
        <v>199735</v>
      </c>
      <c r="G128" s="29"/>
    </row>
    <row r="129" spans="1:7" ht="31.5">
      <c r="A129" s="3" t="s">
        <v>523</v>
      </c>
      <c r="B129" s="4" t="s">
        <v>917</v>
      </c>
      <c r="C129" s="4" t="s">
        <v>602</v>
      </c>
      <c r="D129" s="4" t="s">
        <v>1129</v>
      </c>
      <c r="E129" s="4"/>
      <c r="F129" s="29">
        <f>F130</f>
        <v>199735</v>
      </c>
      <c r="G129" s="29"/>
    </row>
    <row r="130" spans="1:7" ht="47.25">
      <c r="A130" s="3" t="s">
        <v>701</v>
      </c>
      <c r="B130" s="4" t="s">
        <v>917</v>
      </c>
      <c r="C130" s="4" t="s">
        <v>602</v>
      </c>
      <c r="D130" s="4" t="s">
        <v>1129</v>
      </c>
      <c r="E130" s="4" t="s">
        <v>605</v>
      </c>
      <c r="F130" s="29">
        <f>прил7!G90</f>
        <v>199735</v>
      </c>
      <c r="G130" s="29"/>
    </row>
    <row r="131" spans="1:7" ht="78.75">
      <c r="A131" s="3" t="s">
        <v>1222</v>
      </c>
      <c r="B131" s="4" t="s">
        <v>917</v>
      </c>
      <c r="C131" s="4" t="s">
        <v>602</v>
      </c>
      <c r="D131" s="4" t="s">
        <v>1223</v>
      </c>
      <c r="E131" s="4"/>
      <c r="F131" s="29">
        <f>F132</f>
        <v>287000</v>
      </c>
      <c r="G131" s="29"/>
    </row>
    <row r="132" spans="1:7" ht="31.5">
      <c r="A132" s="3" t="s">
        <v>523</v>
      </c>
      <c r="B132" s="4" t="s">
        <v>917</v>
      </c>
      <c r="C132" s="4" t="s">
        <v>602</v>
      </c>
      <c r="D132" s="4" t="s">
        <v>1224</v>
      </c>
      <c r="E132" s="4"/>
      <c r="F132" s="29">
        <f>F133</f>
        <v>287000</v>
      </c>
      <c r="G132" s="29"/>
    </row>
    <row r="133" spans="1:7" ht="47.25">
      <c r="A133" s="3" t="s">
        <v>701</v>
      </c>
      <c r="B133" s="4" t="s">
        <v>917</v>
      </c>
      <c r="C133" s="4" t="s">
        <v>602</v>
      </c>
      <c r="D133" s="4" t="s">
        <v>1224</v>
      </c>
      <c r="E133" s="4" t="s">
        <v>605</v>
      </c>
      <c r="F133" s="29">
        <f>прил7!G310</f>
        <v>287000</v>
      </c>
      <c r="G133" s="29"/>
    </row>
    <row r="134" spans="1:7" ht="63">
      <c r="A134" s="3" t="s">
        <v>89</v>
      </c>
      <c r="B134" s="4" t="s">
        <v>917</v>
      </c>
      <c r="C134" s="4" t="s">
        <v>602</v>
      </c>
      <c r="D134" s="4" t="s">
        <v>790</v>
      </c>
      <c r="E134" s="2"/>
      <c r="F134" s="29">
        <f>F135</f>
        <v>175000</v>
      </c>
      <c r="G134" s="29"/>
    </row>
    <row r="135" spans="1:7" ht="78.75">
      <c r="A135" s="3" t="s">
        <v>1180</v>
      </c>
      <c r="B135" s="4" t="s">
        <v>917</v>
      </c>
      <c r="C135" s="4" t="s">
        <v>602</v>
      </c>
      <c r="D135" s="4" t="s">
        <v>1176</v>
      </c>
      <c r="E135" s="4"/>
      <c r="F135" s="29">
        <f>F137</f>
        <v>175000</v>
      </c>
      <c r="G135" s="29"/>
    </row>
    <row r="136" spans="1:7" ht="63">
      <c r="A136" s="3" t="s">
        <v>1175</v>
      </c>
      <c r="B136" s="4"/>
      <c r="C136" s="4"/>
      <c r="D136" s="4"/>
      <c r="E136" s="4"/>
      <c r="F136" s="29"/>
      <c r="G136" s="29"/>
    </row>
    <row r="137" spans="1:7" ht="31.5">
      <c r="A137" s="3" t="s">
        <v>523</v>
      </c>
      <c r="B137" s="4" t="s">
        <v>917</v>
      </c>
      <c r="C137" s="4" t="s">
        <v>602</v>
      </c>
      <c r="D137" s="4" t="s">
        <v>1177</v>
      </c>
      <c r="E137" s="4"/>
      <c r="F137" s="29">
        <f>F138</f>
        <v>175000</v>
      </c>
      <c r="G137" s="29"/>
    </row>
    <row r="138" spans="1:7" ht="47.25">
      <c r="A138" s="3" t="s">
        <v>701</v>
      </c>
      <c r="B138" s="4" t="s">
        <v>917</v>
      </c>
      <c r="C138" s="4" t="s">
        <v>602</v>
      </c>
      <c r="D138" s="4" t="s">
        <v>1177</v>
      </c>
      <c r="E138" s="4" t="s">
        <v>605</v>
      </c>
      <c r="F138" s="29">
        <f>прил7!G95</f>
        <v>175000</v>
      </c>
      <c r="G138" s="29"/>
    </row>
    <row r="139" spans="1:7" ht="78.75">
      <c r="A139" s="3" t="s">
        <v>90</v>
      </c>
      <c r="B139" s="4" t="s">
        <v>917</v>
      </c>
      <c r="C139" s="4" t="s">
        <v>602</v>
      </c>
      <c r="D139" s="4" t="s">
        <v>180</v>
      </c>
      <c r="E139" s="4"/>
      <c r="F139" s="29">
        <f>F145+F148+F140</f>
        <v>585479</v>
      </c>
      <c r="G139" s="29">
        <f>G145+G148+G140</f>
        <v>452500</v>
      </c>
    </row>
    <row r="140" spans="1:7" ht="78.75">
      <c r="A140" s="3" t="s">
        <v>1214</v>
      </c>
      <c r="B140" s="4" t="s">
        <v>917</v>
      </c>
      <c r="C140" s="4" t="s">
        <v>602</v>
      </c>
      <c r="D140" s="4" t="s">
        <v>223</v>
      </c>
      <c r="E140" s="4"/>
      <c r="F140" s="29">
        <f>F141+F143</f>
        <v>500000</v>
      </c>
      <c r="G140" s="29">
        <f>G141</f>
        <v>452500</v>
      </c>
    </row>
    <row r="141" spans="1:7" ht="63">
      <c r="A141" s="3" t="s">
        <v>1226</v>
      </c>
      <c r="B141" s="4" t="s">
        <v>917</v>
      </c>
      <c r="C141" s="4" t="s">
        <v>602</v>
      </c>
      <c r="D141" s="4" t="s">
        <v>1225</v>
      </c>
      <c r="E141" s="4"/>
      <c r="F141" s="29">
        <f>F142</f>
        <v>452500</v>
      </c>
      <c r="G141" s="29">
        <f>G142</f>
        <v>452500</v>
      </c>
    </row>
    <row r="142" spans="1:7" ht="15.75">
      <c r="A142" s="3" t="s">
        <v>1040</v>
      </c>
      <c r="B142" s="4" t="s">
        <v>917</v>
      </c>
      <c r="C142" s="4" t="s">
        <v>602</v>
      </c>
      <c r="D142" s="4" t="s">
        <v>1225</v>
      </c>
      <c r="E142" s="4" t="s">
        <v>608</v>
      </c>
      <c r="F142" s="29">
        <f>прил7!G99</f>
        <v>452500</v>
      </c>
      <c r="G142" s="29">
        <f>F142</f>
        <v>452500</v>
      </c>
    </row>
    <row r="143" spans="1:7" ht="63">
      <c r="A143" s="3" t="s">
        <v>1226</v>
      </c>
      <c r="B143" s="4" t="s">
        <v>917</v>
      </c>
      <c r="C143" s="4" t="s">
        <v>602</v>
      </c>
      <c r="D143" s="4" t="s">
        <v>1215</v>
      </c>
      <c r="E143" s="4"/>
      <c r="F143" s="29">
        <f>F144</f>
        <v>47500</v>
      </c>
      <c r="G143" s="33"/>
    </row>
    <row r="144" spans="1:7" ht="15.75">
      <c r="A144" s="3" t="s">
        <v>1040</v>
      </c>
      <c r="B144" s="4" t="s">
        <v>917</v>
      </c>
      <c r="C144" s="4" t="s">
        <v>602</v>
      </c>
      <c r="D144" s="4" t="s">
        <v>1215</v>
      </c>
      <c r="E144" s="4" t="s">
        <v>608</v>
      </c>
      <c r="F144" s="29">
        <f>прил7!G101</f>
        <v>47500</v>
      </c>
      <c r="G144" s="33"/>
    </row>
    <row r="145" spans="1:7" ht="47.25">
      <c r="A145" s="3" t="s">
        <v>1150</v>
      </c>
      <c r="B145" s="4" t="s">
        <v>917</v>
      </c>
      <c r="C145" s="4" t="s">
        <v>602</v>
      </c>
      <c r="D145" s="4" t="s">
        <v>181</v>
      </c>
      <c r="E145" s="4"/>
      <c r="F145" s="29">
        <f>F146</f>
        <v>85479</v>
      </c>
      <c r="G145" s="29"/>
    </row>
    <row r="146" spans="1:7" ht="31.5">
      <c r="A146" s="3" t="s">
        <v>523</v>
      </c>
      <c r="B146" s="4" t="s">
        <v>917</v>
      </c>
      <c r="C146" s="4" t="s">
        <v>602</v>
      </c>
      <c r="D146" s="4" t="s">
        <v>182</v>
      </c>
      <c r="E146" s="4"/>
      <c r="F146" s="29">
        <f>F147</f>
        <v>85479</v>
      </c>
      <c r="G146" s="29"/>
    </row>
    <row r="147" spans="1:7" ht="47.25">
      <c r="A147" s="3" t="s">
        <v>701</v>
      </c>
      <c r="B147" s="4" t="s">
        <v>917</v>
      </c>
      <c r="C147" s="4" t="s">
        <v>602</v>
      </c>
      <c r="D147" s="4" t="s">
        <v>182</v>
      </c>
      <c r="E147" s="4" t="s">
        <v>605</v>
      </c>
      <c r="F147" s="29">
        <f>прил7!G314</f>
        <v>85479</v>
      </c>
      <c r="G147" s="29"/>
    </row>
    <row r="148" spans="1:7" ht="77.25" hidden="1">
      <c r="A148" s="3" t="s">
        <v>919</v>
      </c>
      <c r="B148" s="4" t="s">
        <v>917</v>
      </c>
      <c r="C148" s="4" t="s">
        <v>602</v>
      </c>
      <c r="D148" s="4" t="s">
        <v>223</v>
      </c>
      <c r="E148" s="4"/>
      <c r="F148" s="29">
        <f>F149</f>
        <v>0</v>
      </c>
      <c r="G148" s="29"/>
    </row>
    <row r="149" spans="1:7" ht="30.75" hidden="1">
      <c r="A149" s="3" t="s">
        <v>523</v>
      </c>
      <c r="B149" s="4" t="s">
        <v>917</v>
      </c>
      <c r="C149" s="4" t="s">
        <v>602</v>
      </c>
      <c r="D149" s="4" t="s">
        <v>224</v>
      </c>
      <c r="E149" s="4"/>
      <c r="F149" s="29">
        <f>F150</f>
        <v>0</v>
      </c>
      <c r="G149" s="29"/>
    </row>
    <row r="150" spans="1:7" ht="15" hidden="1">
      <c r="A150" s="3" t="s">
        <v>1040</v>
      </c>
      <c r="B150" s="4" t="s">
        <v>917</v>
      </c>
      <c r="C150" s="4" t="s">
        <v>602</v>
      </c>
      <c r="D150" s="4" t="s">
        <v>224</v>
      </c>
      <c r="E150" s="4" t="s">
        <v>608</v>
      </c>
      <c r="F150" s="29">
        <f>прил7!G317</f>
        <v>0</v>
      </c>
      <c r="G150" s="29"/>
    </row>
    <row r="151" spans="1:7" ht="63">
      <c r="A151" s="3" t="s">
        <v>1034</v>
      </c>
      <c r="B151" s="4" t="s">
        <v>917</v>
      </c>
      <c r="C151" s="4" t="s">
        <v>602</v>
      </c>
      <c r="D151" s="4" t="s">
        <v>712</v>
      </c>
      <c r="E151" s="4"/>
      <c r="F151" s="29">
        <f>F152</f>
        <v>20004742.5</v>
      </c>
      <c r="G151" s="33"/>
    </row>
    <row r="152" spans="1:7" ht="78.75">
      <c r="A152" s="59" t="s">
        <v>527</v>
      </c>
      <c r="B152" s="4" t="s">
        <v>917</v>
      </c>
      <c r="C152" s="4" t="s">
        <v>602</v>
      </c>
      <c r="D152" s="4" t="s">
        <v>726</v>
      </c>
      <c r="E152" s="4"/>
      <c r="F152" s="29">
        <f>F153</f>
        <v>20004742.5</v>
      </c>
      <c r="G152" s="29"/>
    </row>
    <row r="153" spans="1:7" ht="63">
      <c r="A153" s="59" t="s">
        <v>727</v>
      </c>
      <c r="B153" s="4" t="s">
        <v>917</v>
      </c>
      <c r="C153" s="4" t="s">
        <v>602</v>
      </c>
      <c r="D153" s="4" t="s">
        <v>1181</v>
      </c>
      <c r="E153" s="4"/>
      <c r="F153" s="29">
        <f>F154</f>
        <v>20004742.5</v>
      </c>
      <c r="G153" s="29"/>
    </row>
    <row r="154" spans="1:7" ht="94.5">
      <c r="A154" s="3" t="s">
        <v>749</v>
      </c>
      <c r="B154" s="4" t="s">
        <v>917</v>
      </c>
      <c r="C154" s="4" t="s">
        <v>602</v>
      </c>
      <c r="D154" s="4" t="s">
        <v>1182</v>
      </c>
      <c r="E154" s="4"/>
      <c r="F154" s="29">
        <f>F155</f>
        <v>20004742.5</v>
      </c>
      <c r="G154" s="29"/>
    </row>
    <row r="155" spans="1:7" ht="63">
      <c r="A155" s="3" t="s">
        <v>525</v>
      </c>
      <c r="B155" s="4" t="s">
        <v>917</v>
      </c>
      <c r="C155" s="4" t="s">
        <v>602</v>
      </c>
      <c r="D155" s="4" t="s">
        <v>1182</v>
      </c>
      <c r="E155" s="4" t="s">
        <v>609</v>
      </c>
      <c r="F155" s="29">
        <f>прил7!G106</f>
        <v>20004742.5</v>
      </c>
      <c r="G155" s="29"/>
    </row>
    <row r="156" spans="1:10" ht="63">
      <c r="A156" s="50" t="s">
        <v>104</v>
      </c>
      <c r="B156" s="2" t="s">
        <v>917</v>
      </c>
      <c r="C156" s="2" t="s">
        <v>602</v>
      </c>
      <c r="D156" s="2" t="s">
        <v>705</v>
      </c>
      <c r="E156" s="2"/>
      <c r="F156" s="33">
        <f>F157+F164+F175+F182+F208+F229+F171</f>
        <v>68761792.93</v>
      </c>
      <c r="G156" s="33">
        <f>G157+G164+G175+G182+G208+G229+G171</f>
        <v>1020000</v>
      </c>
      <c r="H156" s="33">
        <f>H157+H164+H175+H182+H208+H229</f>
        <v>0</v>
      </c>
      <c r="I156" s="33">
        <f>I157+I164+I175+I182+I208+I229</f>
        <v>0</v>
      </c>
      <c r="J156" s="33">
        <f>J157+J164+J175+J182+J208+J229</f>
        <v>0</v>
      </c>
    </row>
    <row r="157" spans="1:11" ht="47.25">
      <c r="A157" s="27" t="s">
        <v>96</v>
      </c>
      <c r="B157" s="4" t="s">
        <v>917</v>
      </c>
      <c r="C157" s="4" t="s">
        <v>602</v>
      </c>
      <c r="D157" s="4" t="s">
        <v>717</v>
      </c>
      <c r="E157" s="4"/>
      <c r="F157" s="29">
        <f>F158</f>
        <v>1020000</v>
      </c>
      <c r="G157" s="29">
        <f>G158</f>
        <v>1020000</v>
      </c>
      <c r="K157" s="26">
        <f>прил7!G108</f>
        <v>1020000</v>
      </c>
    </row>
    <row r="158" spans="1:7" ht="47.25">
      <c r="A158" s="3" t="s">
        <v>728</v>
      </c>
      <c r="B158" s="4" t="s">
        <v>917</v>
      </c>
      <c r="C158" s="4" t="s">
        <v>602</v>
      </c>
      <c r="D158" s="4" t="s">
        <v>729</v>
      </c>
      <c r="E158" s="4"/>
      <c r="F158" s="29">
        <f>F159+F161</f>
        <v>1020000</v>
      </c>
      <c r="G158" s="29">
        <f>G159+G161</f>
        <v>1020000</v>
      </c>
    </row>
    <row r="159" spans="1:7" ht="189">
      <c r="A159" s="3" t="s">
        <v>0</v>
      </c>
      <c r="B159" s="4" t="s">
        <v>917</v>
      </c>
      <c r="C159" s="4" t="s">
        <v>602</v>
      </c>
      <c r="D159" s="4" t="s">
        <v>730</v>
      </c>
      <c r="E159" s="4"/>
      <c r="F159" s="29">
        <f>F160</f>
        <v>6000</v>
      </c>
      <c r="G159" s="29">
        <f>F159</f>
        <v>6000</v>
      </c>
    </row>
    <row r="160" spans="1:7" ht="47.25">
      <c r="A160" s="3" t="s">
        <v>701</v>
      </c>
      <c r="B160" s="4" t="s">
        <v>917</v>
      </c>
      <c r="C160" s="4" t="s">
        <v>602</v>
      </c>
      <c r="D160" s="4" t="s">
        <v>730</v>
      </c>
      <c r="E160" s="4" t="s">
        <v>605</v>
      </c>
      <c r="F160" s="29">
        <f>прил7!G111</f>
        <v>6000</v>
      </c>
      <c r="G160" s="29">
        <f>F160</f>
        <v>6000</v>
      </c>
    </row>
    <row r="161" spans="1:7" ht="47.25">
      <c r="A161" s="3" t="s">
        <v>731</v>
      </c>
      <c r="B161" s="4" t="s">
        <v>917</v>
      </c>
      <c r="C161" s="4" t="s">
        <v>602</v>
      </c>
      <c r="D161" s="4" t="s">
        <v>732</v>
      </c>
      <c r="E161" s="4"/>
      <c r="F161" s="29">
        <f>F162+F163</f>
        <v>1014000</v>
      </c>
      <c r="G161" s="29">
        <f>F161</f>
        <v>1014000</v>
      </c>
    </row>
    <row r="162" spans="1:7" ht="110.25">
      <c r="A162" s="3" t="s">
        <v>92</v>
      </c>
      <c r="B162" s="4" t="s">
        <v>917</v>
      </c>
      <c r="C162" s="4" t="s">
        <v>602</v>
      </c>
      <c r="D162" s="4" t="s">
        <v>732</v>
      </c>
      <c r="E162" s="4" t="s">
        <v>604</v>
      </c>
      <c r="F162" s="29">
        <f>прил7!G113</f>
        <v>849376.4</v>
      </c>
      <c r="G162" s="29">
        <f>F162</f>
        <v>849376.4</v>
      </c>
    </row>
    <row r="163" spans="1:7" ht="47.25">
      <c r="A163" s="3" t="s">
        <v>701</v>
      </c>
      <c r="B163" s="4" t="s">
        <v>917</v>
      </c>
      <c r="C163" s="4" t="s">
        <v>602</v>
      </c>
      <c r="D163" s="4" t="s">
        <v>732</v>
      </c>
      <c r="E163" s="4" t="s">
        <v>605</v>
      </c>
      <c r="F163" s="29">
        <f>прил7!G114</f>
        <v>164623.6</v>
      </c>
      <c r="G163" s="29">
        <f>F163</f>
        <v>164623.6</v>
      </c>
    </row>
    <row r="164" spans="1:7" ht="78.75">
      <c r="A164" s="27" t="s">
        <v>121</v>
      </c>
      <c r="B164" s="4" t="s">
        <v>917</v>
      </c>
      <c r="C164" s="4" t="s">
        <v>602</v>
      </c>
      <c r="D164" s="4" t="s">
        <v>621</v>
      </c>
      <c r="E164" s="4"/>
      <c r="F164" s="29">
        <f>F165+F168</f>
        <v>708414.71</v>
      </c>
      <c r="G164" s="29"/>
    </row>
    <row r="165" spans="1:7" ht="94.5">
      <c r="A165" s="27" t="s">
        <v>183</v>
      </c>
      <c r="B165" s="4" t="s">
        <v>917</v>
      </c>
      <c r="C165" s="4" t="s">
        <v>602</v>
      </c>
      <c r="D165" s="4" t="s">
        <v>184</v>
      </c>
      <c r="E165" s="4"/>
      <c r="F165" s="29">
        <f>F166</f>
        <v>182014.70999999996</v>
      </c>
      <c r="G165" s="29"/>
    </row>
    <row r="166" spans="1:7" ht="63">
      <c r="A166" s="27" t="s">
        <v>914</v>
      </c>
      <c r="B166" s="4" t="s">
        <v>917</v>
      </c>
      <c r="C166" s="4" t="s">
        <v>602</v>
      </c>
      <c r="D166" s="4" t="s">
        <v>185</v>
      </c>
      <c r="E166" s="4"/>
      <c r="F166" s="29">
        <f>F167</f>
        <v>182014.70999999996</v>
      </c>
      <c r="G166" s="29"/>
    </row>
    <row r="167" spans="1:7" ht="47.25">
      <c r="A167" s="3" t="s">
        <v>701</v>
      </c>
      <c r="B167" s="4" t="s">
        <v>917</v>
      </c>
      <c r="C167" s="4" t="s">
        <v>602</v>
      </c>
      <c r="D167" s="4" t="s">
        <v>185</v>
      </c>
      <c r="E167" s="4" t="s">
        <v>605</v>
      </c>
      <c r="F167" s="29">
        <f>прил7!G322</f>
        <v>182014.70999999996</v>
      </c>
      <c r="G167" s="29"/>
    </row>
    <row r="168" spans="1:7" ht="163.5" customHeight="1">
      <c r="A168" s="3" t="s">
        <v>1102</v>
      </c>
      <c r="B168" s="4" t="s">
        <v>917</v>
      </c>
      <c r="C168" s="4" t="s">
        <v>602</v>
      </c>
      <c r="D168" s="4" t="s">
        <v>250</v>
      </c>
      <c r="E168" s="4"/>
      <c r="F168" s="29">
        <f>F169</f>
        <v>526400</v>
      </c>
      <c r="G168" s="29"/>
    </row>
    <row r="169" spans="1:7" ht="33.75" customHeight="1">
      <c r="A169" s="3" t="s">
        <v>523</v>
      </c>
      <c r="B169" s="4" t="s">
        <v>917</v>
      </c>
      <c r="C169" s="4" t="s">
        <v>602</v>
      </c>
      <c r="D169" s="4" t="s">
        <v>251</v>
      </c>
      <c r="E169" s="4"/>
      <c r="F169" s="29">
        <f>F170</f>
        <v>526400</v>
      </c>
      <c r="G169" s="29"/>
    </row>
    <row r="170" spans="1:7" ht="56.25" customHeight="1">
      <c r="A170" s="3" t="s">
        <v>701</v>
      </c>
      <c r="B170" s="4" t="s">
        <v>917</v>
      </c>
      <c r="C170" s="4" t="s">
        <v>602</v>
      </c>
      <c r="D170" s="4" t="s">
        <v>251</v>
      </c>
      <c r="E170" s="4" t="s">
        <v>605</v>
      </c>
      <c r="F170" s="29">
        <f>прил7!G325</f>
        <v>526400</v>
      </c>
      <c r="G170" s="29"/>
    </row>
    <row r="171" spans="1:7" ht="88.5" customHeight="1">
      <c r="A171" s="27" t="s">
        <v>1164</v>
      </c>
      <c r="B171" s="4" t="s">
        <v>917</v>
      </c>
      <c r="C171" s="4" t="s">
        <v>602</v>
      </c>
      <c r="D171" s="4" t="s">
        <v>677</v>
      </c>
      <c r="E171" s="4"/>
      <c r="F171" s="29">
        <f>F172</f>
        <v>12836.5</v>
      </c>
      <c r="G171" s="29"/>
    </row>
    <row r="172" spans="1:7" ht="88.5" customHeight="1">
      <c r="A172" s="27" t="s">
        <v>678</v>
      </c>
      <c r="B172" s="4" t="s">
        <v>917</v>
      </c>
      <c r="C172" s="4" t="s">
        <v>602</v>
      </c>
      <c r="D172" s="4" t="s">
        <v>679</v>
      </c>
      <c r="E172" s="4"/>
      <c r="F172" s="29">
        <f>F173</f>
        <v>12836.5</v>
      </c>
      <c r="G172" s="29"/>
    </row>
    <row r="173" spans="1:7" ht="33" customHeight="1">
      <c r="A173" s="27" t="s">
        <v>523</v>
      </c>
      <c r="B173" s="4" t="s">
        <v>917</v>
      </c>
      <c r="C173" s="4" t="s">
        <v>602</v>
      </c>
      <c r="D173" s="4" t="s">
        <v>1165</v>
      </c>
      <c r="E173" s="4"/>
      <c r="F173" s="29">
        <f>F174</f>
        <v>12836.5</v>
      </c>
      <c r="G173" s="29"/>
    </row>
    <row r="174" spans="1:7" ht="36.75" customHeight="1">
      <c r="A174" s="3" t="s">
        <v>565</v>
      </c>
      <c r="B174" s="4" t="s">
        <v>917</v>
      </c>
      <c r="C174" s="4" t="s">
        <v>602</v>
      </c>
      <c r="D174" s="4" t="s">
        <v>1165</v>
      </c>
      <c r="E174" s="4" t="s">
        <v>566</v>
      </c>
      <c r="F174" s="29">
        <f>прил7!G863</f>
        <v>12836.5</v>
      </c>
      <c r="G174" s="29"/>
    </row>
    <row r="175" spans="1:11" ht="31.5">
      <c r="A175" s="3" t="s">
        <v>122</v>
      </c>
      <c r="B175" s="4" t="s">
        <v>917</v>
      </c>
      <c r="C175" s="4" t="s">
        <v>602</v>
      </c>
      <c r="D175" s="4" t="s">
        <v>664</v>
      </c>
      <c r="E175" s="4"/>
      <c r="F175" s="29">
        <f>F176</f>
        <v>7486865</v>
      </c>
      <c r="G175" s="29"/>
      <c r="K175" s="26">
        <f>прил7!G115</f>
        <v>7486865</v>
      </c>
    </row>
    <row r="176" spans="1:7" ht="47.25">
      <c r="A176" s="3" t="s">
        <v>665</v>
      </c>
      <c r="B176" s="4" t="s">
        <v>917</v>
      </c>
      <c r="C176" s="4" t="s">
        <v>602</v>
      </c>
      <c r="D176" s="4" t="s">
        <v>666</v>
      </c>
      <c r="E176" s="4"/>
      <c r="F176" s="29">
        <f>F177+F180</f>
        <v>7486865</v>
      </c>
      <c r="G176" s="29"/>
    </row>
    <row r="177" spans="1:7" ht="94.5">
      <c r="A177" s="3" t="s">
        <v>749</v>
      </c>
      <c r="B177" s="4" t="s">
        <v>917</v>
      </c>
      <c r="C177" s="4" t="s">
        <v>602</v>
      </c>
      <c r="D177" s="4" t="s">
        <v>667</v>
      </c>
      <c r="E177" s="4"/>
      <c r="F177" s="29">
        <f>F178+F179</f>
        <v>7364819</v>
      </c>
      <c r="G177" s="29"/>
    </row>
    <row r="178" spans="1:7" ht="110.25">
      <c r="A178" s="3" t="s">
        <v>92</v>
      </c>
      <c r="B178" s="4" t="s">
        <v>917</v>
      </c>
      <c r="C178" s="4" t="s">
        <v>602</v>
      </c>
      <c r="D178" s="4" t="s">
        <v>667</v>
      </c>
      <c r="E178" s="4" t="s">
        <v>604</v>
      </c>
      <c r="F178" s="29">
        <f>прил7!G118</f>
        <v>6006619.18</v>
      </c>
      <c r="G178" s="29"/>
    </row>
    <row r="179" spans="1:7" ht="47.25">
      <c r="A179" s="3" t="s">
        <v>701</v>
      </c>
      <c r="B179" s="4" t="s">
        <v>917</v>
      </c>
      <c r="C179" s="4" t="s">
        <v>602</v>
      </c>
      <c r="D179" s="4" t="s">
        <v>667</v>
      </c>
      <c r="E179" s="4" t="s">
        <v>605</v>
      </c>
      <c r="F179" s="29">
        <f>прил7!G119</f>
        <v>1358199.82</v>
      </c>
      <c r="G179" s="29"/>
    </row>
    <row r="180" spans="1:7" ht="94.5">
      <c r="A180" s="3" t="s">
        <v>587</v>
      </c>
      <c r="B180" s="4" t="s">
        <v>917</v>
      </c>
      <c r="C180" s="4" t="s">
        <v>602</v>
      </c>
      <c r="D180" s="4" t="s">
        <v>668</v>
      </c>
      <c r="E180" s="4"/>
      <c r="F180" s="29">
        <f>F181</f>
        <v>122046</v>
      </c>
      <c r="G180" s="29"/>
    </row>
    <row r="181" spans="1:7" ht="110.25">
      <c r="A181" s="3" t="s">
        <v>506</v>
      </c>
      <c r="B181" s="4" t="s">
        <v>917</v>
      </c>
      <c r="C181" s="4" t="s">
        <v>602</v>
      </c>
      <c r="D181" s="4" t="s">
        <v>668</v>
      </c>
      <c r="E181" s="4" t="s">
        <v>604</v>
      </c>
      <c r="F181" s="29">
        <f>прил7!G121</f>
        <v>122046</v>
      </c>
      <c r="G181" s="29"/>
    </row>
    <row r="182" spans="1:7" ht="78.75">
      <c r="A182" s="3" t="s">
        <v>2</v>
      </c>
      <c r="B182" s="4" t="s">
        <v>917</v>
      </c>
      <c r="C182" s="4" t="s">
        <v>602</v>
      </c>
      <c r="D182" s="4" t="s">
        <v>454</v>
      </c>
      <c r="E182" s="4"/>
      <c r="F182" s="29">
        <f>F183+F190+F193+F202+F199</f>
        <v>25513582.930000003</v>
      </c>
      <c r="G182" s="29"/>
    </row>
    <row r="183" spans="1:7" ht="157.5">
      <c r="A183" s="3" t="s">
        <v>522</v>
      </c>
      <c r="B183" s="4" t="s">
        <v>917</v>
      </c>
      <c r="C183" s="4" t="s">
        <v>602</v>
      </c>
      <c r="D183" s="4" t="s">
        <v>455</v>
      </c>
      <c r="E183" s="4"/>
      <c r="F183" s="29">
        <f>F184+F188</f>
        <v>17293300.830000002</v>
      </c>
      <c r="G183" s="29"/>
    </row>
    <row r="184" spans="1:7" ht="94.5">
      <c r="A184" s="3" t="s">
        <v>749</v>
      </c>
      <c r="B184" s="4" t="s">
        <v>917</v>
      </c>
      <c r="C184" s="4" t="s">
        <v>602</v>
      </c>
      <c r="D184" s="4" t="s">
        <v>456</v>
      </c>
      <c r="E184" s="4"/>
      <c r="F184" s="29">
        <f>F185+F186+F187</f>
        <v>17109230.490000002</v>
      </c>
      <c r="G184" s="29"/>
    </row>
    <row r="185" spans="1:7" ht="110.25">
      <c r="A185" s="3" t="s">
        <v>92</v>
      </c>
      <c r="B185" s="4" t="s">
        <v>917</v>
      </c>
      <c r="C185" s="4" t="s">
        <v>602</v>
      </c>
      <c r="D185" s="4" t="s">
        <v>456</v>
      </c>
      <c r="E185" s="4" t="s">
        <v>604</v>
      </c>
      <c r="F185" s="29">
        <f>прил7!G329</f>
        <v>16211031.040000001</v>
      </c>
      <c r="G185" s="29"/>
    </row>
    <row r="186" spans="1:7" ht="47.25">
      <c r="A186" s="3" t="s">
        <v>93</v>
      </c>
      <c r="B186" s="4" t="s">
        <v>917</v>
      </c>
      <c r="C186" s="4" t="s">
        <v>602</v>
      </c>
      <c r="D186" s="4" t="s">
        <v>456</v>
      </c>
      <c r="E186" s="4" t="s">
        <v>605</v>
      </c>
      <c r="F186" s="29">
        <f>прил7!G330</f>
        <v>897399.45</v>
      </c>
      <c r="G186" s="29"/>
    </row>
    <row r="187" spans="1:7" ht="15.75">
      <c r="A187" s="3" t="s">
        <v>1040</v>
      </c>
      <c r="B187" s="4" t="s">
        <v>917</v>
      </c>
      <c r="C187" s="4" t="s">
        <v>602</v>
      </c>
      <c r="D187" s="4" t="s">
        <v>456</v>
      </c>
      <c r="E187" s="4" t="s">
        <v>608</v>
      </c>
      <c r="F187" s="29">
        <f>прил7!G331</f>
        <v>800</v>
      </c>
      <c r="G187" s="29"/>
    </row>
    <row r="188" spans="1:7" ht="94.5">
      <c r="A188" s="3" t="s">
        <v>587</v>
      </c>
      <c r="B188" s="4" t="s">
        <v>917</v>
      </c>
      <c r="C188" s="4" t="s">
        <v>602</v>
      </c>
      <c r="D188" s="4" t="s">
        <v>457</v>
      </c>
      <c r="E188" s="4"/>
      <c r="F188" s="29">
        <f>F189</f>
        <v>184070.34</v>
      </c>
      <c r="G188" s="29"/>
    </row>
    <row r="189" spans="1:7" ht="110.25">
      <c r="A189" s="3" t="s">
        <v>506</v>
      </c>
      <c r="B189" s="4" t="s">
        <v>917</v>
      </c>
      <c r="C189" s="4" t="s">
        <v>602</v>
      </c>
      <c r="D189" s="4" t="s">
        <v>457</v>
      </c>
      <c r="E189" s="4" t="s">
        <v>604</v>
      </c>
      <c r="F189" s="29">
        <f>прил7!G333</f>
        <v>184070.34</v>
      </c>
      <c r="G189" s="29"/>
    </row>
    <row r="190" spans="1:7" ht="78.75">
      <c r="A190" s="3" t="s">
        <v>226</v>
      </c>
      <c r="B190" s="4" t="s">
        <v>917</v>
      </c>
      <c r="C190" s="4" t="s">
        <v>602</v>
      </c>
      <c r="D190" s="4" t="s">
        <v>227</v>
      </c>
      <c r="E190" s="4"/>
      <c r="F190" s="29">
        <f>F192</f>
        <v>85408</v>
      </c>
      <c r="G190" s="29"/>
    </row>
    <row r="191" spans="1:7" ht="94.5">
      <c r="A191" s="3" t="s">
        <v>749</v>
      </c>
      <c r="B191" s="4" t="s">
        <v>917</v>
      </c>
      <c r="C191" s="4" t="s">
        <v>602</v>
      </c>
      <c r="D191" s="4" t="s">
        <v>228</v>
      </c>
      <c r="E191" s="4"/>
      <c r="F191" s="29">
        <f>F192</f>
        <v>85408</v>
      </c>
      <c r="G191" s="29"/>
    </row>
    <row r="192" spans="1:7" ht="47.25">
      <c r="A192" s="3" t="s">
        <v>93</v>
      </c>
      <c r="B192" s="4" t="s">
        <v>917</v>
      </c>
      <c r="C192" s="4" t="s">
        <v>602</v>
      </c>
      <c r="D192" s="4" t="s">
        <v>228</v>
      </c>
      <c r="E192" s="4" t="s">
        <v>605</v>
      </c>
      <c r="F192" s="29">
        <f>85408</f>
        <v>85408</v>
      </c>
      <c r="G192" s="29"/>
    </row>
    <row r="193" spans="1:7" ht="63">
      <c r="A193" s="3" t="s">
        <v>229</v>
      </c>
      <c r="B193" s="4" t="s">
        <v>917</v>
      </c>
      <c r="C193" s="4" t="s">
        <v>602</v>
      </c>
      <c r="D193" s="4" t="s">
        <v>230</v>
      </c>
      <c r="E193" s="4"/>
      <c r="F193" s="29">
        <f>F194+F197</f>
        <v>5519208.64</v>
      </c>
      <c r="G193" s="29"/>
    </row>
    <row r="194" spans="1:7" ht="94.5">
      <c r="A194" s="3" t="s">
        <v>749</v>
      </c>
      <c r="B194" s="4" t="s">
        <v>917</v>
      </c>
      <c r="C194" s="4" t="s">
        <v>602</v>
      </c>
      <c r="D194" s="4" t="s">
        <v>231</v>
      </c>
      <c r="E194" s="4"/>
      <c r="F194" s="29">
        <f>F195+F196</f>
        <v>5395536.5</v>
      </c>
      <c r="G194" s="29"/>
    </row>
    <row r="195" spans="1:7" ht="110.25">
      <c r="A195" s="3" t="s">
        <v>92</v>
      </c>
      <c r="B195" s="4" t="s">
        <v>917</v>
      </c>
      <c r="C195" s="4" t="s">
        <v>602</v>
      </c>
      <c r="D195" s="4" t="s">
        <v>231</v>
      </c>
      <c r="E195" s="4" t="s">
        <v>604</v>
      </c>
      <c r="F195" s="29">
        <f>прил7!G341</f>
        <v>4976321.25</v>
      </c>
      <c r="G195" s="29"/>
    </row>
    <row r="196" spans="1:7" ht="47.25">
      <c r="A196" s="3" t="s">
        <v>93</v>
      </c>
      <c r="B196" s="4" t="s">
        <v>917</v>
      </c>
      <c r="C196" s="4" t="s">
        <v>602</v>
      </c>
      <c r="D196" s="4" t="s">
        <v>231</v>
      </c>
      <c r="E196" s="4" t="s">
        <v>605</v>
      </c>
      <c r="F196" s="29">
        <f>прил7!G342</f>
        <v>419215.25</v>
      </c>
      <c r="G196" s="29"/>
    </row>
    <row r="197" spans="1:7" ht="94.5">
      <c r="A197" s="3" t="s">
        <v>587</v>
      </c>
      <c r="B197" s="4" t="s">
        <v>917</v>
      </c>
      <c r="C197" s="4" t="s">
        <v>602</v>
      </c>
      <c r="D197" s="4" t="s">
        <v>232</v>
      </c>
      <c r="E197" s="4"/>
      <c r="F197" s="29">
        <f>F198</f>
        <v>123672.14</v>
      </c>
      <c r="G197" s="29"/>
    </row>
    <row r="198" spans="1:7" ht="110.25">
      <c r="A198" s="3" t="s">
        <v>506</v>
      </c>
      <c r="B198" s="4" t="s">
        <v>917</v>
      </c>
      <c r="C198" s="4" t="s">
        <v>602</v>
      </c>
      <c r="D198" s="4" t="s">
        <v>232</v>
      </c>
      <c r="E198" s="4" t="s">
        <v>604</v>
      </c>
      <c r="F198" s="29">
        <f>прил7!G344</f>
        <v>123672.14</v>
      </c>
      <c r="G198" s="29"/>
    </row>
    <row r="199" spans="1:7" ht="94.5">
      <c r="A199" s="3" t="s">
        <v>270</v>
      </c>
      <c r="B199" s="4" t="s">
        <v>917</v>
      </c>
      <c r="C199" s="4" t="s">
        <v>602</v>
      </c>
      <c r="D199" s="4" t="s">
        <v>271</v>
      </c>
      <c r="E199" s="4"/>
      <c r="F199" s="29">
        <f>F200</f>
        <v>340380</v>
      </c>
      <c r="G199" s="29"/>
    </row>
    <row r="200" spans="1:7" ht="31.5">
      <c r="A200" s="3" t="s">
        <v>523</v>
      </c>
      <c r="B200" s="4" t="s">
        <v>917</v>
      </c>
      <c r="C200" s="4" t="s">
        <v>602</v>
      </c>
      <c r="D200" s="4" t="s">
        <v>272</v>
      </c>
      <c r="E200" s="4"/>
      <c r="F200" s="29">
        <f>F201</f>
        <v>340380</v>
      </c>
      <c r="G200" s="29"/>
    </row>
    <row r="201" spans="1:7" ht="31.5">
      <c r="A201" s="3" t="s">
        <v>565</v>
      </c>
      <c r="B201" s="4" t="s">
        <v>917</v>
      </c>
      <c r="C201" s="4" t="s">
        <v>602</v>
      </c>
      <c r="D201" s="4" t="s">
        <v>272</v>
      </c>
      <c r="E201" s="4" t="s">
        <v>566</v>
      </c>
      <c r="F201" s="29">
        <f>прил7!G347</f>
        <v>340380</v>
      </c>
      <c r="G201" s="29"/>
    </row>
    <row r="202" spans="1:7" ht="94.5">
      <c r="A202" s="3" t="s">
        <v>233</v>
      </c>
      <c r="B202" s="4" t="s">
        <v>917</v>
      </c>
      <c r="C202" s="4" t="s">
        <v>602</v>
      </c>
      <c r="D202" s="4" t="s">
        <v>234</v>
      </c>
      <c r="E202" s="4"/>
      <c r="F202" s="29">
        <f>F203+F206</f>
        <v>2275285.4600000004</v>
      </c>
      <c r="G202" s="29"/>
    </row>
    <row r="203" spans="1:7" ht="94.5">
      <c r="A203" s="3" t="s">
        <v>749</v>
      </c>
      <c r="B203" s="4" t="s">
        <v>917</v>
      </c>
      <c r="C203" s="4" t="s">
        <v>602</v>
      </c>
      <c r="D203" s="4" t="s">
        <v>235</v>
      </c>
      <c r="E203" s="4"/>
      <c r="F203" s="29">
        <f>F204+F205</f>
        <v>2198175.8600000003</v>
      </c>
      <c r="G203" s="29"/>
    </row>
    <row r="204" spans="1:7" ht="110.25">
      <c r="A204" s="3" t="s">
        <v>92</v>
      </c>
      <c r="B204" s="4" t="s">
        <v>917</v>
      </c>
      <c r="C204" s="4" t="s">
        <v>602</v>
      </c>
      <c r="D204" s="4" t="s">
        <v>235</v>
      </c>
      <c r="E204" s="4" t="s">
        <v>604</v>
      </c>
      <c r="F204" s="29">
        <f>прил7!G350</f>
        <v>1980789.86</v>
      </c>
      <c r="G204" s="29"/>
    </row>
    <row r="205" spans="1:7" ht="47.25">
      <c r="A205" s="3" t="s">
        <v>93</v>
      </c>
      <c r="B205" s="4" t="s">
        <v>917</v>
      </c>
      <c r="C205" s="4" t="s">
        <v>602</v>
      </c>
      <c r="D205" s="4" t="s">
        <v>235</v>
      </c>
      <c r="E205" s="4" t="s">
        <v>605</v>
      </c>
      <c r="F205" s="29">
        <f>прил7!G351</f>
        <v>217386</v>
      </c>
      <c r="G205" s="29"/>
    </row>
    <row r="206" spans="1:7" ht="94.5">
      <c r="A206" s="3" t="s">
        <v>587</v>
      </c>
      <c r="B206" s="4" t="s">
        <v>917</v>
      </c>
      <c r="C206" s="4" t="s">
        <v>602</v>
      </c>
      <c r="D206" s="4" t="s">
        <v>236</v>
      </c>
      <c r="E206" s="4"/>
      <c r="F206" s="29">
        <f>F207</f>
        <v>77109.6</v>
      </c>
      <c r="G206" s="29"/>
    </row>
    <row r="207" spans="1:7" ht="110.25">
      <c r="A207" s="3" t="s">
        <v>506</v>
      </c>
      <c r="B207" s="4" t="s">
        <v>917</v>
      </c>
      <c r="C207" s="4" t="s">
        <v>602</v>
      </c>
      <c r="D207" s="4" t="s">
        <v>236</v>
      </c>
      <c r="E207" s="4" t="s">
        <v>604</v>
      </c>
      <c r="F207" s="29">
        <f>прил7!G353</f>
        <v>77109.6</v>
      </c>
      <c r="G207" s="29"/>
    </row>
    <row r="208" spans="1:11" ht="47.25">
      <c r="A208" s="3" t="s">
        <v>123</v>
      </c>
      <c r="B208" s="4" t="s">
        <v>917</v>
      </c>
      <c r="C208" s="4" t="s">
        <v>602</v>
      </c>
      <c r="D208" s="4" t="s">
        <v>706</v>
      </c>
      <c r="E208" s="4"/>
      <c r="F208" s="29">
        <f>F209+F216+F223</f>
        <v>31927408.35</v>
      </c>
      <c r="G208" s="29"/>
      <c r="K208" s="26">
        <f>прил7!G122+прил7!G33</f>
        <v>31423508.35</v>
      </c>
    </row>
    <row r="209" spans="1:11" ht="47.25">
      <c r="A209" s="3" t="s">
        <v>669</v>
      </c>
      <c r="B209" s="4" t="s">
        <v>917</v>
      </c>
      <c r="C209" s="4" t="s">
        <v>602</v>
      </c>
      <c r="D209" s="4" t="s">
        <v>670</v>
      </c>
      <c r="E209" s="4"/>
      <c r="F209" s="29">
        <f>F210+F214</f>
        <v>9299204.16</v>
      </c>
      <c r="G209" s="29"/>
      <c r="K209" s="26">
        <f>K208-F208</f>
        <v>-503900</v>
      </c>
    </row>
    <row r="210" spans="1:7" ht="94.5">
      <c r="A210" s="3" t="s">
        <v>749</v>
      </c>
      <c r="B210" s="4" t="s">
        <v>917</v>
      </c>
      <c r="C210" s="4" t="s">
        <v>602</v>
      </c>
      <c r="D210" s="4" t="s">
        <v>671</v>
      </c>
      <c r="E210" s="4"/>
      <c r="F210" s="29">
        <f>F211+F212+F213</f>
        <v>9216704.16</v>
      </c>
      <c r="G210" s="29"/>
    </row>
    <row r="211" spans="1:7" ht="123.75">
      <c r="A211" s="3" t="s">
        <v>92</v>
      </c>
      <c r="B211" s="4" t="s">
        <v>917</v>
      </c>
      <c r="C211" s="4" t="s">
        <v>602</v>
      </c>
      <c r="D211" s="4" t="s">
        <v>671</v>
      </c>
      <c r="E211" s="4" t="s">
        <v>604</v>
      </c>
      <c r="F211" s="70">
        <f>прил7!G125</f>
        <v>6334496.89</v>
      </c>
      <c r="G211" s="29"/>
    </row>
    <row r="212" spans="1:7" ht="46.5">
      <c r="A212" s="3" t="s">
        <v>701</v>
      </c>
      <c r="B212" s="4" t="s">
        <v>917</v>
      </c>
      <c r="C212" s="4" t="s">
        <v>602</v>
      </c>
      <c r="D212" s="4" t="s">
        <v>671</v>
      </c>
      <c r="E212" s="4" t="s">
        <v>605</v>
      </c>
      <c r="F212" s="70">
        <f>прил7!G126</f>
        <v>2838408.27</v>
      </c>
      <c r="G212" s="29"/>
    </row>
    <row r="213" spans="1:7" ht="15">
      <c r="A213" s="3" t="s">
        <v>1040</v>
      </c>
      <c r="B213" s="4" t="s">
        <v>917</v>
      </c>
      <c r="C213" s="4" t="s">
        <v>602</v>
      </c>
      <c r="D213" s="4" t="s">
        <v>671</v>
      </c>
      <c r="E213" s="60">
        <v>800</v>
      </c>
      <c r="F213" s="70">
        <f>прил7!G127</f>
        <v>43799</v>
      </c>
      <c r="G213" s="29"/>
    </row>
    <row r="214" spans="1:7" ht="108">
      <c r="A214" s="3" t="s">
        <v>587</v>
      </c>
      <c r="B214" s="4" t="s">
        <v>917</v>
      </c>
      <c r="C214" s="4" t="s">
        <v>602</v>
      </c>
      <c r="D214" s="4" t="s">
        <v>672</v>
      </c>
      <c r="E214" s="4"/>
      <c r="F214" s="70">
        <f>F215</f>
        <v>82500</v>
      </c>
      <c r="G214" s="29"/>
    </row>
    <row r="215" spans="1:7" ht="123.75">
      <c r="A215" s="3" t="s">
        <v>506</v>
      </c>
      <c r="B215" s="4" t="s">
        <v>917</v>
      </c>
      <c r="C215" s="4" t="s">
        <v>602</v>
      </c>
      <c r="D215" s="4" t="s">
        <v>672</v>
      </c>
      <c r="E215" s="4" t="s">
        <v>604</v>
      </c>
      <c r="F215" s="70">
        <f>прил7!G129</f>
        <v>82500</v>
      </c>
      <c r="G215" s="29"/>
    </row>
    <row r="216" spans="1:7" ht="61.5">
      <c r="A216" s="3" t="s">
        <v>212</v>
      </c>
      <c r="B216" s="4" t="s">
        <v>917</v>
      </c>
      <c r="C216" s="4" t="s">
        <v>602</v>
      </c>
      <c r="D216" s="4" t="s">
        <v>213</v>
      </c>
      <c r="E216" s="4"/>
      <c r="F216" s="29">
        <f>F217+F221</f>
        <v>19447859.740000002</v>
      </c>
      <c r="G216" s="29"/>
    </row>
    <row r="217" spans="1:7" ht="108">
      <c r="A217" s="3" t="s">
        <v>749</v>
      </c>
      <c r="B217" s="4" t="s">
        <v>917</v>
      </c>
      <c r="C217" s="4" t="s">
        <v>602</v>
      </c>
      <c r="D217" s="4" t="s">
        <v>214</v>
      </c>
      <c r="E217" s="4"/>
      <c r="F217" s="29">
        <f>F218+F219+F220</f>
        <v>19280359.740000002</v>
      </c>
      <c r="G217" s="29"/>
    </row>
    <row r="218" spans="1:7" ht="123.75">
      <c r="A218" s="3" t="s">
        <v>92</v>
      </c>
      <c r="B218" s="4" t="s">
        <v>917</v>
      </c>
      <c r="C218" s="4" t="s">
        <v>602</v>
      </c>
      <c r="D218" s="4" t="s">
        <v>214</v>
      </c>
      <c r="E218" s="4" t="s">
        <v>604</v>
      </c>
      <c r="F218" s="29">
        <f>прил7!G132</f>
        <v>9947183.17</v>
      </c>
      <c r="G218" s="29"/>
    </row>
    <row r="219" spans="1:7" ht="46.5">
      <c r="A219" s="3" t="s">
        <v>701</v>
      </c>
      <c r="B219" s="4" t="s">
        <v>917</v>
      </c>
      <c r="C219" s="4" t="s">
        <v>602</v>
      </c>
      <c r="D219" s="4" t="s">
        <v>214</v>
      </c>
      <c r="E219" s="4" t="s">
        <v>605</v>
      </c>
      <c r="F219" s="29">
        <f>прил7!G133</f>
        <v>9304188.57</v>
      </c>
      <c r="G219" s="29"/>
    </row>
    <row r="220" spans="1:7" ht="15">
      <c r="A220" s="3" t="s">
        <v>1040</v>
      </c>
      <c r="B220" s="4" t="s">
        <v>917</v>
      </c>
      <c r="C220" s="4" t="s">
        <v>602</v>
      </c>
      <c r="D220" s="4" t="s">
        <v>214</v>
      </c>
      <c r="E220" s="60">
        <v>800</v>
      </c>
      <c r="F220" s="29">
        <f>прил7!G134</f>
        <v>28988</v>
      </c>
      <c r="G220" s="29"/>
    </row>
    <row r="221" spans="1:7" ht="108">
      <c r="A221" s="3" t="s">
        <v>587</v>
      </c>
      <c r="B221" s="4" t="s">
        <v>917</v>
      </c>
      <c r="C221" s="4" t="s">
        <v>602</v>
      </c>
      <c r="D221" s="4" t="s">
        <v>672</v>
      </c>
      <c r="E221" s="4"/>
      <c r="F221" s="29">
        <f>F222</f>
        <v>167500</v>
      </c>
      <c r="G221" s="29"/>
    </row>
    <row r="222" spans="1:7" ht="123.75">
      <c r="A222" s="3" t="s">
        <v>506</v>
      </c>
      <c r="B222" s="4" t="s">
        <v>917</v>
      </c>
      <c r="C222" s="4" t="s">
        <v>602</v>
      </c>
      <c r="D222" s="4" t="s">
        <v>672</v>
      </c>
      <c r="E222" s="4" t="s">
        <v>604</v>
      </c>
      <c r="F222" s="29">
        <f>прил7!G136</f>
        <v>167500</v>
      </c>
      <c r="G222" s="29"/>
    </row>
    <row r="223" spans="1:7" ht="61.5">
      <c r="A223" s="3" t="s">
        <v>1099</v>
      </c>
      <c r="B223" s="4" t="s">
        <v>917</v>
      </c>
      <c r="C223" s="4" t="s">
        <v>602</v>
      </c>
      <c r="D223" s="4" t="s">
        <v>215</v>
      </c>
      <c r="E223" s="4"/>
      <c r="F223" s="29">
        <f>F224+F227</f>
        <v>3180344.45</v>
      </c>
      <c r="G223" s="29"/>
    </row>
    <row r="224" spans="1:7" ht="108">
      <c r="A224" s="3" t="s">
        <v>749</v>
      </c>
      <c r="B224" s="4" t="s">
        <v>917</v>
      </c>
      <c r="C224" s="4" t="s">
        <v>602</v>
      </c>
      <c r="D224" s="4" t="s">
        <v>216</v>
      </c>
      <c r="E224" s="4"/>
      <c r="F224" s="29">
        <f>F225+F226</f>
        <v>2188020.31</v>
      </c>
      <c r="G224" s="29"/>
    </row>
    <row r="225" spans="1:7" ht="123.75">
      <c r="A225" s="3" t="s">
        <v>92</v>
      </c>
      <c r="B225" s="4" t="s">
        <v>917</v>
      </c>
      <c r="C225" s="4" t="s">
        <v>602</v>
      </c>
      <c r="D225" s="4" t="s">
        <v>216</v>
      </c>
      <c r="E225" s="4" t="s">
        <v>604</v>
      </c>
      <c r="F225" s="29">
        <f>прил7!G139</f>
        <v>1346590.31</v>
      </c>
      <c r="G225" s="29"/>
    </row>
    <row r="226" spans="1:7" ht="46.5">
      <c r="A226" s="3" t="s">
        <v>701</v>
      </c>
      <c r="B226" s="4" t="s">
        <v>917</v>
      </c>
      <c r="C226" s="4" t="s">
        <v>602</v>
      </c>
      <c r="D226" s="4" t="s">
        <v>216</v>
      </c>
      <c r="E226" s="4" t="s">
        <v>605</v>
      </c>
      <c r="F226" s="29">
        <f>прил7!G140</f>
        <v>841430</v>
      </c>
      <c r="G226" s="29"/>
    </row>
    <row r="227" spans="1:7" ht="30.75">
      <c r="A227" s="3" t="s">
        <v>523</v>
      </c>
      <c r="B227" s="4" t="s">
        <v>917</v>
      </c>
      <c r="C227" s="4" t="s">
        <v>602</v>
      </c>
      <c r="D227" s="4" t="s">
        <v>1100</v>
      </c>
      <c r="E227" s="60"/>
      <c r="F227" s="29">
        <f>F228</f>
        <v>992324.14</v>
      </c>
      <c r="G227" s="29"/>
    </row>
    <row r="228" spans="1:7" ht="46.5">
      <c r="A228" s="3" t="s">
        <v>701</v>
      </c>
      <c r="B228" s="4" t="s">
        <v>917</v>
      </c>
      <c r="C228" s="4" t="s">
        <v>602</v>
      </c>
      <c r="D228" s="4" t="s">
        <v>1100</v>
      </c>
      <c r="E228" s="60">
        <v>200</v>
      </c>
      <c r="F228" s="29">
        <f>прил7!G30+прил7!G142+прил7!G357+прил7!G604</f>
        <v>992324.14</v>
      </c>
      <c r="G228" s="29"/>
    </row>
    <row r="229" spans="1:12" ht="46.5">
      <c r="A229" s="3" t="s">
        <v>133</v>
      </c>
      <c r="B229" s="4" t="s">
        <v>917</v>
      </c>
      <c r="C229" s="4" t="s">
        <v>602</v>
      </c>
      <c r="D229" s="4" t="s">
        <v>708</v>
      </c>
      <c r="E229" s="60"/>
      <c r="F229" s="29">
        <f>F230+F234+F237</f>
        <v>2092685.4400000002</v>
      </c>
      <c r="G229" s="29"/>
      <c r="K229" s="26">
        <f>прил7!G34+прил7!G146+прил7!G358+прил7!G605+прил7!G664+прил7!G864+прил7!G1047</f>
        <v>2092685.44</v>
      </c>
      <c r="L229" s="26">
        <f>K229-F229</f>
        <v>0</v>
      </c>
    </row>
    <row r="230" spans="1:7" ht="77.25">
      <c r="A230" s="3" t="s">
        <v>711</v>
      </c>
      <c r="B230" s="4" t="s">
        <v>917</v>
      </c>
      <c r="C230" s="4" t="s">
        <v>602</v>
      </c>
      <c r="D230" s="4" t="s">
        <v>673</v>
      </c>
      <c r="E230" s="60"/>
      <c r="F230" s="29">
        <f>F231</f>
        <v>883265.1100000001</v>
      </c>
      <c r="G230" s="29"/>
    </row>
    <row r="231" spans="1:7" ht="54.75" customHeight="1">
      <c r="A231" s="3" t="s">
        <v>590</v>
      </c>
      <c r="B231" s="4" t="s">
        <v>917</v>
      </c>
      <c r="C231" s="4" t="s">
        <v>602</v>
      </c>
      <c r="D231" s="4" t="s">
        <v>1111</v>
      </c>
      <c r="E231" s="60"/>
      <c r="F231" s="29">
        <f>F232+F233</f>
        <v>883265.1100000001</v>
      </c>
      <c r="G231" s="29"/>
    </row>
    <row r="232" spans="1:15" ht="135" customHeight="1">
      <c r="A232" s="3" t="s">
        <v>506</v>
      </c>
      <c r="B232" s="4" t="s">
        <v>917</v>
      </c>
      <c r="C232" s="4" t="s">
        <v>602</v>
      </c>
      <c r="D232" s="4" t="s">
        <v>1111</v>
      </c>
      <c r="E232" s="60">
        <v>100</v>
      </c>
      <c r="F232" s="70">
        <f>прил7!G37+прил7!G149+прил7!G361+прил7!G668+прил7!G867+прил7!G1050+прил7!G608</f>
        <v>345084.95</v>
      </c>
      <c r="G232" s="29"/>
      <c r="O232" s="26"/>
    </row>
    <row r="233" spans="1:15" ht="58.5" customHeight="1">
      <c r="A233" s="3" t="s">
        <v>701</v>
      </c>
      <c r="B233" s="4" t="s">
        <v>917</v>
      </c>
      <c r="C233" s="4" t="s">
        <v>602</v>
      </c>
      <c r="D233" s="4" t="s">
        <v>1111</v>
      </c>
      <c r="E233" s="60">
        <v>200</v>
      </c>
      <c r="F233" s="70">
        <f>прил7!G38+прил7!G150+прил7!G362+прил7!G609+прил7!G669+прил7!G868+прил7!G1051</f>
        <v>538180.16</v>
      </c>
      <c r="G233" s="29"/>
      <c r="O233" s="26"/>
    </row>
    <row r="234" spans="1:7" ht="30.75">
      <c r="A234" s="3" t="s">
        <v>217</v>
      </c>
      <c r="B234" s="4" t="s">
        <v>917</v>
      </c>
      <c r="C234" s="4" t="s">
        <v>602</v>
      </c>
      <c r="D234" s="4" t="s">
        <v>218</v>
      </c>
      <c r="E234" s="60"/>
      <c r="F234" s="70">
        <f>F235</f>
        <v>279325.5</v>
      </c>
      <c r="G234" s="29"/>
    </row>
    <row r="235" spans="1:15" ht="51.75" customHeight="1">
      <c r="A235" s="3" t="s">
        <v>590</v>
      </c>
      <c r="B235" s="4" t="s">
        <v>917</v>
      </c>
      <c r="C235" s="4" t="s">
        <v>602</v>
      </c>
      <c r="D235" s="4" t="s">
        <v>1112</v>
      </c>
      <c r="E235" s="60"/>
      <c r="F235" s="70">
        <f>F236</f>
        <v>279325.5</v>
      </c>
      <c r="G235" s="29"/>
      <c r="O235" s="26"/>
    </row>
    <row r="236" spans="1:7" ht="58.5" customHeight="1">
      <c r="A236" s="3" t="s">
        <v>701</v>
      </c>
      <c r="B236" s="4" t="s">
        <v>917</v>
      </c>
      <c r="C236" s="4" t="s">
        <v>602</v>
      </c>
      <c r="D236" s="4" t="s">
        <v>1112</v>
      </c>
      <c r="E236" s="60">
        <v>200</v>
      </c>
      <c r="F236" s="70">
        <f>прил7!G153+прил7!G365+прил7!G612+прил7!G871</f>
        <v>279325.5</v>
      </c>
      <c r="G236" s="29"/>
    </row>
    <row r="237" spans="1:7" ht="70.5" customHeight="1">
      <c r="A237" s="3" t="s">
        <v>219</v>
      </c>
      <c r="B237" s="4" t="s">
        <v>917</v>
      </c>
      <c r="C237" s="4" t="s">
        <v>602</v>
      </c>
      <c r="D237" s="4" t="s">
        <v>220</v>
      </c>
      <c r="E237" s="60"/>
      <c r="F237" s="70">
        <f>F238</f>
        <v>930094.8300000001</v>
      </c>
      <c r="G237" s="29"/>
    </row>
    <row r="238" spans="1:7" ht="54.75" customHeight="1">
      <c r="A238" s="3" t="s">
        <v>590</v>
      </c>
      <c r="B238" s="4" t="s">
        <v>917</v>
      </c>
      <c r="C238" s="4" t="s">
        <v>602</v>
      </c>
      <c r="D238" s="4" t="s">
        <v>1110</v>
      </c>
      <c r="E238" s="60"/>
      <c r="F238" s="70">
        <f>F239+F240</f>
        <v>930094.8300000001</v>
      </c>
      <c r="G238" s="29"/>
    </row>
    <row r="239" spans="1:15" ht="123.75">
      <c r="A239" s="3" t="s">
        <v>506</v>
      </c>
      <c r="B239" s="4" t="s">
        <v>917</v>
      </c>
      <c r="C239" s="4" t="s">
        <v>602</v>
      </c>
      <c r="D239" s="4" t="s">
        <v>1110</v>
      </c>
      <c r="E239" s="60">
        <v>100</v>
      </c>
      <c r="F239" s="70">
        <f>прил7!G156+прил7!G368+прил7!G615+прил7!G41</f>
        <v>611830.3300000001</v>
      </c>
      <c r="G239" s="29"/>
      <c r="O239" s="26"/>
    </row>
    <row r="240" spans="1:15" ht="54.75" customHeight="1">
      <c r="A240" s="3" t="s">
        <v>701</v>
      </c>
      <c r="B240" s="4" t="s">
        <v>917</v>
      </c>
      <c r="C240" s="4" t="s">
        <v>602</v>
      </c>
      <c r="D240" s="4" t="s">
        <v>1110</v>
      </c>
      <c r="E240" s="60">
        <v>200</v>
      </c>
      <c r="F240" s="70">
        <f>прил7!G157+прил7!G369+прил7!G616</f>
        <v>318264.5</v>
      </c>
      <c r="G240" s="29"/>
      <c r="O240" s="26"/>
    </row>
    <row r="241" spans="1:7" ht="18.75" customHeight="1">
      <c r="A241" s="1" t="s">
        <v>91</v>
      </c>
      <c r="B241" s="2" t="s">
        <v>917</v>
      </c>
      <c r="C241" s="2" t="s">
        <v>602</v>
      </c>
      <c r="D241" s="2" t="s">
        <v>734</v>
      </c>
      <c r="E241" s="2"/>
      <c r="F241" s="74">
        <f>F244+F248+F246+F242</f>
        <v>2566712.31</v>
      </c>
      <c r="G241" s="33"/>
    </row>
    <row r="242" spans="1:7" ht="60.75" customHeight="1">
      <c r="A242" s="3" t="s">
        <v>756</v>
      </c>
      <c r="B242" s="4" t="s">
        <v>917</v>
      </c>
      <c r="C242" s="4" t="s">
        <v>602</v>
      </c>
      <c r="D242" s="4" t="s">
        <v>1130</v>
      </c>
      <c r="E242" s="4"/>
      <c r="F242" s="70">
        <f>F243</f>
        <v>369269</v>
      </c>
      <c r="G242" s="33"/>
    </row>
    <row r="243" spans="1:7" ht="57" customHeight="1">
      <c r="A243" s="3" t="s">
        <v>701</v>
      </c>
      <c r="B243" s="4" t="s">
        <v>917</v>
      </c>
      <c r="C243" s="4" t="s">
        <v>602</v>
      </c>
      <c r="D243" s="4" t="s">
        <v>1130</v>
      </c>
      <c r="E243" s="4" t="s">
        <v>605</v>
      </c>
      <c r="F243" s="70">
        <f>прил7!G160</f>
        <v>369269</v>
      </c>
      <c r="G243" s="33"/>
    </row>
    <row r="244" spans="1:7" ht="30.75">
      <c r="A244" s="3" t="s">
        <v>747</v>
      </c>
      <c r="B244" s="4" t="s">
        <v>917</v>
      </c>
      <c r="C244" s="4" t="s">
        <v>602</v>
      </c>
      <c r="D244" s="4" t="s">
        <v>674</v>
      </c>
      <c r="E244" s="4"/>
      <c r="F244" s="29">
        <f>F245</f>
        <v>664798</v>
      </c>
      <c r="G244" s="29"/>
    </row>
    <row r="245" spans="1:7" ht="24" customHeight="1">
      <c r="A245" s="3" t="s">
        <v>1040</v>
      </c>
      <c r="B245" s="4" t="s">
        <v>917</v>
      </c>
      <c r="C245" s="4" t="s">
        <v>602</v>
      </c>
      <c r="D245" s="4" t="s">
        <v>674</v>
      </c>
      <c r="E245" s="60">
        <v>800</v>
      </c>
      <c r="F245" s="29">
        <f>прил7!G162+прил7!G371</f>
        <v>664798</v>
      </c>
      <c r="G245" s="29"/>
    </row>
    <row r="246" spans="1:7" ht="33" customHeight="1">
      <c r="A246" s="3" t="s">
        <v>273</v>
      </c>
      <c r="B246" s="4" t="s">
        <v>917</v>
      </c>
      <c r="C246" s="4" t="s">
        <v>602</v>
      </c>
      <c r="D246" s="4" t="s">
        <v>274</v>
      </c>
      <c r="E246" s="60"/>
      <c r="F246" s="29">
        <f>F247</f>
        <v>600000</v>
      </c>
      <c r="G246" s="29"/>
    </row>
    <row r="247" spans="1:7" ht="24" customHeight="1">
      <c r="A247" s="3" t="s">
        <v>1040</v>
      </c>
      <c r="B247" s="4" t="s">
        <v>917</v>
      </c>
      <c r="C247" s="4" t="s">
        <v>602</v>
      </c>
      <c r="D247" s="4" t="s">
        <v>274</v>
      </c>
      <c r="E247" s="60">
        <v>800</v>
      </c>
      <c r="F247" s="29">
        <f>прил7!G374</f>
        <v>600000</v>
      </c>
      <c r="G247" s="29"/>
    </row>
    <row r="248" spans="1:7" ht="36.75" customHeight="1">
      <c r="A248" s="3" t="s">
        <v>920</v>
      </c>
      <c r="B248" s="4" t="s">
        <v>917</v>
      </c>
      <c r="C248" s="4" t="s">
        <v>602</v>
      </c>
      <c r="D248" s="4" t="s">
        <v>921</v>
      </c>
      <c r="E248" s="60"/>
      <c r="F248" s="29">
        <f>F250+F249</f>
        <v>932645.31</v>
      </c>
      <c r="G248" s="29"/>
    </row>
    <row r="249" spans="1:7" ht="51.75" customHeight="1">
      <c r="A249" s="3" t="s">
        <v>701</v>
      </c>
      <c r="B249" s="4" t="s">
        <v>917</v>
      </c>
      <c r="C249" s="4" t="s">
        <v>602</v>
      </c>
      <c r="D249" s="4" t="s">
        <v>921</v>
      </c>
      <c r="E249" s="60">
        <v>200</v>
      </c>
      <c r="F249" s="29">
        <f>прил7!G164+прил7!G619</f>
        <v>686316.8</v>
      </c>
      <c r="G249" s="29"/>
    </row>
    <row r="250" spans="1:7" ht="24" customHeight="1">
      <c r="A250" s="3" t="s">
        <v>1040</v>
      </c>
      <c r="B250" s="4" t="s">
        <v>917</v>
      </c>
      <c r="C250" s="4" t="s">
        <v>602</v>
      </c>
      <c r="D250" s="4" t="s">
        <v>921</v>
      </c>
      <c r="E250" s="60">
        <v>800</v>
      </c>
      <c r="F250" s="29">
        <f>прил7!G376+прил7!G165+прил7!G620</f>
        <v>246328.51</v>
      </c>
      <c r="G250" s="29"/>
    </row>
    <row r="251" spans="1:7" ht="60" customHeight="1">
      <c r="A251" s="72" t="s">
        <v>60</v>
      </c>
      <c r="B251" s="9" t="s">
        <v>47</v>
      </c>
      <c r="C251" s="9"/>
      <c r="D251" s="9"/>
      <c r="E251" s="71"/>
      <c r="F251" s="33">
        <f>F252+F259+F275</f>
        <v>38712956.279999994</v>
      </c>
      <c r="G251" s="33">
        <f>G252+G259</f>
        <v>1758900</v>
      </c>
    </row>
    <row r="252" spans="1:7" ht="17.25">
      <c r="A252" s="8" t="s">
        <v>603</v>
      </c>
      <c r="B252" s="9" t="s">
        <v>47</v>
      </c>
      <c r="C252" s="9" t="s">
        <v>50</v>
      </c>
      <c r="D252" s="9"/>
      <c r="E252" s="4"/>
      <c r="F252" s="33">
        <f>F253</f>
        <v>1758900</v>
      </c>
      <c r="G252" s="33">
        <f>G253</f>
        <v>1758900</v>
      </c>
    </row>
    <row r="253" spans="1:7" ht="61.5">
      <c r="A253" s="27" t="s">
        <v>104</v>
      </c>
      <c r="B253" s="4" t="s">
        <v>47</v>
      </c>
      <c r="C253" s="4" t="s">
        <v>50</v>
      </c>
      <c r="D253" s="4" t="s">
        <v>705</v>
      </c>
      <c r="E253" s="4"/>
      <c r="F253" s="29">
        <f>F254</f>
        <v>1758900</v>
      </c>
      <c r="G253" s="29">
        <f aca="true" t="shared" si="0" ref="G253:G258">F253</f>
        <v>1758900</v>
      </c>
    </row>
    <row r="254" spans="1:7" ht="46.5">
      <c r="A254" s="27" t="s">
        <v>96</v>
      </c>
      <c r="B254" s="4" t="s">
        <v>47</v>
      </c>
      <c r="C254" s="4" t="s">
        <v>50</v>
      </c>
      <c r="D254" s="4" t="s">
        <v>717</v>
      </c>
      <c r="E254" s="4"/>
      <c r="F254" s="29">
        <f>F255</f>
        <v>1758900</v>
      </c>
      <c r="G254" s="29">
        <f t="shared" si="0"/>
        <v>1758900</v>
      </c>
    </row>
    <row r="255" spans="1:7" ht="61.5">
      <c r="A255" s="27" t="s">
        <v>448</v>
      </c>
      <c r="B255" s="4" t="s">
        <v>47</v>
      </c>
      <c r="C255" s="4" t="s">
        <v>50</v>
      </c>
      <c r="D255" s="4" t="s">
        <v>449</v>
      </c>
      <c r="E255" s="4"/>
      <c r="F255" s="29">
        <f>F256</f>
        <v>1758900</v>
      </c>
      <c r="G255" s="29">
        <f t="shared" si="0"/>
        <v>1758900</v>
      </c>
    </row>
    <row r="256" spans="1:7" ht="154.5">
      <c r="A256" s="3" t="s">
        <v>450</v>
      </c>
      <c r="B256" s="4" t="s">
        <v>47</v>
      </c>
      <c r="C256" s="4" t="s">
        <v>50</v>
      </c>
      <c r="D256" s="4" t="s">
        <v>451</v>
      </c>
      <c r="E256" s="4"/>
      <c r="F256" s="29">
        <f>F257+F258</f>
        <v>1758900</v>
      </c>
      <c r="G256" s="29">
        <f t="shared" si="0"/>
        <v>1758900</v>
      </c>
    </row>
    <row r="257" spans="1:7" ht="123.75">
      <c r="A257" s="3" t="s">
        <v>92</v>
      </c>
      <c r="B257" s="4" t="s">
        <v>47</v>
      </c>
      <c r="C257" s="4" t="s">
        <v>50</v>
      </c>
      <c r="D257" s="4" t="s">
        <v>451</v>
      </c>
      <c r="E257" s="4" t="s">
        <v>604</v>
      </c>
      <c r="F257" s="29">
        <f>прил7!G172</f>
        <v>1659283.14</v>
      </c>
      <c r="G257" s="29">
        <f t="shared" si="0"/>
        <v>1659283.14</v>
      </c>
    </row>
    <row r="258" spans="1:7" ht="46.5">
      <c r="A258" s="3" t="s">
        <v>701</v>
      </c>
      <c r="B258" s="4" t="s">
        <v>47</v>
      </c>
      <c r="C258" s="4" t="s">
        <v>50</v>
      </c>
      <c r="D258" s="4" t="s">
        <v>451</v>
      </c>
      <c r="E258" s="4" t="s">
        <v>605</v>
      </c>
      <c r="F258" s="29">
        <f>прил7!G173</f>
        <v>99616.86</v>
      </c>
      <c r="G258" s="29">
        <f t="shared" si="0"/>
        <v>99616.86</v>
      </c>
    </row>
    <row r="259" spans="1:11" ht="61.5">
      <c r="A259" s="1" t="s">
        <v>5</v>
      </c>
      <c r="B259" s="9" t="s">
        <v>47</v>
      </c>
      <c r="C259" s="9" t="s">
        <v>46</v>
      </c>
      <c r="D259" s="9"/>
      <c r="E259" s="9"/>
      <c r="F259" s="33">
        <f>F260</f>
        <v>36622582.279999994</v>
      </c>
      <c r="G259" s="33"/>
      <c r="K259" s="26"/>
    </row>
    <row r="260" spans="1:11" ht="77.25">
      <c r="A260" s="3" t="s">
        <v>108</v>
      </c>
      <c r="B260" s="4" t="s">
        <v>47</v>
      </c>
      <c r="C260" s="4" t="s">
        <v>46</v>
      </c>
      <c r="D260" s="4" t="s">
        <v>630</v>
      </c>
      <c r="E260" s="4"/>
      <c r="F260" s="29">
        <f>F261</f>
        <v>36622582.279999994</v>
      </c>
      <c r="G260" s="29"/>
      <c r="K260" s="26"/>
    </row>
    <row r="261" spans="1:7" ht="77.25">
      <c r="A261" s="3" t="s">
        <v>132</v>
      </c>
      <c r="B261" s="4" t="s">
        <v>47</v>
      </c>
      <c r="C261" s="4" t="s">
        <v>46</v>
      </c>
      <c r="D261" s="4" t="s">
        <v>452</v>
      </c>
      <c r="E261" s="4"/>
      <c r="F261" s="29">
        <f>F262+F265+F272</f>
        <v>36622582.279999994</v>
      </c>
      <c r="G261" s="29"/>
    </row>
    <row r="262" spans="1:7" ht="61.5">
      <c r="A262" s="3" t="s">
        <v>453</v>
      </c>
      <c r="B262" s="4" t="s">
        <v>47</v>
      </c>
      <c r="C262" s="4" t="s">
        <v>46</v>
      </c>
      <c r="D262" s="4" t="s">
        <v>109</v>
      </c>
      <c r="E262" s="4"/>
      <c r="F262" s="29">
        <f>F263</f>
        <v>190060.8</v>
      </c>
      <c r="G262" s="29"/>
    </row>
    <row r="263" spans="1:7" ht="30.75">
      <c r="A263" s="3" t="s">
        <v>523</v>
      </c>
      <c r="B263" s="4" t="s">
        <v>47</v>
      </c>
      <c r="C263" s="4" t="s">
        <v>46</v>
      </c>
      <c r="D263" s="4" t="s">
        <v>110</v>
      </c>
      <c r="E263" s="4"/>
      <c r="F263" s="29">
        <f>F264</f>
        <v>190060.8</v>
      </c>
      <c r="G263" s="29"/>
    </row>
    <row r="264" spans="1:7" ht="46.5">
      <c r="A264" s="3" t="s">
        <v>701</v>
      </c>
      <c r="B264" s="4" t="s">
        <v>47</v>
      </c>
      <c r="C264" s="4" t="s">
        <v>46</v>
      </c>
      <c r="D264" s="4" t="s">
        <v>110</v>
      </c>
      <c r="E264" s="4" t="s">
        <v>605</v>
      </c>
      <c r="F264" s="29">
        <f>прил7!G179</f>
        <v>190060.8</v>
      </c>
      <c r="G264" s="29"/>
    </row>
    <row r="265" spans="1:7" ht="84.75" customHeight="1">
      <c r="A265" s="3" t="s">
        <v>111</v>
      </c>
      <c r="B265" s="4" t="s">
        <v>47</v>
      </c>
      <c r="C265" s="4" t="s">
        <v>46</v>
      </c>
      <c r="D265" s="4" t="s">
        <v>112</v>
      </c>
      <c r="E265" s="4"/>
      <c r="F265" s="29">
        <f>F266+F270</f>
        <v>35252844.809999995</v>
      </c>
      <c r="G265" s="29"/>
    </row>
    <row r="266" spans="1:7" ht="108">
      <c r="A266" s="3" t="s">
        <v>749</v>
      </c>
      <c r="B266" s="4" t="s">
        <v>47</v>
      </c>
      <c r="C266" s="4" t="s">
        <v>46</v>
      </c>
      <c r="D266" s="4" t="s">
        <v>99</v>
      </c>
      <c r="E266" s="4"/>
      <c r="F266" s="29">
        <f>F267+F268+F269</f>
        <v>34564334.809999995</v>
      </c>
      <c r="G266" s="29"/>
    </row>
    <row r="267" spans="1:7" ht="123.75">
      <c r="A267" s="3" t="s">
        <v>92</v>
      </c>
      <c r="B267" s="4" t="s">
        <v>47</v>
      </c>
      <c r="C267" s="4" t="s">
        <v>46</v>
      </c>
      <c r="D267" s="4" t="s">
        <v>99</v>
      </c>
      <c r="E267" s="4" t="s">
        <v>604</v>
      </c>
      <c r="F267" s="29">
        <f>прил7!G182</f>
        <v>29442991.5</v>
      </c>
      <c r="G267" s="29"/>
    </row>
    <row r="268" spans="1:7" ht="46.5">
      <c r="A268" s="3" t="s">
        <v>701</v>
      </c>
      <c r="B268" s="4" t="s">
        <v>47</v>
      </c>
      <c r="C268" s="4" t="s">
        <v>46</v>
      </c>
      <c r="D268" s="4" t="s">
        <v>99</v>
      </c>
      <c r="E268" s="4" t="s">
        <v>605</v>
      </c>
      <c r="F268" s="29">
        <f>прил7!G183</f>
        <v>4945297.01</v>
      </c>
      <c r="G268" s="29"/>
    </row>
    <row r="269" spans="1:7" ht="15">
      <c r="A269" s="3" t="s">
        <v>1040</v>
      </c>
      <c r="B269" s="4" t="s">
        <v>47</v>
      </c>
      <c r="C269" s="4" t="s">
        <v>46</v>
      </c>
      <c r="D269" s="4" t="s">
        <v>99</v>
      </c>
      <c r="E269" s="4" t="s">
        <v>608</v>
      </c>
      <c r="F269" s="29">
        <f>прил7!G184</f>
        <v>176046.3</v>
      </c>
      <c r="G269" s="29"/>
    </row>
    <row r="270" spans="1:7" ht="108">
      <c r="A270" s="3" t="s">
        <v>587</v>
      </c>
      <c r="B270" s="4" t="s">
        <v>47</v>
      </c>
      <c r="C270" s="4" t="s">
        <v>46</v>
      </c>
      <c r="D270" s="4" t="s">
        <v>113</v>
      </c>
      <c r="E270" s="4"/>
      <c r="F270" s="29">
        <f>F271</f>
        <v>688510</v>
      </c>
      <c r="G270" s="29"/>
    </row>
    <row r="271" spans="1:7" ht="123.75">
      <c r="A271" s="3" t="s">
        <v>506</v>
      </c>
      <c r="B271" s="4" t="s">
        <v>47</v>
      </c>
      <c r="C271" s="4" t="s">
        <v>46</v>
      </c>
      <c r="D271" s="4" t="s">
        <v>113</v>
      </c>
      <c r="E271" s="4" t="s">
        <v>604</v>
      </c>
      <c r="F271" s="29">
        <f>прил7!G186</f>
        <v>688510</v>
      </c>
      <c r="G271" s="29"/>
    </row>
    <row r="272" spans="1:7" ht="30.75">
      <c r="A272" s="3" t="s">
        <v>114</v>
      </c>
      <c r="B272" s="4" t="s">
        <v>47</v>
      </c>
      <c r="C272" s="4" t="s">
        <v>46</v>
      </c>
      <c r="D272" s="4" t="s">
        <v>115</v>
      </c>
      <c r="E272" s="4"/>
      <c r="F272" s="29">
        <f>F273</f>
        <v>1179676.67</v>
      </c>
      <c r="G272" s="29"/>
    </row>
    <row r="273" spans="1:7" ht="30.75">
      <c r="A273" s="3" t="s">
        <v>523</v>
      </c>
      <c r="B273" s="4" t="s">
        <v>47</v>
      </c>
      <c r="C273" s="4" t="s">
        <v>46</v>
      </c>
      <c r="D273" s="4" t="s">
        <v>116</v>
      </c>
      <c r="E273" s="4"/>
      <c r="F273" s="29">
        <f>F274</f>
        <v>1179676.67</v>
      </c>
      <c r="G273" s="29"/>
    </row>
    <row r="274" spans="1:7" ht="46.5">
      <c r="A274" s="3" t="s">
        <v>701</v>
      </c>
      <c r="B274" s="4" t="s">
        <v>47</v>
      </c>
      <c r="C274" s="4" t="s">
        <v>46</v>
      </c>
      <c r="D274" s="4" t="s">
        <v>116</v>
      </c>
      <c r="E274" s="4" t="s">
        <v>605</v>
      </c>
      <c r="F274" s="29">
        <f>прил7!G189</f>
        <v>1179676.67</v>
      </c>
      <c r="G274" s="29"/>
    </row>
    <row r="275" spans="1:7" ht="61.5">
      <c r="A275" s="1" t="s">
        <v>746</v>
      </c>
      <c r="B275" s="2" t="s">
        <v>47</v>
      </c>
      <c r="C275" s="2" t="s">
        <v>567</v>
      </c>
      <c r="D275" s="2"/>
      <c r="E275" s="215"/>
      <c r="F275" s="33">
        <f>F276</f>
        <v>331474</v>
      </c>
      <c r="G275" s="33"/>
    </row>
    <row r="276" spans="1:7" ht="77.25">
      <c r="A276" s="3" t="s">
        <v>108</v>
      </c>
      <c r="B276" s="4" t="s">
        <v>47</v>
      </c>
      <c r="C276" s="4" t="s">
        <v>567</v>
      </c>
      <c r="D276" s="4" t="s">
        <v>630</v>
      </c>
      <c r="E276" s="60"/>
      <c r="F276" s="29">
        <f>F277</f>
        <v>331474</v>
      </c>
      <c r="G276" s="29"/>
    </row>
    <row r="277" spans="1:7" ht="61.5">
      <c r="A277" s="3" t="s">
        <v>130</v>
      </c>
      <c r="B277" s="4" t="s">
        <v>47</v>
      </c>
      <c r="C277" s="4" t="s">
        <v>567</v>
      </c>
      <c r="D277" s="4" t="s">
        <v>631</v>
      </c>
      <c r="E277" s="60"/>
      <c r="F277" s="29">
        <f>F278</f>
        <v>331474</v>
      </c>
      <c r="G277" s="29"/>
    </row>
    <row r="278" spans="1:7" ht="46.5">
      <c r="A278" s="3" t="s">
        <v>178</v>
      </c>
      <c r="B278" s="4" t="s">
        <v>47</v>
      </c>
      <c r="C278" s="4" t="s">
        <v>567</v>
      </c>
      <c r="D278" s="4" t="s">
        <v>179</v>
      </c>
      <c r="E278" s="60"/>
      <c r="F278" s="29">
        <f>F279</f>
        <v>331474</v>
      </c>
      <c r="G278" s="29"/>
    </row>
    <row r="279" spans="1:7" ht="46.5">
      <c r="A279" s="3" t="s">
        <v>131</v>
      </c>
      <c r="B279" s="4" t="s">
        <v>47</v>
      </c>
      <c r="C279" s="4" t="s">
        <v>567</v>
      </c>
      <c r="D279" s="4" t="s">
        <v>282</v>
      </c>
      <c r="E279" s="60"/>
      <c r="F279" s="29">
        <f>F280</f>
        <v>331474</v>
      </c>
      <c r="G279" s="29"/>
    </row>
    <row r="280" spans="1:7" ht="61.5">
      <c r="A280" s="3" t="s">
        <v>525</v>
      </c>
      <c r="B280" s="4" t="s">
        <v>47</v>
      </c>
      <c r="C280" s="4" t="s">
        <v>567</v>
      </c>
      <c r="D280" s="4" t="s">
        <v>282</v>
      </c>
      <c r="E280" s="60">
        <v>600</v>
      </c>
      <c r="F280" s="29">
        <f>прил7!G676</f>
        <v>331474</v>
      </c>
      <c r="G280" s="29"/>
    </row>
    <row r="281" spans="1:12" ht="17.25">
      <c r="A281" s="10" t="s">
        <v>61</v>
      </c>
      <c r="B281" s="11" t="s">
        <v>50</v>
      </c>
      <c r="C281" s="56"/>
      <c r="D281" s="23"/>
      <c r="E281" s="23"/>
      <c r="F281" s="28">
        <f>F282+F290+F305+F319+F361</f>
        <v>201454619.51</v>
      </c>
      <c r="G281" s="28">
        <f>G282+G290+G305+G319+G361</f>
        <v>28573759.790000003</v>
      </c>
      <c r="K281" s="26">
        <f>прил7!G42+прил7!G190+прил7!G377+прил7!G621+прил7!G677+прил7!G872+прил7!G1052</f>
        <v>201454619.51</v>
      </c>
      <c r="L281" s="26">
        <f>прил7!H42+прил7!H190+прил7!H377+прил7!H621+прил7!H677+прил7!H872+прил7!H1052</f>
        <v>28573759.790000003</v>
      </c>
    </row>
    <row r="282" spans="1:12" ht="30.75">
      <c r="A282" s="1" t="s">
        <v>907</v>
      </c>
      <c r="B282" s="2" t="s">
        <v>50</v>
      </c>
      <c r="C282" s="2" t="s">
        <v>42</v>
      </c>
      <c r="D282" s="2"/>
      <c r="E282" s="2"/>
      <c r="F282" s="33">
        <f aca="true" t="shared" si="1" ref="F282:G284">F283</f>
        <v>1760542.6</v>
      </c>
      <c r="G282" s="33">
        <f t="shared" si="1"/>
        <v>1760542.6</v>
      </c>
      <c r="K282" s="26">
        <f>K281-F281</f>
        <v>0</v>
      </c>
      <c r="L282" s="26">
        <f>G281-L281</f>
        <v>0</v>
      </c>
    </row>
    <row r="283" spans="1:7" ht="77.25">
      <c r="A283" s="3" t="s">
        <v>1035</v>
      </c>
      <c r="B283" s="4" t="s">
        <v>50</v>
      </c>
      <c r="C283" s="4" t="s">
        <v>42</v>
      </c>
      <c r="D283" s="4" t="s">
        <v>977</v>
      </c>
      <c r="E283" s="2"/>
      <c r="F283" s="29">
        <f t="shared" si="1"/>
        <v>1760542.6</v>
      </c>
      <c r="G283" s="29">
        <f t="shared" si="1"/>
        <v>1760542.6</v>
      </c>
    </row>
    <row r="284" spans="1:7" ht="61.5">
      <c r="A284" s="3" t="s">
        <v>175</v>
      </c>
      <c r="B284" s="4" t="s">
        <v>50</v>
      </c>
      <c r="C284" s="4" t="s">
        <v>42</v>
      </c>
      <c r="D284" s="4" t="s">
        <v>458</v>
      </c>
      <c r="E284" s="2"/>
      <c r="F284" s="29">
        <f t="shared" si="1"/>
        <v>1760542.6</v>
      </c>
      <c r="G284" s="29">
        <f t="shared" si="1"/>
        <v>1760542.6</v>
      </c>
    </row>
    <row r="285" spans="1:7" ht="46.5">
      <c r="A285" s="3" t="s">
        <v>459</v>
      </c>
      <c r="B285" s="4" t="s">
        <v>50</v>
      </c>
      <c r="C285" s="4" t="s">
        <v>42</v>
      </c>
      <c r="D285" s="4" t="s">
        <v>460</v>
      </c>
      <c r="E285" s="4"/>
      <c r="F285" s="29">
        <f>F286+F288</f>
        <v>1760542.6</v>
      </c>
      <c r="G285" s="29">
        <f>F285</f>
        <v>1760542.6</v>
      </c>
    </row>
    <row r="286" spans="1:7" ht="61.5">
      <c r="A286" s="3" t="s">
        <v>908</v>
      </c>
      <c r="B286" s="4" t="s">
        <v>50</v>
      </c>
      <c r="C286" s="4" t="s">
        <v>42</v>
      </c>
      <c r="D286" s="4" t="s">
        <v>461</v>
      </c>
      <c r="E286" s="4"/>
      <c r="F286" s="29">
        <f>F287</f>
        <v>1742922.6</v>
      </c>
      <c r="G286" s="29">
        <f>F286</f>
        <v>1742922.6</v>
      </c>
    </row>
    <row r="287" spans="1:7" ht="53.25" customHeight="1">
      <c r="A287" s="3" t="s">
        <v>701</v>
      </c>
      <c r="B287" s="4" t="s">
        <v>50</v>
      </c>
      <c r="C287" s="4" t="s">
        <v>42</v>
      </c>
      <c r="D287" s="4" t="s">
        <v>461</v>
      </c>
      <c r="E287" s="4" t="s">
        <v>605</v>
      </c>
      <c r="F287" s="29">
        <f>прил7!G383</f>
        <v>1742922.6</v>
      </c>
      <c r="G287" s="29">
        <f>F287</f>
        <v>1742922.6</v>
      </c>
    </row>
    <row r="288" spans="1:7" ht="108">
      <c r="A288" s="3" t="s">
        <v>767</v>
      </c>
      <c r="B288" s="4" t="s">
        <v>50</v>
      </c>
      <c r="C288" s="4" t="s">
        <v>42</v>
      </c>
      <c r="D288" s="4" t="s">
        <v>768</v>
      </c>
      <c r="E288" s="4"/>
      <c r="F288" s="29">
        <f>F289</f>
        <v>17620</v>
      </c>
      <c r="G288" s="29">
        <f>F288</f>
        <v>17620</v>
      </c>
    </row>
    <row r="289" spans="1:7" ht="46.5">
      <c r="A289" s="27" t="s">
        <v>701</v>
      </c>
      <c r="B289" s="4" t="s">
        <v>50</v>
      </c>
      <c r="C289" s="4" t="s">
        <v>42</v>
      </c>
      <c r="D289" s="4" t="s">
        <v>768</v>
      </c>
      <c r="E289" s="4" t="s">
        <v>605</v>
      </c>
      <c r="F289" s="29">
        <f>прил7!G385</f>
        <v>17620</v>
      </c>
      <c r="G289" s="29">
        <f>F289</f>
        <v>17620</v>
      </c>
    </row>
    <row r="290" spans="1:10" ht="15">
      <c r="A290" s="20" t="s">
        <v>62</v>
      </c>
      <c r="B290" s="2" t="s">
        <v>50</v>
      </c>
      <c r="C290" s="2" t="s">
        <v>44</v>
      </c>
      <c r="D290" s="4"/>
      <c r="E290" s="4"/>
      <c r="F290" s="33">
        <f>F291</f>
        <v>29502479</v>
      </c>
      <c r="G290" s="33">
        <f>G291</f>
        <v>942100</v>
      </c>
      <c r="H290" s="33">
        <f>H291</f>
        <v>0</v>
      </c>
      <c r="I290" s="33">
        <f>I291</f>
        <v>0</v>
      </c>
      <c r="J290" s="33">
        <f>J291</f>
        <v>0</v>
      </c>
    </row>
    <row r="291" spans="1:7" ht="77.25">
      <c r="A291" s="3" t="s">
        <v>1035</v>
      </c>
      <c r="B291" s="4" t="s">
        <v>50</v>
      </c>
      <c r="C291" s="4" t="s">
        <v>44</v>
      </c>
      <c r="D291" s="4" t="s">
        <v>977</v>
      </c>
      <c r="E291" s="4"/>
      <c r="F291" s="29">
        <f>F292</f>
        <v>29502479</v>
      </c>
      <c r="G291" s="29">
        <f>G292</f>
        <v>942100</v>
      </c>
    </row>
    <row r="292" spans="1:7" ht="46.5">
      <c r="A292" s="3" t="s">
        <v>1</v>
      </c>
      <c r="B292" s="4" t="s">
        <v>50</v>
      </c>
      <c r="C292" s="4" t="s">
        <v>44</v>
      </c>
      <c r="D292" s="4" t="s">
        <v>978</v>
      </c>
      <c r="E292" s="4"/>
      <c r="F292" s="29">
        <f>F293+F299+F302+F296</f>
        <v>29502479</v>
      </c>
      <c r="G292" s="29">
        <f>G293+G299</f>
        <v>942100</v>
      </c>
    </row>
    <row r="293" spans="1:7" ht="93">
      <c r="A293" s="221" t="s">
        <v>979</v>
      </c>
      <c r="B293" s="222" t="s">
        <v>50</v>
      </c>
      <c r="C293" s="222" t="s">
        <v>44</v>
      </c>
      <c r="D293" s="222" t="s">
        <v>980</v>
      </c>
      <c r="E293" s="222"/>
      <c r="F293" s="223">
        <f>F294</f>
        <v>20530379</v>
      </c>
      <c r="G293" s="29"/>
    </row>
    <row r="294" spans="1:7" ht="61.5">
      <c r="A294" s="221" t="s">
        <v>754</v>
      </c>
      <c r="B294" s="222" t="s">
        <v>50</v>
      </c>
      <c r="C294" s="222" t="s">
        <v>44</v>
      </c>
      <c r="D294" s="222" t="s">
        <v>981</v>
      </c>
      <c r="E294" s="222"/>
      <c r="F294" s="223">
        <f>F295</f>
        <v>20530379</v>
      </c>
      <c r="G294" s="29"/>
    </row>
    <row r="295" spans="1:7" ht="15">
      <c r="A295" s="221" t="s">
        <v>1040</v>
      </c>
      <c r="B295" s="222" t="s">
        <v>50</v>
      </c>
      <c r="C295" s="222" t="s">
        <v>44</v>
      </c>
      <c r="D295" s="222" t="s">
        <v>981</v>
      </c>
      <c r="E295" s="222" t="s">
        <v>608</v>
      </c>
      <c r="F295" s="223">
        <f>прил7!G196</f>
        <v>20530379</v>
      </c>
      <c r="G295" s="29"/>
    </row>
    <row r="296" spans="1:7" ht="46.5">
      <c r="A296" s="3" t="s">
        <v>1211</v>
      </c>
      <c r="B296" s="4" t="s">
        <v>50</v>
      </c>
      <c r="C296" s="4" t="s">
        <v>44</v>
      </c>
      <c r="D296" s="4" t="s">
        <v>1212</v>
      </c>
      <c r="E296" s="4"/>
      <c r="F296" s="29">
        <f>F297</f>
        <v>30000</v>
      </c>
      <c r="G296" s="29"/>
    </row>
    <row r="297" spans="1:7" ht="30.75">
      <c r="A297" s="3" t="s">
        <v>523</v>
      </c>
      <c r="B297" s="4" t="s">
        <v>50</v>
      </c>
      <c r="C297" s="4" t="s">
        <v>44</v>
      </c>
      <c r="D297" s="4" t="s">
        <v>1213</v>
      </c>
      <c r="E297" s="4"/>
      <c r="F297" s="29">
        <f>F298</f>
        <v>30000</v>
      </c>
      <c r="G297" s="29"/>
    </row>
    <row r="298" spans="1:7" ht="46.5">
      <c r="A298" s="3" t="s">
        <v>701</v>
      </c>
      <c r="B298" s="4" t="s">
        <v>50</v>
      </c>
      <c r="C298" s="4" t="s">
        <v>44</v>
      </c>
      <c r="D298" s="4" t="s">
        <v>1213</v>
      </c>
      <c r="E298" s="4" t="s">
        <v>605</v>
      </c>
      <c r="F298" s="29">
        <f>прил7!G199</f>
        <v>30000</v>
      </c>
      <c r="G298" s="29"/>
    </row>
    <row r="299" spans="1:7" ht="108">
      <c r="A299" s="3" t="s">
        <v>982</v>
      </c>
      <c r="B299" s="4" t="s">
        <v>50</v>
      </c>
      <c r="C299" s="4" t="s">
        <v>44</v>
      </c>
      <c r="D299" s="4" t="s">
        <v>983</v>
      </c>
      <c r="E299" s="4"/>
      <c r="F299" s="29">
        <f>F300</f>
        <v>942100</v>
      </c>
      <c r="G299" s="29">
        <f>F299</f>
        <v>942100</v>
      </c>
    </row>
    <row r="300" spans="1:7" ht="154.5">
      <c r="A300" s="3" t="s">
        <v>984</v>
      </c>
      <c r="B300" s="4" t="s">
        <v>50</v>
      </c>
      <c r="C300" s="4" t="s">
        <v>44</v>
      </c>
      <c r="D300" s="4" t="s">
        <v>985</v>
      </c>
      <c r="E300" s="4"/>
      <c r="F300" s="29">
        <f>F301</f>
        <v>942100</v>
      </c>
      <c r="G300" s="29">
        <f>F300</f>
        <v>942100</v>
      </c>
    </row>
    <row r="301" spans="1:7" ht="15">
      <c r="A301" s="3" t="s">
        <v>1040</v>
      </c>
      <c r="B301" s="4" t="s">
        <v>50</v>
      </c>
      <c r="C301" s="4" t="s">
        <v>44</v>
      </c>
      <c r="D301" s="4" t="s">
        <v>985</v>
      </c>
      <c r="E301" s="4" t="s">
        <v>608</v>
      </c>
      <c r="F301" s="29">
        <f>прил7!G202</f>
        <v>942100</v>
      </c>
      <c r="G301" s="29">
        <f>F301</f>
        <v>942100</v>
      </c>
    </row>
    <row r="302" spans="1:7" ht="15">
      <c r="A302" s="3" t="s">
        <v>1204</v>
      </c>
      <c r="B302" s="4" t="s">
        <v>50</v>
      </c>
      <c r="C302" s="4" t="s">
        <v>44</v>
      </c>
      <c r="D302" s="4" t="s">
        <v>1205</v>
      </c>
      <c r="E302" s="4"/>
      <c r="F302" s="29">
        <f>F303</f>
        <v>8000000</v>
      </c>
      <c r="G302" s="29"/>
    </row>
    <row r="303" spans="1:7" ht="30.75">
      <c r="A303" s="3" t="s">
        <v>523</v>
      </c>
      <c r="B303" s="4" t="s">
        <v>50</v>
      </c>
      <c r="C303" s="4" t="s">
        <v>44</v>
      </c>
      <c r="D303" s="4" t="s">
        <v>1206</v>
      </c>
      <c r="E303" s="4"/>
      <c r="F303" s="29">
        <f>F304</f>
        <v>8000000</v>
      </c>
      <c r="G303" s="29"/>
    </row>
    <row r="304" spans="1:7" ht="46.5">
      <c r="A304" s="3" t="s">
        <v>701</v>
      </c>
      <c r="B304" s="4" t="s">
        <v>50</v>
      </c>
      <c r="C304" s="4" t="s">
        <v>44</v>
      </c>
      <c r="D304" s="4" t="s">
        <v>1206</v>
      </c>
      <c r="E304" s="4" t="s">
        <v>605</v>
      </c>
      <c r="F304" s="29">
        <f>прил7!G205</f>
        <v>8000000</v>
      </c>
      <c r="G304" s="29"/>
    </row>
    <row r="305" spans="1:13" ht="30.75">
      <c r="A305" s="13" t="s">
        <v>1039</v>
      </c>
      <c r="B305" s="5" t="s">
        <v>50</v>
      </c>
      <c r="C305" s="5" t="s">
        <v>46</v>
      </c>
      <c r="D305" s="23"/>
      <c r="E305" s="23"/>
      <c r="F305" s="28">
        <f>F306</f>
        <v>133790238.77000001</v>
      </c>
      <c r="G305" s="28">
        <f>G306</f>
        <v>25821517.19</v>
      </c>
      <c r="M305" s="162"/>
    </row>
    <row r="306" spans="1:7" ht="61.5">
      <c r="A306" s="3" t="s">
        <v>1036</v>
      </c>
      <c r="B306" s="4" t="s">
        <v>50</v>
      </c>
      <c r="C306" s="4" t="s">
        <v>46</v>
      </c>
      <c r="D306" s="4" t="s">
        <v>769</v>
      </c>
      <c r="E306" s="4"/>
      <c r="F306" s="29">
        <f>F307+F312</f>
        <v>133790238.77000001</v>
      </c>
      <c r="G306" s="29">
        <f>G307</f>
        <v>25821517.19</v>
      </c>
    </row>
    <row r="307" spans="1:7" ht="61.5">
      <c r="A307" s="3" t="s">
        <v>1113</v>
      </c>
      <c r="B307" s="4" t="s">
        <v>50</v>
      </c>
      <c r="C307" s="4" t="s">
        <v>46</v>
      </c>
      <c r="D307" s="4" t="s">
        <v>770</v>
      </c>
      <c r="E307" s="4"/>
      <c r="F307" s="29">
        <f>F310+F308</f>
        <v>36521517.19</v>
      </c>
      <c r="G307" s="29">
        <f>G308</f>
        <v>25821517.19</v>
      </c>
    </row>
    <row r="308" spans="1:7" ht="93">
      <c r="A308" s="3" t="s">
        <v>1087</v>
      </c>
      <c r="B308" s="4" t="s">
        <v>50</v>
      </c>
      <c r="C308" s="4" t="s">
        <v>46</v>
      </c>
      <c r="D308" s="4" t="s">
        <v>1114</v>
      </c>
      <c r="E308" s="4"/>
      <c r="F308" s="29">
        <f>F309</f>
        <v>25821517.19</v>
      </c>
      <c r="G308" s="29">
        <f>G309</f>
        <v>25821517.19</v>
      </c>
    </row>
    <row r="309" spans="1:7" ht="46.5">
      <c r="A309" s="3" t="s">
        <v>701</v>
      </c>
      <c r="B309" s="4" t="s">
        <v>50</v>
      </c>
      <c r="C309" s="4" t="s">
        <v>46</v>
      </c>
      <c r="D309" s="4" t="s">
        <v>1114</v>
      </c>
      <c r="E309" s="4" t="s">
        <v>605</v>
      </c>
      <c r="F309" s="29">
        <f>прил7!G390</f>
        <v>25821517.19</v>
      </c>
      <c r="G309" s="29">
        <f>F309</f>
        <v>25821517.19</v>
      </c>
    </row>
    <row r="310" spans="1:7" ht="93">
      <c r="A310" s="3" t="s">
        <v>1087</v>
      </c>
      <c r="B310" s="4" t="s">
        <v>50</v>
      </c>
      <c r="C310" s="4" t="s">
        <v>46</v>
      </c>
      <c r="D310" s="4" t="s">
        <v>1088</v>
      </c>
      <c r="E310" s="4"/>
      <c r="F310" s="29">
        <f>F311</f>
        <v>10700000</v>
      </c>
      <c r="G310" s="33"/>
    </row>
    <row r="311" spans="1:7" ht="46.5">
      <c r="A311" s="3" t="s">
        <v>701</v>
      </c>
      <c r="B311" s="4" t="s">
        <v>50</v>
      </c>
      <c r="C311" s="4" t="s">
        <v>46</v>
      </c>
      <c r="D311" s="4" t="s">
        <v>1088</v>
      </c>
      <c r="E311" s="4" t="s">
        <v>605</v>
      </c>
      <c r="F311" s="29">
        <f>прил7!G392</f>
        <v>10700000</v>
      </c>
      <c r="G311" s="29"/>
    </row>
    <row r="312" spans="1:7" ht="77.25">
      <c r="A312" s="3" t="s">
        <v>771</v>
      </c>
      <c r="B312" s="4" t="s">
        <v>50</v>
      </c>
      <c r="C312" s="4" t="s">
        <v>46</v>
      </c>
      <c r="D312" s="4" t="s">
        <v>772</v>
      </c>
      <c r="E312" s="4"/>
      <c r="F312" s="29">
        <f>F313+F317+F315</f>
        <v>97268721.58000001</v>
      </c>
      <c r="G312" s="29"/>
    </row>
    <row r="313" spans="1:7" ht="61.5">
      <c r="A313" s="3" t="s">
        <v>129</v>
      </c>
      <c r="B313" s="4" t="s">
        <v>50</v>
      </c>
      <c r="C313" s="4" t="s">
        <v>46</v>
      </c>
      <c r="D313" s="4" t="s">
        <v>773</v>
      </c>
      <c r="E313" s="4"/>
      <c r="F313" s="29">
        <f>F314</f>
        <v>94609376.12</v>
      </c>
      <c r="G313" s="29"/>
    </row>
    <row r="314" spans="1:7" ht="46.5">
      <c r="A314" s="3" t="s">
        <v>701</v>
      </c>
      <c r="B314" s="4" t="s">
        <v>50</v>
      </c>
      <c r="C314" s="4" t="s">
        <v>46</v>
      </c>
      <c r="D314" s="4" t="s">
        <v>773</v>
      </c>
      <c r="E314" s="4" t="s">
        <v>605</v>
      </c>
      <c r="F314" s="29">
        <f>прил7!G395</f>
        <v>94609376.12</v>
      </c>
      <c r="G314" s="29"/>
    </row>
    <row r="315" spans="1:7" ht="46.5">
      <c r="A315" s="3" t="s">
        <v>756</v>
      </c>
      <c r="B315" s="4" t="s">
        <v>50</v>
      </c>
      <c r="C315" s="4" t="s">
        <v>46</v>
      </c>
      <c r="D315" s="4" t="s">
        <v>1089</v>
      </c>
      <c r="E315" s="4"/>
      <c r="F315" s="29">
        <f>F316</f>
        <v>392749.84</v>
      </c>
      <c r="G315" s="29"/>
    </row>
    <row r="316" spans="1:7" ht="46.5">
      <c r="A316" s="3" t="s">
        <v>701</v>
      </c>
      <c r="B316" s="4" t="s">
        <v>50</v>
      </c>
      <c r="C316" s="4" t="s">
        <v>46</v>
      </c>
      <c r="D316" s="4" t="s">
        <v>1089</v>
      </c>
      <c r="E316" s="4" t="s">
        <v>605</v>
      </c>
      <c r="F316" s="29">
        <f>прил7!G397</f>
        <v>392749.84</v>
      </c>
      <c r="G316" s="29"/>
    </row>
    <row r="317" spans="1:7" ht="30.75">
      <c r="A317" s="3" t="s">
        <v>523</v>
      </c>
      <c r="B317" s="4" t="s">
        <v>50</v>
      </c>
      <c r="C317" s="4" t="s">
        <v>46</v>
      </c>
      <c r="D317" s="4" t="s">
        <v>774</v>
      </c>
      <c r="E317" s="4"/>
      <c r="F317" s="29">
        <f>F318</f>
        <v>2266595.62</v>
      </c>
      <c r="G317" s="29"/>
    </row>
    <row r="318" spans="1:7" ht="46.5">
      <c r="A318" s="3" t="s">
        <v>93</v>
      </c>
      <c r="B318" s="4" t="s">
        <v>50</v>
      </c>
      <c r="C318" s="4" t="s">
        <v>46</v>
      </c>
      <c r="D318" s="4" t="s">
        <v>774</v>
      </c>
      <c r="E318" s="4" t="s">
        <v>605</v>
      </c>
      <c r="F318" s="29">
        <f>прил7!G399</f>
        <v>2266595.62</v>
      </c>
      <c r="G318" s="29"/>
    </row>
    <row r="319" spans="1:7" ht="24" customHeight="1">
      <c r="A319" s="1" t="s">
        <v>597</v>
      </c>
      <c r="B319" s="2" t="s">
        <v>50</v>
      </c>
      <c r="C319" s="2" t="s">
        <v>48</v>
      </c>
      <c r="D319" s="2"/>
      <c r="E319" s="2"/>
      <c r="F319" s="33">
        <f>F320</f>
        <v>25063797.48</v>
      </c>
      <c r="G319" s="33">
        <f>G320</f>
        <v>11400</v>
      </c>
    </row>
    <row r="320" spans="1:15" ht="61.5">
      <c r="A320" s="1" t="s">
        <v>1034</v>
      </c>
      <c r="B320" s="2" t="s">
        <v>50</v>
      </c>
      <c r="C320" s="2" t="s">
        <v>48</v>
      </c>
      <c r="D320" s="2" t="s">
        <v>712</v>
      </c>
      <c r="E320" s="2"/>
      <c r="F320" s="33">
        <f>F321+F329</f>
        <v>25063797.48</v>
      </c>
      <c r="G320" s="33">
        <f>G321+G329</f>
        <v>11400</v>
      </c>
      <c r="O320" s="26"/>
    </row>
    <row r="321" spans="1:15" ht="61.5">
      <c r="A321" s="3" t="s">
        <v>818</v>
      </c>
      <c r="B321" s="4" t="s">
        <v>50</v>
      </c>
      <c r="C321" s="4" t="s">
        <v>48</v>
      </c>
      <c r="D321" s="4" t="s">
        <v>986</v>
      </c>
      <c r="E321" s="4"/>
      <c r="F321" s="29">
        <f>F322</f>
        <v>10037861.7</v>
      </c>
      <c r="G321" s="29"/>
      <c r="O321" s="26"/>
    </row>
    <row r="322" spans="1:7" ht="123.75">
      <c r="A322" s="3" t="s">
        <v>987</v>
      </c>
      <c r="B322" s="4" t="s">
        <v>50</v>
      </c>
      <c r="C322" s="4" t="s">
        <v>48</v>
      </c>
      <c r="D322" s="4" t="s">
        <v>988</v>
      </c>
      <c r="E322" s="4"/>
      <c r="F322" s="29">
        <f>F323+F327</f>
        <v>10037861.7</v>
      </c>
      <c r="G322" s="29"/>
    </row>
    <row r="323" spans="1:7" ht="108">
      <c r="A323" s="3" t="s">
        <v>749</v>
      </c>
      <c r="B323" s="4" t="s">
        <v>50</v>
      </c>
      <c r="C323" s="4" t="s">
        <v>48</v>
      </c>
      <c r="D323" s="4" t="s">
        <v>989</v>
      </c>
      <c r="E323" s="4"/>
      <c r="F323" s="29">
        <f>F324+F325</f>
        <v>9737861.7</v>
      </c>
      <c r="G323" s="29"/>
    </row>
    <row r="324" spans="1:7" ht="123.75">
      <c r="A324" s="3" t="s">
        <v>92</v>
      </c>
      <c r="B324" s="4" t="s">
        <v>50</v>
      </c>
      <c r="C324" s="4" t="s">
        <v>48</v>
      </c>
      <c r="D324" s="4" t="s">
        <v>989</v>
      </c>
      <c r="E324" s="4" t="s">
        <v>604</v>
      </c>
      <c r="F324" s="29">
        <f>прил7!G211</f>
        <v>9638261.7</v>
      </c>
      <c r="G324" s="29"/>
    </row>
    <row r="325" spans="1:7" ht="46.5">
      <c r="A325" s="3" t="s">
        <v>701</v>
      </c>
      <c r="B325" s="4" t="s">
        <v>50</v>
      </c>
      <c r="C325" s="4" t="s">
        <v>48</v>
      </c>
      <c r="D325" s="4" t="s">
        <v>989</v>
      </c>
      <c r="E325" s="4" t="s">
        <v>605</v>
      </c>
      <c r="F325" s="29">
        <f>прил7!G212</f>
        <v>99600</v>
      </c>
      <c r="G325" s="29"/>
    </row>
    <row r="326" spans="1:7" ht="15" hidden="1">
      <c r="A326" s="3" t="s">
        <v>1040</v>
      </c>
      <c r="B326" s="4" t="s">
        <v>50</v>
      </c>
      <c r="C326" s="4" t="s">
        <v>48</v>
      </c>
      <c r="D326" s="4" t="s">
        <v>989</v>
      </c>
      <c r="E326" s="4" t="s">
        <v>608</v>
      </c>
      <c r="F326" s="29"/>
      <c r="G326" s="29"/>
    </row>
    <row r="327" spans="1:7" ht="108">
      <c r="A327" s="3" t="s">
        <v>587</v>
      </c>
      <c r="B327" s="4" t="s">
        <v>50</v>
      </c>
      <c r="C327" s="4" t="s">
        <v>48</v>
      </c>
      <c r="D327" s="4" t="s">
        <v>990</v>
      </c>
      <c r="E327" s="4"/>
      <c r="F327" s="29">
        <f>F328</f>
        <v>300000</v>
      </c>
      <c r="G327" s="29"/>
    </row>
    <row r="328" spans="1:7" ht="123.75">
      <c r="A328" s="3" t="s">
        <v>92</v>
      </c>
      <c r="B328" s="4" t="s">
        <v>50</v>
      </c>
      <c r="C328" s="4" t="s">
        <v>48</v>
      </c>
      <c r="D328" s="4" t="s">
        <v>990</v>
      </c>
      <c r="E328" s="4" t="s">
        <v>604</v>
      </c>
      <c r="F328" s="29">
        <f>прил7!G214</f>
        <v>300000</v>
      </c>
      <c r="G328" s="29"/>
    </row>
    <row r="329" spans="1:7" ht="61.5">
      <c r="A329" s="3" t="s">
        <v>94</v>
      </c>
      <c r="B329" s="4" t="s">
        <v>50</v>
      </c>
      <c r="C329" s="4" t="s">
        <v>48</v>
      </c>
      <c r="D329" s="4" t="s">
        <v>713</v>
      </c>
      <c r="E329" s="4"/>
      <c r="F329" s="29">
        <f>F330+F333+F337+F340+F343+F347+F350+F354+F357+F345</f>
        <v>15025935.780000001</v>
      </c>
      <c r="G329" s="29">
        <f>G330+G333+G337+G340+G343+G347+G350+G354+G357+G345</f>
        <v>11400</v>
      </c>
    </row>
    <row r="330" spans="1:7" ht="46.5">
      <c r="A330" s="3" t="s">
        <v>714</v>
      </c>
      <c r="B330" s="4" t="s">
        <v>50</v>
      </c>
      <c r="C330" s="4" t="s">
        <v>48</v>
      </c>
      <c r="D330" s="4" t="s">
        <v>715</v>
      </c>
      <c r="E330" s="4"/>
      <c r="F330" s="29">
        <f>F331</f>
        <v>120000</v>
      </c>
      <c r="G330" s="29"/>
    </row>
    <row r="331" spans="1:7" ht="30.75">
      <c r="A331" s="3" t="s">
        <v>523</v>
      </c>
      <c r="B331" s="4" t="s">
        <v>50</v>
      </c>
      <c r="C331" s="4" t="s">
        <v>48</v>
      </c>
      <c r="D331" s="4" t="s">
        <v>716</v>
      </c>
      <c r="E331" s="4"/>
      <c r="F331" s="29">
        <f>F332</f>
        <v>120000</v>
      </c>
      <c r="G331" s="29"/>
    </row>
    <row r="332" spans="1:7" ht="46.5">
      <c r="A332" s="3" t="s">
        <v>701</v>
      </c>
      <c r="B332" s="4" t="s">
        <v>50</v>
      </c>
      <c r="C332" s="4" t="s">
        <v>48</v>
      </c>
      <c r="D332" s="4" t="s">
        <v>716</v>
      </c>
      <c r="E332" s="4" t="s">
        <v>605</v>
      </c>
      <c r="F332" s="29">
        <f>прил7!G48+прил7!G1058+прил7!G218</f>
        <v>120000</v>
      </c>
      <c r="G332" s="29"/>
    </row>
    <row r="333" spans="1:7" ht="30.75">
      <c r="A333" s="3" t="s">
        <v>991</v>
      </c>
      <c r="B333" s="4" t="s">
        <v>50</v>
      </c>
      <c r="C333" s="4" t="s">
        <v>48</v>
      </c>
      <c r="D333" s="4" t="s">
        <v>992</v>
      </c>
      <c r="E333" s="4"/>
      <c r="F333" s="29">
        <f>F334</f>
        <v>610030.08</v>
      </c>
      <c r="G333" s="29"/>
    </row>
    <row r="334" spans="1:7" ht="30.75">
      <c r="A334" s="3" t="s">
        <v>523</v>
      </c>
      <c r="B334" s="4" t="s">
        <v>50</v>
      </c>
      <c r="C334" s="4" t="s">
        <v>48</v>
      </c>
      <c r="D334" s="4" t="s">
        <v>993</v>
      </c>
      <c r="E334" s="4"/>
      <c r="F334" s="29">
        <f>F335+F336</f>
        <v>610030.08</v>
      </c>
      <c r="G334" s="29"/>
    </row>
    <row r="335" spans="1:7" ht="46.5">
      <c r="A335" s="3" t="s">
        <v>701</v>
      </c>
      <c r="B335" s="4" t="s">
        <v>50</v>
      </c>
      <c r="C335" s="4" t="s">
        <v>48</v>
      </c>
      <c r="D335" s="4" t="s">
        <v>993</v>
      </c>
      <c r="E335" s="4" t="s">
        <v>605</v>
      </c>
      <c r="F335" s="29">
        <f>прил7!G221</f>
        <v>265510.07999999996</v>
      </c>
      <c r="G335" s="29"/>
    </row>
    <row r="336" spans="1:7" ht="61.5">
      <c r="A336" s="3" t="s">
        <v>525</v>
      </c>
      <c r="B336" s="4" t="s">
        <v>50</v>
      </c>
      <c r="C336" s="4" t="s">
        <v>48</v>
      </c>
      <c r="D336" s="4" t="s">
        <v>993</v>
      </c>
      <c r="E336" s="4" t="s">
        <v>609</v>
      </c>
      <c r="F336" s="29">
        <f>прил7!G222</f>
        <v>344520</v>
      </c>
      <c r="G336" s="29"/>
    </row>
    <row r="337" spans="1:7" ht="61.5">
      <c r="A337" s="3" t="s">
        <v>296</v>
      </c>
      <c r="B337" s="4" t="s">
        <v>50</v>
      </c>
      <c r="C337" s="4" t="s">
        <v>48</v>
      </c>
      <c r="D337" s="4" t="s">
        <v>297</v>
      </c>
      <c r="E337" s="4"/>
      <c r="F337" s="29">
        <f>F338</f>
        <v>80160.4</v>
      </c>
      <c r="G337" s="29"/>
    </row>
    <row r="338" spans="1:7" ht="30.75">
      <c r="A338" s="3" t="s">
        <v>523</v>
      </c>
      <c r="B338" s="4" t="s">
        <v>50</v>
      </c>
      <c r="C338" s="4" t="s">
        <v>48</v>
      </c>
      <c r="D338" s="4" t="s">
        <v>298</v>
      </c>
      <c r="E338" s="4"/>
      <c r="F338" s="29">
        <f>F339</f>
        <v>80160.4</v>
      </c>
      <c r="G338" s="29"/>
    </row>
    <row r="339" spans="1:7" ht="46.5">
      <c r="A339" s="3" t="s">
        <v>701</v>
      </c>
      <c r="B339" s="4" t="s">
        <v>50</v>
      </c>
      <c r="C339" s="4" t="s">
        <v>48</v>
      </c>
      <c r="D339" s="4" t="s">
        <v>298</v>
      </c>
      <c r="E339" s="4" t="s">
        <v>605</v>
      </c>
      <c r="F339" s="29">
        <f>прил7!G225+прил7!G1061</f>
        <v>80160.4</v>
      </c>
      <c r="G339" s="29"/>
    </row>
    <row r="340" spans="1:7" ht="46.5">
      <c r="A340" s="3" t="s">
        <v>299</v>
      </c>
      <c r="B340" s="4" t="s">
        <v>50</v>
      </c>
      <c r="C340" s="4" t="s">
        <v>48</v>
      </c>
      <c r="D340" s="4" t="s">
        <v>300</v>
      </c>
      <c r="E340" s="4"/>
      <c r="F340" s="29">
        <f>F341</f>
        <v>3915032.5100000002</v>
      </c>
      <c r="G340" s="29"/>
    </row>
    <row r="341" spans="1:7" ht="30.75">
      <c r="A341" s="3" t="s">
        <v>523</v>
      </c>
      <c r="B341" s="4" t="s">
        <v>50</v>
      </c>
      <c r="C341" s="4" t="s">
        <v>48</v>
      </c>
      <c r="D341" s="4" t="s">
        <v>301</v>
      </c>
      <c r="E341" s="4"/>
      <c r="F341" s="29">
        <f>F342</f>
        <v>3915032.5100000002</v>
      </c>
      <c r="G341" s="29"/>
    </row>
    <row r="342" spans="1:7" ht="46.5">
      <c r="A342" s="3" t="s">
        <v>701</v>
      </c>
      <c r="B342" s="4" t="s">
        <v>50</v>
      </c>
      <c r="C342" s="4" t="s">
        <v>48</v>
      </c>
      <c r="D342" s="4" t="s">
        <v>301</v>
      </c>
      <c r="E342" s="4" t="s">
        <v>605</v>
      </c>
      <c r="F342" s="29">
        <f>прил7!G228+прил7!G405+прил7!G627+прил7!G683+прил7!G878+прил7!G51+прил7!G1064</f>
        <v>3915032.5100000002</v>
      </c>
      <c r="G342" s="29"/>
    </row>
    <row r="343" spans="1:7" ht="93">
      <c r="A343" s="3" t="s">
        <v>302</v>
      </c>
      <c r="B343" s="4" t="s">
        <v>50</v>
      </c>
      <c r="C343" s="4" t="s">
        <v>48</v>
      </c>
      <c r="D343" s="4" t="s">
        <v>303</v>
      </c>
      <c r="E343" s="4"/>
      <c r="F343" s="29">
        <f>F344</f>
        <v>11400</v>
      </c>
      <c r="G343" s="29">
        <f>F343</f>
        <v>11400</v>
      </c>
    </row>
    <row r="344" spans="1:7" ht="46.5">
      <c r="A344" s="3" t="s">
        <v>701</v>
      </c>
      <c r="B344" s="4" t="s">
        <v>50</v>
      </c>
      <c r="C344" s="4" t="s">
        <v>48</v>
      </c>
      <c r="D344" s="4" t="s">
        <v>303</v>
      </c>
      <c r="E344" s="4" t="s">
        <v>605</v>
      </c>
      <c r="F344" s="29">
        <f>прил7!G230</f>
        <v>11400</v>
      </c>
      <c r="G344" s="29">
        <f>F344</f>
        <v>11400</v>
      </c>
    </row>
    <row r="345" spans="1:7" ht="93">
      <c r="A345" s="3" t="s">
        <v>302</v>
      </c>
      <c r="B345" s="4" t="s">
        <v>50</v>
      </c>
      <c r="C345" s="4" t="s">
        <v>48</v>
      </c>
      <c r="D345" s="4" t="s">
        <v>304</v>
      </c>
      <c r="E345" s="4"/>
      <c r="F345" s="29">
        <f>F346</f>
        <v>1650</v>
      </c>
      <c r="G345" s="29"/>
    </row>
    <row r="346" spans="1:7" ht="46.5">
      <c r="A346" s="3" t="s">
        <v>701</v>
      </c>
      <c r="B346" s="4" t="s">
        <v>50</v>
      </c>
      <c r="C346" s="4" t="s">
        <v>48</v>
      </c>
      <c r="D346" s="4" t="s">
        <v>304</v>
      </c>
      <c r="E346" s="4" t="s">
        <v>605</v>
      </c>
      <c r="F346" s="29">
        <f>прил7!G232</f>
        <v>1650</v>
      </c>
      <c r="G346" s="29"/>
    </row>
    <row r="347" spans="1:7" ht="61.5">
      <c r="A347" s="3" t="s">
        <v>305</v>
      </c>
      <c r="B347" s="4" t="s">
        <v>50</v>
      </c>
      <c r="C347" s="4" t="s">
        <v>48</v>
      </c>
      <c r="D347" s="4" t="s">
        <v>306</v>
      </c>
      <c r="E347" s="4"/>
      <c r="F347" s="29">
        <f>F348</f>
        <v>14000</v>
      </c>
      <c r="G347" s="29"/>
    </row>
    <row r="348" spans="1:7" ht="30.75">
      <c r="A348" s="3" t="s">
        <v>523</v>
      </c>
      <c r="B348" s="4" t="s">
        <v>50</v>
      </c>
      <c r="C348" s="4" t="s">
        <v>48</v>
      </c>
      <c r="D348" s="4" t="s">
        <v>100</v>
      </c>
      <c r="E348" s="4"/>
      <c r="F348" s="29">
        <f>F349</f>
        <v>14000</v>
      </c>
      <c r="G348" s="29"/>
    </row>
    <row r="349" spans="1:7" ht="46.5">
      <c r="A349" s="3" t="s">
        <v>701</v>
      </c>
      <c r="B349" s="4" t="s">
        <v>50</v>
      </c>
      <c r="C349" s="4" t="s">
        <v>48</v>
      </c>
      <c r="D349" s="4" t="s">
        <v>100</v>
      </c>
      <c r="E349" s="4" t="s">
        <v>605</v>
      </c>
      <c r="F349" s="29">
        <f>прил7!G235</f>
        <v>14000</v>
      </c>
      <c r="G349" s="29"/>
    </row>
    <row r="350" spans="1:7" ht="46.5">
      <c r="A350" s="3" t="s">
        <v>307</v>
      </c>
      <c r="B350" s="4" t="s">
        <v>50</v>
      </c>
      <c r="C350" s="4" t="s">
        <v>48</v>
      </c>
      <c r="D350" s="4" t="s">
        <v>308</v>
      </c>
      <c r="E350" s="4"/>
      <c r="F350" s="29">
        <f>F351</f>
        <v>9918237.9</v>
      </c>
      <c r="G350" s="29"/>
    </row>
    <row r="351" spans="1:7" ht="30.75">
      <c r="A351" s="3" t="s">
        <v>523</v>
      </c>
      <c r="B351" s="4" t="s">
        <v>50</v>
      </c>
      <c r="C351" s="4" t="s">
        <v>48</v>
      </c>
      <c r="D351" s="4" t="s">
        <v>309</v>
      </c>
      <c r="E351" s="4"/>
      <c r="F351" s="29">
        <f>F352+F353</f>
        <v>9918237.9</v>
      </c>
      <c r="G351" s="29"/>
    </row>
    <row r="352" spans="1:7" ht="46.5">
      <c r="A352" s="3" t="s">
        <v>701</v>
      </c>
      <c r="B352" s="4" t="s">
        <v>50</v>
      </c>
      <c r="C352" s="4" t="s">
        <v>48</v>
      </c>
      <c r="D352" s="4" t="s">
        <v>309</v>
      </c>
      <c r="E352" s="4" t="s">
        <v>605</v>
      </c>
      <c r="F352" s="29">
        <f>прил7!G238+прил7!G408</f>
        <v>2707646.4</v>
      </c>
      <c r="G352" s="29"/>
    </row>
    <row r="353" spans="1:7" ht="61.5">
      <c r="A353" s="3" t="s">
        <v>525</v>
      </c>
      <c r="B353" s="4" t="s">
        <v>50</v>
      </c>
      <c r="C353" s="4" t="s">
        <v>48</v>
      </c>
      <c r="D353" s="4" t="s">
        <v>309</v>
      </c>
      <c r="E353" s="4" t="s">
        <v>609</v>
      </c>
      <c r="F353" s="29">
        <f>прил7!G239+прил7!G686+прил7!G881</f>
        <v>7210591.5</v>
      </c>
      <c r="G353" s="29"/>
    </row>
    <row r="354" spans="1:7" ht="30.75">
      <c r="A354" s="3" t="s">
        <v>310</v>
      </c>
      <c r="B354" s="4" t="s">
        <v>50</v>
      </c>
      <c r="C354" s="4" t="s">
        <v>48</v>
      </c>
      <c r="D354" s="4" t="s">
        <v>311</v>
      </c>
      <c r="E354" s="4"/>
      <c r="F354" s="29">
        <f>F355</f>
        <v>150646.89</v>
      </c>
      <c r="G354" s="29"/>
    </row>
    <row r="355" spans="1:7" ht="30.75">
      <c r="A355" s="3" t="s">
        <v>523</v>
      </c>
      <c r="B355" s="4" t="s">
        <v>50</v>
      </c>
      <c r="C355" s="4" t="s">
        <v>48</v>
      </c>
      <c r="D355" s="4" t="s">
        <v>312</v>
      </c>
      <c r="E355" s="4"/>
      <c r="F355" s="29">
        <f>F356</f>
        <v>150646.89</v>
      </c>
      <c r="G355" s="29"/>
    </row>
    <row r="356" spans="1:7" ht="46.5">
      <c r="A356" s="3" t="s">
        <v>701</v>
      </c>
      <c r="B356" s="4" t="s">
        <v>50</v>
      </c>
      <c r="C356" s="4" t="s">
        <v>48</v>
      </c>
      <c r="D356" s="4" t="s">
        <v>312</v>
      </c>
      <c r="E356" s="4" t="s">
        <v>605</v>
      </c>
      <c r="F356" s="29">
        <f>прил7!G242</f>
        <v>150646.89</v>
      </c>
      <c r="G356" s="29"/>
    </row>
    <row r="357" spans="1:7" ht="30.75">
      <c r="A357" s="3" t="s">
        <v>313</v>
      </c>
      <c r="B357" s="4" t="s">
        <v>50</v>
      </c>
      <c r="C357" s="4" t="s">
        <v>48</v>
      </c>
      <c r="D357" s="4" t="s">
        <v>314</v>
      </c>
      <c r="E357" s="4"/>
      <c r="F357" s="29">
        <f>F358</f>
        <v>204778</v>
      </c>
      <c r="G357" s="29"/>
    </row>
    <row r="358" spans="1:7" ht="30.75">
      <c r="A358" s="3" t="s">
        <v>523</v>
      </c>
      <c r="B358" s="4" t="s">
        <v>50</v>
      </c>
      <c r="C358" s="4" t="s">
        <v>48</v>
      </c>
      <c r="D358" s="4" t="s">
        <v>315</v>
      </c>
      <c r="E358" s="4"/>
      <c r="F358" s="29">
        <f>F360+F359</f>
        <v>204778</v>
      </c>
      <c r="G358" s="29"/>
    </row>
    <row r="359" spans="1:7" ht="123.75">
      <c r="A359" s="3" t="s">
        <v>92</v>
      </c>
      <c r="B359" s="4" t="s">
        <v>50</v>
      </c>
      <c r="C359" s="4" t="s">
        <v>48</v>
      </c>
      <c r="D359" s="4" t="s">
        <v>315</v>
      </c>
      <c r="E359" s="4" t="s">
        <v>604</v>
      </c>
      <c r="F359" s="29">
        <f>прил7!G245</f>
        <v>5300</v>
      </c>
      <c r="G359" s="29"/>
    </row>
    <row r="360" spans="1:7" ht="46.5">
      <c r="A360" s="3" t="s">
        <v>701</v>
      </c>
      <c r="B360" s="4" t="s">
        <v>50</v>
      </c>
      <c r="C360" s="4" t="s">
        <v>48</v>
      </c>
      <c r="D360" s="4" t="s">
        <v>315</v>
      </c>
      <c r="E360" s="4" t="s">
        <v>605</v>
      </c>
      <c r="F360" s="29">
        <f>прил7!G246</f>
        <v>199478</v>
      </c>
      <c r="G360" s="29"/>
    </row>
    <row r="361" spans="1:7" ht="30.75">
      <c r="A361" s="1" t="s">
        <v>63</v>
      </c>
      <c r="B361" s="2" t="s">
        <v>50</v>
      </c>
      <c r="C361" s="2" t="s">
        <v>600</v>
      </c>
      <c r="D361" s="2"/>
      <c r="E361" s="2"/>
      <c r="F361" s="33">
        <f>F362</f>
        <v>11337561.66</v>
      </c>
      <c r="G361" s="33">
        <f>G362</f>
        <v>38200</v>
      </c>
    </row>
    <row r="362" spans="1:7" ht="61.5">
      <c r="A362" s="27" t="s">
        <v>104</v>
      </c>
      <c r="B362" s="4" t="s">
        <v>50</v>
      </c>
      <c r="C362" s="4" t="s">
        <v>600</v>
      </c>
      <c r="D362" s="4" t="s">
        <v>705</v>
      </c>
      <c r="E362" s="4"/>
      <c r="F362" s="29">
        <f>F363+F367+F371</f>
        <v>11337561.66</v>
      </c>
      <c r="G362" s="29">
        <f>G363+G367+G371</f>
        <v>38200</v>
      </c>
    </row>
    <row r="363" spans="1:7" ht="46.5">
      <c r="A363" s="27" t="s">
        <v>96</v>
      </c>
      <c r="B363" s="4" t="s">
        <v>50</v>
      </c>
      <c r="C363" s="4" t="s">
        <v>600</v>
      </c>
      <c r="D363" s="4" t="s">
        <v>717</v>
      </c>
      <c r="E363" s="4"/>
      <c r="F363" s="29">
        <f>F364</f>
        <v>38200</v>
      </c>
      <c r="G363" s="29">
        <f>F363</f>
        <v>38200</v>
      </c>
    </row>
    <row r="364" spans="1:7" ht="77.25">
      <c r="A364" s="3" t="s">
        <v>318</v>
      </c>
      <c r="B364" s="4" t="s">
        <v>50</v>
      </c>
      <c r="C364" s="4" t="s">
        <v>600</v>
      </c>
      <c r="D364" s="4" t="s">
        <v>319</v>
      </c>
      <c r="E364" s="4"/>
      <c r="F364" s="29">
        <f>F365</f>
        <v>38200</v>
      </c>
      <c r="G364" s="29">
        <f>F364</f>
        <v>38200</v>
      </c>
    </row>
    <row r="365" spans="1:7" ht="154.5">
      <c r="A365" s="3" t="s">
        <v>1038</v>
      </c>
      <c r="B365" s="4" t="s">
        <v>50</v>
      </c>
      <c r="C365" s="4" t="s">
        <v>600</v>
      </c>
      <c r="D365" s="4" t="s">
        <v>320</v>
      </c>
      <c r="E365" s="4"/>
      <c r="F365" s="29">
        <f>F366</f>
        <v>38200</v>
      </c>
      <c r="G365" s="29">
        <f>F365</f>
        <v>38200</v>
      </c>
    </row>
    <row r="366" spans="1:7" ht="123.75">
      <c r="A366" s="3" t="s">
        <v>92</v>
      </c>
      <c r="B366" s="4" t="s">
        <v>50</v>
      </c>
      <c r="C366" s="4" t="s">
        <v>600</v>
      </c>
      <c r="D366" s="4" t="s">
        <v>320</v>
      </c>
      <c r="E366" s="4" t="s">
        <v>604</v>
      </c>
      <c r="F366" s="29">
        <f>прил7!G255</f>
        <v>38200</v>
      </c>
      <c r="G366" s="29">
        <f>F366</f>
        <v>38200</v>
      </c>
    </row>
    <row r="367" spans="1:7" ht="77.25">
      <c r="A367" s="27" t="s">
        <v>121</v>
      </c>
      <c r="B367" s="4" t="s">
        <v>50</v>
      </c>
      <c r="C367" s="4" t="s">
        <v>600</v>
      </c>
      <c r="D367" s="4" t="s">
        <v>621</v>
      </c>
      <c r="E367" s="4"/>
      <c r="F367" s="29">
        <f>F368</f>
        <v>1967880</v>
      </c>
      <c r="G367" s="29"/>
    </row>
    <row r="368" spans="1:7" ht="108">
      <c r="A368" s="27" t="s">
        <v>775</v>
      </c>
      <c r="B368" s="4" t="s">
        <v>50</v>
      </c>
      <c r="C368" s="4" t="s">
        <v>600</v>
      </c>
      <c r="D368" s="4" t="s">
        <v>776</v>
      </c>
      <c r="E368" s="4"/>
      <c r="F368" s="29">
        <f>F369</f>
        <v>1967880</v>
      </c>
      <c r="G368" s="29"/>
    </row>
    <row r="369" spans="1:7" ht="30.75">
      <c r="A369" s="27" t="s">
        <v>140</v>
      </c>
      <c r="B369" s="4" t="s">
        <v>50</v>
      </c>
      <c r="C369" s="4" t="s">
        <v>600</v>
      </c>
      <c r="D369" s="4" t="s">
        <v>777</v>
      </c>
      <c r="E369" s="4"/>
      <c r="F369" s="29">
        <f>F370</f>
        <v>1967880</v>
      </c>
      <c r="G369" s="29"/>
    </row>
    <row r="370" spans="1:7" ht="46.5">
      <c r="A370" s="3" t="s">
        <v>701</v>
      </c>
      <c r="B370" s="4" t="s">
        <v>50</v>
      </c>
      <c r="C370" s="4" t="s">
        <v>600</v>
      </c>
      <c r="D370" s="4" t="s">
        <v>777</v>
      </c>
      <c r="E370" s="4" t="s">
        <v>605</v>
      </c>
      <c r="F370" s="29">
        <f>прил7!G414</f>
        <v>1967880</v>
      </c>
      <c r="G370" s="29"/>
    </row>
    <row r="371" spans="1:7" ht="93">
      <c r="A371" s="3" t="s">
        <v>124</v>
      </c>
      <c r="B371" s="4" t="s">
        <v>50</v>
      </c>
      <c r="C371" s="4" t="s">
        <v>600</v>
      </c>
      <c r="D371" s="4" t="s">
        <v>778</v>
      </c>
      <c r="E371" s="4"/>
      <c r="F371" s="29">
        <f>F372+F377+F383</f>
        <v>9331481.66</v>
      </c>
      <c r="G371" s="29"/>
    </row>
    <row r="372" spans="1:7" ht="93">
      <c r="A372" s="3" t="s">
        <v>779</v>
      </c>
      <c r="B372" s="4" t="s">
        <v>50</v>
      </c>
      <c r="C372" s="4" t="s">
        <v>600</v>
      </c>
      <c r="D372" s="4" t="s">
        <v>780</v>
      </c>
      <c r="E372" s="4"/>
      <c r="F372" s="29">
        <f>F373</f>
        <v>3028677.29</v>
      </c>
      <c r="G372" s="29"/>
    </row>
    <row r="373" spans="1:7" ht="108">
      <c r="A373" s="3" t="s">
        <v>749</v>
      </c>
      <c r="B373" s="4" t="s">
        <v>50</v>
      </c>
      <c r="C373" s="4" t="s">
        <v>600</v>
      </c>
      <c r="D373" s="4" t="s">
        <v>781</v>
      </c>
      <c r="E373" s="4"/>
      <c r="F373" s="29">
        <f>F374+F375+F376</f>
        <v>3028677.29</v>
      </c>
      <c r="G373" s="29"/>
    </row>
    <row r="374" spans="1:7" ht="123.75">
      <c r="A374" s="3" t="s">
        <v>92</v>
      </c>
      <c r="B374" s="4" t="s">
        <v>50</v>
      </c>
      <c r="C374" s="4" t="s">
        <v>600</v>
      </c>
      <c r="D374" s="4" t="s">
        <v>781</v>
      </c>
      <c r="E374" s="4" t="s">
        <v>604</v>
      </c>
      <c r="F374" s="29">
        <f>прил7!G418</f>
        <v>2780492.29</v>
      </c>
      <c r="G374" s="29"/>
    </row>
    <row r="375" spans="1:7" ht="46.5">
      <c r="A375" s="3" t="s">
        <v>701</v>
      </c>
      <c r="B375" s="4" t="s">
        <v>50</v>
      </c>
      <c r="C375" s="4" t="s">
        <v>600</v>
      </c>
      <c r="D375" s="4" t="s">
        <v>781</v>
      </c>
      <c r="E375" s="4" t="s">
        <v>605</v>
      </c>
      <c r="F375" s="29">
        <f>прил7!G419</f>
        <v>128185</v>
      </c>
      <c r="G375" s="29"/>
    </row>
    <row r="376" spans="1:7" ht="15">
      <c r="A376" s="3" t="s">
        <v>1040</v>
      </c>
      <c r="B376" s="4" t="s">
        <v>50</v>
      </c>
      <c r="C376" s="4" t="s">
        <v>600</v>
      </c>
      <c r="D376" s="4" t="s">
        <v>781</v>
      </c>
      <c r="E376" s="4" t="s">
        <v>608</v>
      </c>
      <c r="F376" s="29">
        <f>прил7!G420</f>
        <v>120000</v>
      </c>
      <c r="G376" s="29"/>
    </row>
    <row r="377" spans="1:7" ht="139.5">
      <c r="A377" s="3" t="s">
        <v>782</v>
      </c>
      <c r="B377" s="4" t="s">
        <v>50</v>
      </c>
      <c r="C377" s="4" t="s">
        <v>600</v>
      </c>
      <c r="D377" s="4" t="s">
        <v>783</v>
      </c>
      <c r="E377" s="4"/>
      <c r="F377" s="29">
        <f>F378+F381</f>
        <v>3198858.23</v>
      </c>
      <c r="G377" s="29"/>
    </row>
    <row r="378" spans="1:7" ht="108">
      <c r="A378" s="3" t="s">
        <v>749</v>
      </c>
      <c r="B378" s="4" t="s">
        <v>50</v>
      </c>
      <c r="C378" s="4" t="s">
        <v>600</v>
      </c>
      <c r="D378" s="4" t="s">
        <v>784</v>
      </c>
      <c r="E378" s="4"/>
      <c r="F378" s="29">
        <f>F379+F380</f>
        <v>3075352.41</v>
      </c>
      <c r="G378" s="29"/>
    </row>
    <row r="379" spans="1:7" ht="123.75">
      <c r="A379" s="3" t="s">
        <v>92</v>
      </c>
      <c r="B379" s="4" t="s">
        <v>50</v>
      </c>
      <c r="C379" s="4" t="s">
        <v>600</v>
      </c>
      <c r="D379" s="4" t="s">
        <v>784</v>
      </c>
      <c r="E379" s="4" t="s">
        <v>604</v>
      </c>
      <c r="F379" s="29">
        <f>прил7!G423</f>
        <v>2983967.83</v>
      </c>
      <c r="G379" s="29"/>
    </row>
    <row r="380" spans="1:7" ht="46.5">
      <c r="A380" s="3" t="s">
        <v>701</v>
      </c>
      <c r="B380" s="4" t="s">
        <v>50</v>
      </c>
      <c r="C380" s="4" t="s">
        <v>600</v>
      </c>
      <c r="D380" s="4" t="s">
        <v>784</v>
      </c>
      <c r="E380" s="4" t="s">
        <v>605</v>
      </c>
      <c r="F380" s="29">
        <f>прил7!G424</f>
        <v>91384.58</v>
      </c>
      <c r="G380" s="29"/>
    </row>
    <row r="381" spans="1:7" ht="108">
      <c r="A381" s="3" t="s">
        <v>587</v>
      </c>
      <c r="B381" s="4" t="s">
        <v>50</v>
      </c>
      <c r="C381" s="4" t="s">
        <v>600</v>
      </c>
      <c r="D381" s="4" t="s">
        <v>785</v>
      </c>
      <c r="E381" s="4"/>
      <c r="F381" s="29">
        <f>F382</f>
        <v>123505.82</v>
      </c>
      <c r="G381" s="29"/>
    </row>
    <row r="382" spans="1:7" ht="123.75">
      <c r="A382" s="3" t="s">
        <v>506</v>
      </c>
      <c r="B382" s="4" t="s">
        <v>50</v>
      </c>
      <c r="C382" s="4" t="s">
        <v>600</v>
      </c>
      <c r="D382" s="4" t="s">
        <v>785</v>
      </c>
      <c r="E382" s="4" t="s">
        <v>604</v>
      </c>
      <c r="F382" s="29">
        <f>прил7!G426</f>
        <v>123505.82</v>
      </c>
      <c r="G382" s="29"/>
    </row>
    <row r="383" spans="1:7" ht="154.5">
      <c r="A383" s="3" t="s">
        <v>786</v>
      </c>
      <c r="B383" s="4" t="s">
        <v>50</v>
      </c>
      <c r="C383" s="4" t="s">
        <v>600</v>
      </c>
      <c r="D383" s="4" t="s">
        <v>787</v>
      </c>
      <c r="E383" s="4"/>
      <c r="F383" s="29">
        <f>F384</f>
        <v>3103946.14</v>
      </c>
      <c r="G383" s="29"/>
    </row>
    <row r="384" spans="1:7" ht="108">
      <c r="A384" s="3" t="s">
        <v>749</v>
      </c>
      <c r="B384" s="4" t="s">
        <v>50</v>
      </c>
      <c r="C384" s="4" t="s">
        <v>600</v>
      </c>
      <c r="D384" s="4" t="s">
        <v>788</v>
      </c>
      <c r="E384" s="4"/>
      <c r="F384" s="29">
        <f>F385+F386+F387</f>
        <v>3103946.14</v>
      </c>
      <c r="G384" s="29"/>
    </row>
    <row r="385" spans="1:7" ht="123.75">
      <c r="A385" s="3" t="s">
        <v>92</v>
      </c>
      <c r="B385" s="4" t="s">
        <v>50</v>
      </c>
      <c r="C385" s="4" t="s">
        <v>600</v>
      </c>
      <c r="D385" s="4" t="s">
        <v>788</v>
      </c>
      <c r="E385" s="4" t="s">
        <v>604</v>
      </c>
      <c r="F385" s="29">
        <f>прил7!G429</f>
        <v>2974801.15</v>
      </c>
      <c r="G385" s="29"/>
    </row>
    <row r="386" spans="1:7" ht="46.5">
      <c r="A386" s="3" t="s">
        <v>701</v>
      </c>
      <c r="B386" s="4" t="s">
        <v>50</v>
      </c>
      <c r="C386" s="4" t="s">
        <v>600</v>
      </c>
      <c r="D386" s="4" t="s">
        <v>788</v>
      </c>
      <c r="E386" s="4" t="s">
        <v>605</v>
      </c>
      <c r="F386" s="29">
        <f>прил7!G430</f>
        <v>119678.5</v>
      </c>
      <c r="G386" s="29"/>
    </row>
    <row r="387" spans="1:7" ht="15">
      <c r="A387" s="3" t="s">
        <v>1040</v>
      </c>
      <c r="B387" s="4" t="s">
        <v>50</v>
      </c>
      <c r="C387" s="4" t="s">
        <v>600</v>
      </c>
      <c r="D387" s="4" t="s">
        <v>788</v>
      </c>
      <c r="E387" s="4" t="s">
        <v>608</v>
      </c>
      <c r="F387" s="29">
        <f>прил7!G431</f>
        <v>9466.49</v>
      </c>
      <c r="G387" s="29"/>
    </row>
    <row r="388" spans="1:11" ht="33.75">
      <c r="A388" s="10" t="s">
        <v>49</v>
      </c>
      <c r="B388" s="11" t="s">
        <v>42</v>
      </c>
      <c r="C388" s="23"/>
      <c r="D388" s="23"/>
      <c r="E388" s="23"/>
      <c r="F388" s="28">
        <f>F389+F407+F422+F448</f>
        <v>117238056.05000001</v>
      </c>
      <c r="G388" s="28">
        <f>G389+G407+G422+G448</f>
        <v>18902160</v>
      </c>
      <c r="K388" s="26">
        <f>прил7!G432</f>
        <v>117238056.05000001</v>
      </c>
    </row>
    <row r="389" spans="1:11" ht="15">
      <c r="A389" s="1" t="s">
        <v>55</v>
      </c>
      <c r="B389" s="2" t="s">
        <v>42</v>
      </c>
      <c r="C389" s="2" t="s">
        <v>917</v>
      </c>
      <c r="D389" s="2"/>
      <c r="E389" s="2"/>
      <c r="F389" s="33">
        <f>F390+F403</f>
        <v>42975999.22</v>
      </c>
      <c r="G389" s="33">
        <f>G390+G403</f>
        <v>18902160</v>
      </c>
      <c r="K389" s="26">
        <f>K388-F388</f>
        <v>0</v>
      </c>
    </row>
    <row r="390" spans="1:7" ht="77.25">
      <c r="A390" s="3" t="s">
        <v>1035</v>
      </c>
      <c r="B390" s="4" t="s">
        <v>42</v>
      </c>
      <c r="C390" s="4" t="s">
        <v>917</v>
      </c>
      <c r="D390" s="4" t="s">
        <v>977</v>
      </c>
      <c r="E390" s="4"/>
      <c r="F390" s="29">
        <f>F391</f>
        <v>42289519.22</v>
      </c>
      <c r="G390" s="29">
        <f>G391</f>
        <v>18902160</v>
      </c>
    </row>
    <row r="391" spans="1:7" ht="46.5">
      <c r="A391" s="3" t="s">
        <v>755</v>
      </c>
      <c r="B391" s="4" t="s">
        <v>42</v>
      </c>
      <c r="C391" s="4" t="s">
        <v>917</v>
      </c>
      <c r="D391" s="4" t="s">
        <v>789</v>
      </c>
      <c r="E391" s="4"/>
      <c r="F391" s="29">
        <f>F395+F400+F392</f>
        <v>42289519.22</v>
      </c>
      <c r="G391" s="29">
        <f>G395+G400+G392</f>
        <v>18902160</v>
      </c>
    </row>
    <row r="392" spans="1:7" ht="15">
      <c r="A392" s="3" t="s">
        <v>1090</v>
      </c>
      <c r="B392" s="4" t="s">
        <v>42</v>
      </c>
      <c r="C392" s="4" t="s">
        <v>917</v>
      </c>
      <c r="D392" s="4" t="s">
        <v>1091</v>
      </c>
      <c r="E392" s="4"/>
      <c r="F392" s="29">
        <f>F393</f>
        <v>275000</v>
      </c>
      <c r="G392" s="29"/>
    </row>
    <row r="393" spans="1:7" ht="46.5">
      <c r="A393" s="3" t="s">
        <v>756</v>
      </c>
      <c r="B393" s="4" t="s">
        <v>42</v>
      </c>
      <c r="C393" s="4" t="s">
        <v>917</v>
      </c>
      <c r="D393" s="4" t="s">
        <v>1092</v>
      </c>
      <c r="E393" s="4"/>
      <c r="F393" s="29">
        <f>F394</f>
        <v>275000</v>
      </c>
      <c r="G393" s="29"/>
    </row>
    <row r="394" spans="1:7" ht="46.5">
      <c r="A394" s="3" t="s">
        <v>701</v>
      </c>
      <c r="B394" s="4" t="s">
        <v>50</v>
      </c>
      <c r="C394" s="4" t="s">
        <v>600</v>
      </c>
      <c r="D394" s="4" t="s">
        <v>1092</v>
      </c>
      <c r="E394" s="4" t="s">
        <v>605</v>
      </c>
      <c r="F394" s="29">
        <f>прил7!G438</f>
        <v>275000</v>
      </c>
      <c r="G394" s="29"/>
    </row>
    <row r="395" spans="1:7" ht="108">
      <c r="A395" s="3" t="s">
        <v>1080</v>
      </c>
      <c r="B395" s="4" t="s">
        <v>42</v>
      </c>
      <c r="C395" s="4" t="s">
        <v>917</v>
      </c>
      <c r="D395" s="4" t="s">
        <v>1081</v>
      </c>
      <c r="E395" s="4"/>
      <c r="F395" s="29">
        <f>F398+F396</f>
        <v>39223823.28</v>
      </c>
      <c r="G395" s="29">
        <f>G396</f>
        <v>18902160</v>
      </c>
    </row>
    <row r="396" spans="1:7" ht="108">
      <c r="A396" s="3" t="s">
        <v>1082</v>
      </c>
      <c r="B396" s="4" t="s">
        <v>42</v>
      </c>
      <c r="C396" s="4" t="s">
        <v>917</v>
      </c>
      <c r="D396" s="4" t="s">
        <v>1152</v>
      </c>
      <c r="E396" s="4"/>
      <c r="F396" s="29">
        <f>F397</f>
        <v>18902160</v>
      </c>
      <c r="G396" s="29">
        <f>G397</f>
        <v>18902160</v>
      </c>
    </row>
    <row r="397" spans="1:7" ht="46.5">
      <c r="A397" s="3" t="s">
        <v>701</v>
      </c>
      <c r="B397" s="4" t="s">
        <v>42</v>
      </c>
      <c r="C397" s="4" t="s">
        <v>917</v>
      </c>
      <c r="D397" s="4" t="s">
        <v>1152</v>
      </c>
      <c r="E397" s="4" t="s">
        <v>605</v>
      </c>
      <c r="F397" s="29">
        <f>прил7!G441</f>
        <v>18902160</v>
      </c>
      <c r="G397" s="29">
        <f>F397</f>
        <v>18902160</v>
      </c>
    </row>
    <row r="398" spans="1:7" ht="108">
      <c r="A398" s="112" t="s">
        <v>1082</v>
      </c>
      <c r="B398" s="4" t="s">
        <v>42</v>
      </c>
      <c r="C398" s="4" t="s">
        <v>917</v>
      </c>
      <c r="D398" s="4" t="s">
        <v>1083</v>
      </c>
      <c r="E398" s="4"/>
      <c r="F398" s="29">
        <f>F399</f>
        <v>20321663.28</v>
      </c>
      <c r="G398" s="29"/>
    </row>
    <row r="399" spans="1:7" ht="46.5">
      <c r="A399" s="3" t="s">
        <v>701</v>
      </c>
      <c r="B399" s="4" t="s">
        <v>42</v>
      </c>
      <c r="C399" s="4" t="s">
        <v>917</v>
      </c>
      <c r="D399" s="4" t="s">
        <v>1083</v>
      </c>
      <c r="E399" s="4" t="s">
        <v>605</v>
      </c>
      <c r="F399" s="29">
        <f>прил7!G443</f>
        <v>20321663.28</v>
      </c>
      <c r="G399" s="29"/>
    </row>
    <row r="400" spans="1:7" ht="108">
      <c r="A400" s="3" t="s">
        <v>1084</v>
      </c>
      <c r="B400" s="4" t="s">
        <v>42</v>
      </c>
      <c r="C400" s="4" t="s">
        <v>917</v>
      </c>
      <c r="D400" s="4" t="s">
        <v>1085</v>
      </c>
      <c r="E400" s="4"/>
      <c r="F400" s="29">
        <f>F401</f>
        <v>2790695.94</v>
      </c>
      <c r="G400" s="29"/>
    </row>
    <row r="401" spans="1:7" ht="61.5">
      <c r="A401" s="112" t="s">
        <v>1093</v>
      </c>
      <c r="B401" s="4" t="s">
        <v>42</v>
      </c>
      <c r="C401" s="4" t="s">
        <v>917</v>
      </c>
      <c r="D401" s="4" t="s">
        <v>1094</v>
      </c>
      <c r="E401" s="4"/>
      <c r="F401" s="29">
        <f>F402</f>
        <v>2790695.94</v>
      </c>
      <c r="G401" s="29"/>
    </row>
    <row r="402" spans="1:7" ht="46.5">
      <c r="A402" s="3" t="s">
        <v>701</v>
      </c>
      <c r="B402" s="4" t="s">
        <v>42</v>
      </c>
      <c r="C402" s="4" t="s">
        <v>917</v>
      </c>
      <c r="D402" s="4" t="s">
        <v>1094</v>
      </c>
      <c r="E402" s="4" t="s">
        <v>605</v>
      </c>
      <c r="F402" s="29">
        <f>прил7!G446</f>
        <v>2790695.94</v>
      </c>
      <c r="G402" s="29"/>
    </row>
    <row r="403" spans="1:7" ht="61.5">
      <c r="A403" s="3" t="s">
        <v>89</v>
      </c>
      <c r="B403" s="4" t="s">
        <v>42</v>
      </c>
      <c r="C403" s="4" t="s">
        <v>917</v>
      </c>
      <c r="D403" s="4" t="s">
        <v>790</v>
      </c>
      <c r="E403" s="2"/>
      <c r="F403" s="29">
        <f>F404</f>
        <v>686480</v>
      </c>
      <c r="G403" s="29"/>
    </row>
    <row r="404" spans="1:7" ht="61.5">
      <c r="A404" s="3" t="s">
        <v>791</v>
      </c>
      <c r="B404" s="4" t="s">
        <v>42</v>
      </c>
      <c r="C404" s="4" t="s">
        <v>917</v>
      </c>
      <c r="D404" s="4" t="s">
        <v>792</v>
      </c>
      <c r="E404" s="4"/>
      <c r="F404" s="29">
        <f>F405</f>
        <v>686480</v>
      </c>
      <c r="G404" s="29"/>
    </row>
    <row r="405" spans="1:7" ht="30.75">
      <c r="A405" s="3" t="s">
        <v>523</v>
      </c>
      <c r="B405" s="4" t="s">
        <v>42</v>
      </c>
      <c r="C405" s="4" t="s">
        <v>917</v>
      </c>
      <c r="D405" s="4" t="s">
        <v>793</v>
      </c>
      <c r="E405" s="4"/>
      <c r="F405" s="29">
        <f>F406</f>
        <v>686480</v>
      </c>
      <c r="G405" s="29"/>
    </row>
    <row r="406" spans="1:7" ht="46.5">
      <c r="A406" s="3" t="s">
        <v>701</v>
      </c>
      <c r="B406" s="4" t="s">
        <v>42</v>
      </c>
      <c r="C406" s="4" t="s">
        <v>917</v>
      </c>
      <c r="D406" s="4" t="s">
        <v>793</v>
      </c>
      <c r="E406" s="4" t="s">
        <v>605</v>
      </c>
      <c r="F406" s="29">
        <f>прил7!G450</f>
        <v>686480</v>
      </c>
      <c r="G406" s="29"/>
    </row>
    <row r="407" spans="1:7" ht="15">
      <c r="A407" s="1" t="s">
        <v>598</v>
      </c>
      <c r="B407" s="2" t="s">
        <v>42</v>
      </c>
      <c r="C407" s="2" t="s">
        <v>45</v>
      </c>
      <c r="D407" s="2"/>
      <c r="E407" s="2"/>
      <c r="F407" s="33">
        <f>F408</f>
        <v>23756630.36</v>
      </c>
      <c r="G407" s="29"/>
    </row>
    <row r="408" spans="1:7" ht="77.25">
      <c r="A408" s="3" t="s">
        <v>1035</v>
      </c>
      <c r="B408" s="4" t="s">
        <v>42</v>
      </c>
      <c r="C408" s="4" t="s">
        <v>45</v>
      </c>
      <c r="D408" s="4" t="s">
        <v>977</v>
      </c>
      <c r="E408" s="4"/>
      <c r="F408" s="29">
        <f>F409+F415</f>
        <v>23756630.36</v>
      </c>
      <c r="G408" s="29"/>
    </row>
    <row r="409" spans="1:7" ht="77.25">
      <c r="A409" s="3" t="s">
        <v>172</v>
      </c>
      <c r="B409" s="4" t="s">
        <v>42</v>
      </c>
      <c r="C409" s="4" t="s">
        <v>45</v>
      </c>
      <c r="D409" s="4" t="s">
        <v>794</v>
      </c>
      <c r="E409" s="4"/>
      <c r="F409" s="29">
        <f>F410</f>
        <v>1918407.85</v>
      </c>
      <c r="G409" s="29"/>
    </row>
    <row r="410" spans="1:7" ht="30.75">
      <c r="A410" s="3" t="s">
        <v>795</v>
      </c>
      <c r="B410" s="4" t="s">
        <v>42</v>
      </c>
      <c r="C410" s="4" t="s">
        <v>45</v>
      </c>
      <c r="D410" s="4" t="s">
        <v>796</v>
      </c>
      <c r="E410" s="4"/>
      <c r="F410" s="29">
        <f>F411+F413</f>
        <v>1918407.85</v>
      </c>
      <c r="G410" s="29"/>
    </row>
    <row r="411" spans="1:7" ht="46.5">
      <c r="A411" s="3" t="s">
        <v>757</v>
      </c>
      <c r="B411" s="4" t="s">
        <v>42</v>
      </c>
      <c r="C411" s="4" t="s">
        <v>45</v>
      </c>
      <c r="D411" s="4" t="s">
        <v>797</v>
      </c>
      <c r="E411" s="4"/>
      <c r="F411" s="29">
        <f>F412</f>
        <v>570000</v>
      </c>
      <c r="G411" s="29"/>
    </row>
    <row r="412" spans="1:7" ht="46.5">
      <c r="A412" s="3" t="s">
        <v>701</v>
      </c>
      <c r="B412" s="4" t="s">
        <v>42</v>
      </c>
      <c r="C412" s="4" t="s">
        <v>45</v>
      </c>
      <c r="D412" s="4" t="s">
        <v>797</v>
      </c>
      <c r="E412" s="4" t="s">
        <v>605</v>
      </c>
      <c r="F412" s="29">
        <f>прил7!G456</f>
        <v>570000</v>
      </c>
      <c r="G412" s="29"/>
    </row>
    <row r="413" spans="1:7" ht="30.75">
      <c r="A413" s="3" t="s">
        <v>523</v>
      </c>
      <c r="B413" s="4" t="s">
        <v>42</v>
      </c>
      <c r="C413" s="4" t="s">
        <v>45</v>
      </c>
      <c r="D413" s="4" t="s">
        <v>798</v>
      </c>
      <c r="E413" s="4"/>
      <c r="F413" s="29">
        <f>1348407.85</f>
        <v>1348407.85</v>
      </c>
      <c r="G413" s="29"/>
    </row>
    <row r="414" spans="1:7" ht="46.5">
      <c r="A414" s="3" t="s">
        <v>93</v>
      </c>
      <c r="B414" s="4" t="s">
        <v>42</v>
      </c>
      <c r="C414" s="4" t="s">
        <v>45</v>
      </c>
      <c r="D414" s="4" t="s">
        <v>798</v>
      </c>
      <c r="E414" s="4" t="s">
        <v>605</v>
      </c>
      <c r="F414" s="29">
        <f>прил7!G458</f>
        <v>1348407.85</v>
      </c>
      <c r="G414" s="29"/>
    </row>
    <row r="415" spans="1:7" ht="77.25">
      <c r="A415" s="3" t="s">
        <v>173</v>
      </c>
      <c r="B415" s="4" t="s">
        <v>42</v>
      </c>
      <c r="C415" s="4" t="s">
        <v>45</v>
      </c>
      <c r="D415" s="4" t="s">
        <v>799</v>
      </c>
      <c r="E415" s="4"/>
      <c r="F415" s="29">
        <f>F416+F419</f>
        <v>21838222.509999998</v>
      </c>
      <c r="G415" s="29"/>
    </row>
    <row r="416" spans="1:7" ht="93">
      <c r="A416" s="3" t="s">
        <v>800</v>
      </c>
      <c r="B416" s="4" t="s">
        <v>42</v>
      </c>
      <c r="C416" s="4" t="s">
        <v>45</v>
      </c>
      <c r="D416" s="4" t="s">
        <v>801</v>
      </c>
      <c r="E416" s="4"/>
      <c r="F416" s="29">
        <f>F417</f>
        <v>19549687.88</v>
      </c>
      <c r="G416" s="29"/>
    </row>
    <row r="417" spans="1:7" ht="30.75">
      <c r="A417" s="3" t="s">
        <v>174</v>
      </c>
      <c r="B417" s="4" t="s">
        <v>42</v>
      </c>
      <c r="C417" s="4" t="s">
        <v>45</v>
      </c>
      <c r="D417" s="4" t="s">
        <v>803</v>
      </c>
      <c r="E417" s="4"/>
      <c r="F417" s="29">
        <f>F418</f>
        <v>19549687.88</v>
      </c>
      <c r="G417" s="29"/>
    </row>
    <row r="418" spans="1:7" ht="15">
      <c r="A418" s="3" t="s">
        <v>1040</v>
      </c>
      <c r="B418" s="4" t="s">
        <v>42</v>
      </c>
      <c r="C418" s="4" t="s">
        <v>45</v>
      </c>
      <c r="D418" s="4" t="s">
        <v>803</v>
      </c>
      <c r="E418" s="4" t="s">
        <v>608</v>
      </c>
      <c r="F418" s="29">
        <f>прил7!G462</f>
        <v>19549687.88</v>
      </c>
      <c r="G418" s="29"/>
    </row>
    <row r="419" spans="1:7" ht="61.5">
      <c r="A419" s="3" t="s">
        <v>804</v>
      </c>
      <c r="B419" s="4" t="s">
        <v>42</v>
      </c>
      <c r="C419" s="4" t="s">
        <v>45</v>
      </c>
      <c r="D419" s="4" t="s">
        <v>802</v>
      </c>
      <c r="E419" s="4"/>
      <c r="F419" s="29">
        <f>F420</f>
        <v>2288534.63</v>
      </c>
      <c r="G419" s="29"/>
    </row>
    <row r="420" spans="1:7" ht="30.75">
      <c r="A420" s="3" t="s">
        <v>523</v>
      </c>
      <c r="B420" s="4" t="s">
        <v>42</v>
      </c>
      <c r="C420" s="4" t="s">
        <v>45</v>
      </c>
      <c r="D420" s="4" t="s">
        <v>805</v>
      </c>
      <c r="E420" s="4"/>
      <c r="F420" s="29">
        <f>F421</f>
        <v>2288534.63</v>
      </c>
      <c r="G420" s="29"/>
    </row>
    <row r="421" spans="1:7" ht="46.5">
      <c r="A421" s="3" t="s">
        <v>701</v>
      </c>
      <c r="B421" s="4" t="s">
        <v>42</v>
      </c>
      <c r="C421" s="4" t="s">
        <v>45</v>
      </c>
      <c r="D421" s="4" t="s">
        <v>805</v>
      </c>
      <c r="E421" s="4" t="s">
        <v>605</v>
      </c>
      <c r="F421" s="29">
        <f>прил7!G465</f>
        <v>2288534.63</v>
      </c>
      <c r="G421" s="29"/>
    </row>
    <row r="422" spans="1:11" ht="15">
      <c r="A422" s="1" t="s">
        <v>568</v>
      </c>
      <c r="B422" s="2" t="s">
        <v>42</v>
      </c>
      <c r="C422" s="2" t="s">
        <v>47</v>
      </c>
      <c r="D422" s="2"/>
      <c r="E422" s="2"/>
      <c r="F422" s="33">
        <f>F423</f>
        <v>32610815.940000005</v>
      </c>
      <c r="G422" s="33"/>
      <c r="K422" s="26">
        <f>прил7!G466</f>
        <v>32610815.940000005</v>
      </c>
    </row>
    <row r="423" spans="1:7" ht="93">
      <c r="A423" s="1" t="s">
        <v>1035</v>
      </c>
      <c r="B423" s="2" t="s">
        <v>42</v>
      </c>
      <c r="C423" s="2" t="s">
        <v>47</v>
      </c>
      <c r="D423" s="2" t="s">
        <v>977</v>
      </c>
      <c r="E423" s="2"/>
      <c r="F423" s="33">
        <f>F424</f>
        <v>32610815.940000005</v>
      </c>
      <c r="G423" s="29"/>
    </row>
    <row r="424" spans="1:7" ht="61.5">
      <c r="A424" s="3" t="s">
        <v>175</v>
      </c>
      <c r="B424" s="4" t="s">
        <v>42</v>
      </c>
      <c r="C424" s="4" t="s">
        <v>47</v>
      </c>
      <c r="D424" s="4" t="s">
        <v>458</v>
      </c>
      <c r="E424" s="4"/>
      <c r="F424" s="29">
        <f>F425+F428+F431+F436+F439+F442+F445</f>
        <v>32610815.940000005</v>
      </c>
      <c r="G424" s="29"/>
    </row>
    <row r="425" spans="1:7" ht="61.5">
      <c r="A425" s="3" t="s">
        <v>806</v>
      </c>
      <c r="B425" s="4" t="s">
        <v>42</v>
      </c>
      <c r="C425" s="4" t="s">
        <v>47</v>
      </c>
      <c r="D425" s="4" t="s">
        <v>807</v>
      </c>
      <c r="E425" s="4"/>
      <c r="F425" s="29">
        <f>F426</f>
        <v>15620145.760000002</v>
      </c>
      <c r="G425" s="29"/>
    </row>
    <row r="426" spans="1:7" ht="61.5">
      <c r="A426" s="3" t="s">
        <v>176</v>
      </c>
      <c r="B426" s="4" t="s">
        <v>42</v>
      </c>
      <c r="C426" s="4" t="s">
        <v>47</v>
      </c>
      <c r="D426" s="4" t="s">
        <v>808</v>
      </c>
      <c r="E426" s="4"/>
      <c r="F426" s="29">
        <f>F427</f>
        <v>15620145.760000002</v>
      </c>
      <c r="G426" s="33"/>
    </row>
    <row r="427" spans="1:7" ht="46.5">
      <c r="A427" s="3" t="s">
        <v>701</v>
      </c>
      <c r="B427" s="4" t="s">
        <v>42</v>
      </c>
      <c r="C427" s="4" t="s">
        <v>47</v>
      </c>
      <c r="D427" s="4" t="s">
        <v>808</v>
      </c>
      <c r="E427" s="4" t="s">
        <v>605</v>
      </c>
      <c r="F427" s="29">
        <f>прил7!G471</f>
        <v>15620145.760000002</v>
      </c>
      <c r="G427" s="29"/>
    </row>
    <row r="428" spans="1:7" ht="107.25" customHeight="1">
      <c r="A428" s="3" t="s">
        <v>809</v>
      </c>
      <c r="B428" s="4" t="s">
        <v>42</v>
      </c>
      <c r="C428" s="4" t="s">
        <v>47</v>
      </c>
      <c r="D428" s="4" t="s">
        <v>810</v>
      </c>
      <c r="E428" s="4"/>
      <c r="F428" s="29">
        <f>F429</f>
        <v>10996109.58</v>
      </c>
      <c r="G428" s="29"/>
    </row>
    <row r="429" spans="1:7" ht="61.5">
      <c r="A429" s="3" t="s">
        <v>177</v>
      </c>
      <c r="B429" s="4" t="s">
        <v>42</v>
      </c>
      <c r="C429" s="4" t="s">
        <v>47</v>
      </c>
      <c r="D429" s="4" t="s">
        <v>811</v>
      </c>
      <c r="E429" s="4"/>
      <c r="F429" s="29">
        <f>F430</f>
        <v>10996109.58</v>
      </c>
      <c r="G429" s="29"/>
    </row>
    <row r="430" spans="1:7" ht="46.5">
      <c r="A430" s="3" t="s">
        <v>701</v>
      </c>
      <c r="B430" s="4" t="s">
        <v>42</v>
      </c>
      <c r="C430" s="4" t="s">
        <v>47</v>
      </c>
      <c r="D430" s="4" t="s">
        <v>811</v>
      </c>
      <c r="E430" s="4" t="s">
        <v>605</v>
      </c>
      <c r="F430" s="29">
        <f>прил7!G474</f>
        <v>10996109.58</v>
      </c>
      <c r="G430" s="29"/>
    </row>
    <row r="431" spans="1:7" ht="93">
      <c r="A431" s="3" t="s">
        <v>167</v>
      </c>
      <c r="B431" s="4" t="s">
        <v>42</v>
      </c>
      <c r="C431" s="4" t="s">
        <v>47</v>
      </c>
      <c r="D431" s="4" t="s">
        <v>168</v>
      </c>
      <c r="E431" s="4"/>
      <c r="F431" s="29">
        <f>F432+F434</f>
        <v>1013540.1</v>
      </c>
      <c r="G431" s="29"/>
    </row>
    <row r="432" spans="1:7" ht="46.5">
      <c r="A432" s="3" t="s">
        <v>756</v>
      </c>
      <c r="B432" s="4" t="s">
        <v>42</v>
      </c>
      <c r="C432" s="4" t="s">
        <v>47</v>
      </c>
      <c r="D432" s="4" t="s">
        <v>169</v>
      </c>
      <c r="E432" s="4"/>
      <c r="F432" s="29">
        <f>F433</f>
        <v>413540.1</v>
      </c>
      <c r="G432" s="29"/>
    </row>
    <row r="433" spans="1:7" ht="46.5">
      <c r="A433" s="3" t="s">
        <v>701</v>
      </c>
      <c r="B433" s="4" t="s">
        <v>42</v>
      </c>
      <c r="C433" s="4" t="s">
        <v>47</v>
      </c>
      <c r="D433" s="4" t="s">
        <v>169</v>
      </c>
      <c r="E433" s="4" t="s">
        <v>605</v>
      </c>
      <c r="F433" s="29">
        <f>прил7!G477</f>
        <v>413540.1</v>
      </c>
      <c r="G433" s="29"/>
    </row>
    <row r="434" spans="1:7" ht="61.5">
      <c r="A434" s="3" t="s">
        <v>753</v>
      </c>
      <c r="B434" s="4" t="s">
        <v>42</v>
      </c>
      <c r="C434" s="4" t="s">
        <v>47</v>
      </c>
      <c r="D434" s="4" t="s">
        <v>508</v>
      </c>
      <c r="E434" s="4"/>
      <c r="F434" s="29">
        <f>F435</f>
        <v>600000</v>
      </c>
      <c r="G434" s="29"/>
    </row>
    <row r="435" spans="1:7" ht="46.5">
      <c r="A435" s="3" t="s">
        <v>676</v>
      </c>
      <c r="B435" s="4" t="s">
        <v>42</v>
      </c>
      <c r="C435" s="4" t="s">
        <v>47</v>
      </c>
      <c r="D435" s="4" t="s">
        <v>508</v>
      </c>
      <c r="E435" s="4" t="s">
        <v>447</v>
      </c>
      <c r="F435" s="29">
        <f>прил7!G479</f>
        <v>600000</v>
      </c>
      <c r="G435" s="29"/>
    </row>
    <row r="436" spans="1:7" ht="30.75">
      <c r="A436" s="3" t="s">
        <v>238</v>
      </c>
      <c r="B436" s="4" t="s">
        <v>42</v>
      </c>
      <c r="C436" s="4" t="s">
        <v>47</v>
      </c>
      <c r="D436" s="4" t="s">
        <v>170</v>
      </c>
      <c r="E436" s="4"/>
      <c r="F436" s="29">
        <f>F437</f>
        <v>643364.04</v>
      </c>
      <c r="G436" s="29"/>
    </row>
    <row r="437" spans="1:7" ht="30.75">
      <c r="A437" s="3" t="s">
        <v>523</v>
      </c>
      <c r="B437" s="4" t="s">
        <v>42</v>
      </c>
      <c r="C437" s="4" t="s">
        <v>47</v>
      </c>
      <c r="D437" s="4" t="s">
        <v>171</v>
      </c>
      <c r="E437" s="4"/>
      <c r="F437" s="29">
        <f>F438</f>
        <v>643364.04</v>
      </c>
      <c r="G437" s="29"/>
    </row>
    <row r="438" spans="1:7" ht="46.5">
      <c r="A438" s="3" t="s">
        <v>701</v>
      </c>
      <c r="B438" s="4" t="s">
        <v>42</v>
      </c>
      <c r="C438" s="4" t="s">
        <v>47</v>
      </c>
      <c r="D438" s="4" t="s">
        <v>171</v>
      </c>
      <c r="E438" s="4" t="s">
        <v>605</v>
      </c>
      <c r="F438" s="29">
        <f>прил7!G482</f>
        <v>643364.04</v>
      </c>
      <c r="G438" s="29"/>
    </row>
    <row r="439" spans="1:7" ht="46.5">
      <c r="A439" s="3" t="s">
        <v>540</v>
      </c>
      <c r="B439" s="4" t="s">
        <v>42</v>
      </c>
      <c r="C439" s="4" t="s">
        <v>47</v>
      </c>
      <c r="D439" s="4" t="s">
        <v>541</v>
      </c>
      <c r="E439" s="4"/>
      <c r="F439" s="29">
        <f>F440</f>
        <v>3931570.4100000006</v>
      </c>
      <c r="G439" s="29"/>
    </row>
    <row r="440" spans="1:7" ht="30.75">
      <c r="A440" s="3" t="s">
        <v>523</v>
      </c>
      <c r="B440" s="4" t="s">
        <v>42</v>
      </c>
      <c r="C440" s="4" t="s">
        <v>47</v>
      </c>
      <c r="D440" s="4" t="s">
        <v>542</v>
      </c>
      <c r="E440" s="4"/>
      <c r="F440" s="29">
        <f>F441</f>
        <v>3931570.4100000006</v>
      </c>
      <c r="G440" s="29"/>
    </row>
    <row r="441" spans="1:7" ht="46.5">
      <c r="A441" s="3" t="s">
        <v>701</v>
      </c>
      <c r="B441" s="4" t="s">
        <v>42</v>
      </c>
      <c r="C441" s="4" t="s">
        <v>47</v>
      </c>
      <c r="D441" s="4" t="s">
        <v>542</v>
      </c>
      <c r="E441" s="4" t="s">
        <v>605</v>
      </c>
      <c r="F441" s="29">
        <f>прил7!G485</f>
        <v>3931570.4100000006</v>
      </c>
      <c r="G441" s="29"/>
    </row>
    <row r="442" spans="1:7" ht="46.5">
      <c r="A442" s="3" t="s">
        <v>1153</v>
      </c>
      <c r="B442" s="4" t="s">
        <v>42</v>
      </c>
      <c r="C442" s="4" t="s">
        <v>47</v>
      </c>
      <c r="D442" s="4" t="s">
        <v>1154</v>
      </c>
      <c r="E442" s="4"/>
      <c r="F442" s="29">
        <f>F443</f>
        <v>190766</v>
      </c>
      <c r="G442" s="29"/>
    </row>
    <row r="443" spans="1:7" ht="30.75">
      <c r="A443" s="3" t="s">
        <v>523</v>
      </c>
      <c r="B443" s="4" t="s">
        <v>42</v>
      </c>
      <c r="C443" s="4" t="s">
        <v>47</v>
      </c>
      <c r="D443" s="4" t="s">
        <v>1155</v>
      </c>
      <c r="E443" s="4"/>
      <c r="F443" s="29">
        <f>F444</f>
        <v>190766</v>
      </c>
      <c r="G443" s="29"/>
    </row>
    <row r="444" spans="1:7" ht="46.5">
      <c r="A444" s="3" t="s">
        <v>701</v>
      </c>
      <c r="B444" s="4" t="s">
        <v>42</v>
      </c>
      <c r="C444" s="4" t="s">
        <v>47</v>
      </c>
      <c r="D444" s="4" t="s">
        <v>1155</v>
      </c>
      <c r="E444" s="4" t="s">
        <v>605</v>
      </c>
      <c r="F444" s="29">
        <f>прил7!G488</f>
        <v>190766</v>
      </c>
      <c r="G444" s="29"/>
    </row>
    <row r="445" spans="1:7" ht="46.5">
      <c r="A445" s="3" t="s">
        <v>1216</v>
      </c>
      <c r="B445" s="4" t="s">
        <v>42</v>
      </c>
      <c r="C445" s="4" t="s">
        <v>47</v>
      </c>
      <c r="D445" s="4" t="s">
        <v>1217</v>
      </c>
      <c r="E445" s="4"/>
      <c r="F445" s="29">
        <f>F446</f>
        <v>215320.05</v>
      </c>
      <c r="G445" s="29"/>
    </row>
    <row r="446" spans="1:7" ht="30.75">
      <c r="A446" s="3" t="s">
        <v>523</v>
      </c>
      <c r="B446" s="4" t="s">
        <v>42</v>
      </c>
      <c r="C446" s="4" t="s">
        <v>47</v>
      </c>
      <c r="D446" s="4" t="s">
        <v>1218</v>
      </c>
      <c r="E446" s="4"/>
      <c r="F446" s="29">
        <f>F447</f>
        <v>215320.05</v>
      </c>
      <c r="G446" s="29"/>
    </row>
    <row r="447" spans="1:7" ht="46.5">
      <c r="A447" s="3" t="s">
        <v>701</v>
      </c>
      <c r="B447" s="4" t="s">
        <v>42</v>
      </c>
      <c r="C447" s="4" t="s">
        <v>47</v>
      </c>
      <c r="D447" s="4" t="s">
        <v>1218</v>
      </c>
      <c r="E447" s="4" t="s">
        <v>605</v>
      </c>
      <c r="F447" s="29">
        <f>прил7!G491</f>
        <v>215320.05</v>
      </c>
      <c r="G447" s="29"/>
    </row>
    <row r="448" spans="1:7" ht="46.5">
      <c r="A448" s="1" t="s">
        <v>739</v>
      </c>
      <c r="B448" s="2" t="s">
        <v>42</v>
      </c>
      <c r="C448" s="2" t="s">
        <v>42</v>
      </c>
      <c r="D448" s="4"/>
      <c r="E448" s="4"/>
      <c r="F448" s="33">
        <f>F449+F467</f>
        <v>17894610.53</v>
      </c>
      <c r="G448" s="33"/>
    </row>
    <row r="449" spans="1:7" ht="77.25">
      <c r="A449" s="3" t="s">
        <v>1035</v>
      </c>
      <c r="B449" s="4" t="s">
        <v>42</v>
      </c>
      <c r="C449" s="4" t="s">
        <v>42</v>
      </c>
      <c r="D449" s="4" t="s">
        <v>977</v>
      </c>
      <c r="E449" s="4"/>
      <c r="F449" s="29">
        <f>F450</f>
        <v>14913187.73</v>
      </c>
      <c r="G449" s="33"/>
    </row>
    <row r="450" spans="1:7" ht="61.5">
      <c r="A450" s="3" t="s">
        <v>585</v>
      </c>
      <c r="B450" s="4" t="s">
        <v>42</v>
      </c>
      <c r="C450" s="4" t="s">
        <v>42</v>
      </c>
      <c r="D450" s="4" t="s">
        <v>543</v>
      </c>
      <c r="E450" s="4"/>
      <c r="F450" s="29">
        <f>F451+F458+F464</f>
        <v>14913187.73</v>
      </c>
      <c r="G450" s="29"/>
    </row>
    <row r="451" spans="1:7" ht="46.5">
      <c r="A451" s="3" t="s">
        <v>544</v>
      </c>
      <c r="B451" s="4" t="s">
        <v>42</v>
      </c>
      <c r="C451" s="4" t="s">
        <v>42</v>
      </c>
      <c r="D451" s="4" t="s">
        <v>545</v>
      </c>
      <c r="E451" s="4"/>
      <c r="F451" s="29">
        <f>F452+F456</f>
        <v>6092546.220000001</v>
      </c>
      <c r="G451" s="29"/>
    </row>
    <row r="452" spans="1:7" ht="108">
      <c r="A452" s="3" t="s">
        <v>749</v>
      </c>
      <c r="B452" s="4" t="s">
        <v>42</v>
      </c>
      <c r="C452" s="4" t="s">
        <v>42</v>
      </c>
      <c r="D452" s="4" t="s">
        <v>546</v>
      </c>
      <c r="E452" s="4"/>
      <c r="F452" s="29">
        <f>F453+F454+F455</f>
        <v>5694601.750000001</v>
      </c>
      <c r="G452" s="29"/>
    </row>
    <row r="453" spans="1:7" ht="123.75">
      <c r="A453" s="3" t="s">
        <v>92</v>
      </c>
      <c r="B453" s="4" t="s">
        <v>42</v>
      </c>
      <c r="C453" s="4" t="s">
        <v>42</v>
      </c>
      <c r="D453" s="4" t="s">
        <v>546</v>
      </c>
      <c r="E453" s="4" t="s">
        <v>604</v>
      </c>
      <c r="F453" s="29">
        <f>прил7!G501</f>
        <v>5489613.750000001</v>
      </c>
      <c r="G453" s="29"/>
    </row>
    <row r="454" spans="1:7" ht="46.5">
      <c r="A454" s="3" t="s">
        <v>701</v>
      </c>
      <c r="B454" s="4" t="s">
        <v>42</v>
      </c>
      <c r="C454" s="4" t="s">
        <v>42</v>
      </c>
      <c r="D454" s="4" t="s">
        <v>546</v>
      </c>
      <c r="E454" s="4" t="s">
        <v>605</v>
      </c>
      <c r="F454" s="29">
        <f>прил7!G502</f>
        <v>130400</v>
      </c>
      <c r="G454" s="29"/>
    </row>
    <row r="455" spans="1:7" ht="15">
      <c r="A455" s="3" t="s">
        <v>1040</v>
      </c>
      <c r="B455" s="4" t="s">
        <v>42</v>
      </c>
      <c r="C455" s="4" t="s">
        <v>42</v>
      </c>
      <c r="D455" s="4" t="s">
        <v>546</v>
      </c>
      <c r="E455" s="4" t="s">
        <v>608</v>
      </c>
      <c r="F455" s="29">
        <f>прил7!G503</f>
        <v>74588</v>
      </c>
      <c r="G455" s="29"/>
    </row>
    <row r="456" spans="1:7" ht="30.75">
      <c r="A456" s="3" t="s">
        <v>523</v>
      </c>
      <c r="B456" s="4" t="s">
        <v>42</v>
      </c>
      <c r="C456" s="4" t="s">
        <v>42</v>
      </c>
      <c r="D456" s="4" t="s">
        <v>1115</v>
      </c>
      <c r="E456" s="4"/>
      <c r="F456" s="29">
        <f>F457</f>
        <v>397944.47</v>
      </c>
      <c r="G456" s="29"/>
    </row>
    <row r="457" spans="1:7" ht="46.5">
      <c r="A457" s="3" t="s">
        <v>701</v>
      </c>
      <c r="B457" s="4" t="s">
        <v>42</v>
      </c>
      <c r="C457" s="4" t="s">
        <v>42</v>
      </c>
      <c r="D457" s="4" t="s">
        <v>1115</v>
      </c>
      <c r="E457" s="4" t="s">
        <v>605</v>
      </c>
      <c r="F457" s="29">
        <f>прил7!G505</f>
        <v>397944.47</v>
      </c>
      <c r="G457" s="29"/>
    </row>
    <row r="458" spans="1:7" ht="108">
      <c r="A458" s="192" t="s">
        <v>240</v>
      </c>
      <c r="B458" s="4" t="s">
        <v>42</v>
      </c>
      <c r="C458" s="4" t="s">
        <v>42</v>
      </c>
      <c r="D458" s="4" t="s">
        <v>241</v>
      </c>
      <c r="E458" s="4"/>
      <c r="F458" s="29">
        <f>F459+F462</f>
        <v>8523532.25</v>
      </c>
      <c r="G458" s="29"/>
    </row>
    <row r="459" spans="1:7" ht="108">
      <c r="A459" s="192" t="s">
        <v>749</v>
      </c>
      <c r="B459" s="4" t="s">
        <v>42</v>
      </c>
      <c r="C459" s="4" t="s">
        <v>42</v>
      </c>
      <c r="D459" s="4" t="s">
        <v>242</v>
      </c>
      <c r="E459" s="4"/>
      <c r="F459" s="29">
        <f>F460+F461</f>
        <v>8381032.25</v>
      </c>
      <c r="G459" s="29"/>
    </row>
    <row r="460" spans="1:7" ht="123.75">
      <c r="A460" s="3" t="s">
        <v>92</v>
      </c>
      <c r="B460" s="4" t="s">
        <v>42</v>
      </c>
      <c r="C460" s="4" t="s">
        <v>42</v>
      </c>
      <c r="D460" s="4" t="s">
        <v>242</v>
      </c>
      <c r="E460" s="4" t="s">
        <v>604</v>
      </c>
      <c r="F460" s="29">
        <f>прил7!G508</f>
        <v>8087863.37</v>
      </c>
      <c r="G460" s="29"/>
    </row>
    <row r="461" spans="1:7" ht="46.5">
      <c r="A461" s="3" t="s">
        <v>701</v>
      </c>
      <c r="B461" s="4" t="s">
        <v>42</v>
      </c>
      <c r="C461" s="4" t="s">
        <v>42</v>
      </c>
      <c r="D461" s="4" t="s">
        <v>242</v>
      </c>
      <c r="E461" s="4" t="s">
        <v>605</v>
      </c>
      <c r="F461" s="29">
        <f>прил7!G509</f>
        <v>293168.88</v>
      </c>
      <c r="G461" s="29"/>
    </row>
    <row r="462" spans="1:7" ht="108">
      <c r="A462" s="3" t="s">
        <v>587</v>
      </c>
      <c r="B462" s="4" t="s">
        <v>42</v>
      </c>
      <c r="C462" s="4" t="s">
        <v>42</v>
      </c>
      <c r="D462" s="4" t="s">
        <v>243</v>
      </c>
      <c r="E462" s="4"/>
      <c r="F462" s="29">
        <f>F463</f>
        <v>142500</v>
      </c>
      <c r="G462" s="29"/>
    </row>
    <row r="463" spans="1:7" ht="123.75">
      <c r="A463" s="3" t="s">
        <v>506</v>
      </c>
      <c r="B463" s="4" t="s">
        <v>42</v>
      </c>
      <c r="C463" s="4" t="s">
        <v>42</v>
      </c>
      <c r="D463" s="4" t="s">
        <v>547</v>
      </c>
      <c r="E463" s="4" t="s">
        <v>604</v>
      </c>
      <c r="F463" s="29">
        <f>прил7!G511</f>
        <v>142500</v>
      </c>
      <c r="G463" s="29"/>
    </row>
    <row r="464" spans="1:7" ht="46.5">
      <c r="A464" s="192" t="s">
        <v>244</v>
      </c>
      <c r="B464" s="4" t="s">
        <v>42</v>
      </c>
      <c r="C464" s="4" t="s">
        <v>42</v>
      </c>
      <c r="D464" s="4" t="s">
        <v>245</v>
      </c>
      <c r="E464" s="4"/>
      <c r="F464" s="29">
        <f>F465</f>
        <v>297109.26</v>
      </c>
      <c r="G464" s="29"/>
    </row>
    <row r="465" spans="1:7" ht="108">
      <c r="A465" s="192" t="s">
        <v>749</v>
      </c>
      <c r="B465" s="4" t="s">
        <v>42</v>
      </c>
      <c r="C465" s="4" t="s">
        <v>42</v>
      </c>
      <c r="D465" s="4" t="s">
        <v>246</v>
      </c>
      <c r="E465" s="4"/>
      <c r="F465" s="29">
        <f>F466</f>
        <v>297109.26</v>
      </c>
      <c r="G465" s="29"/>
    </row>
    <row r="466" spans="1:7" ht="46.5">
      <c r="A466" s="3" t="s">
        <v>701</v>
      </c>
      <c r="B466" s="4" t="s">
        <v>42</v>
      </c>
      <c r="C466" s="4" t="s">
        <v>42</v>
      </c>
      <c r="D466" s="4" t="s">
        <v>246</v>
      </c>
      <c r="E466" s="4" t="s">
        <v>605</v>
      </c>
      <c r="F466" s="29">
        <f>прил7!G514</f>
        <v>297109.26</v>
      </c>
      <c r="G466" s="29"/>
    </row>
    <row r="467" spans="1:7" ht="15">
      <c r="A467" s="27" t="s">
        <v>91</v>
      </c>
      <c r="B467" s="4" t="s">
        <v>42</v>
      </c>
      <c r="C467" s="4" t="s">
        <v>42</v>
      </c>
      <c r="D467" s="4" t="s">
        <v>734</v>
      </c>
      <c r="E467" s="4"/>
      <c r="F467" s="29">
        <f>F468</f>
        <v>2981422.8</v>
      </c>
      <c r="G467" s="29"/>
    </row>
    <row r="468" spans="1:7" ht="108">
      <c r="A468" s="3" t="s">
        <v>749</v>
      </c>
      <c r="B468" s="4" t="s">
        <v>42</v>
      </c>
      <c r="C468" s="4" t="s">
        <v>42</v>
      </c>
      <c r="D468" s="4" t="s">
        <v>548</v>
      </c>
      <c r="E468" s="4"/>
      <c r="F468" s="29">
        <f>F469</f>
        <v>2981422.8</v>
      </c>
      <c r="G468" s="29"/>
    </row>
    <row r="469" spans="1:7" ht="61.5">
      <c r="A469" s="3" t="s">
        <v>525</v>
      </c>
      <c r="B469" s="4" t="s">
        <v>42</v>
      </c>
      <c r="C469" s="4" t="s">
        <v>42</v>
      </c>
      <c r="D469" s="4" t="s">
        <v>548</v>
      </c>
      <c r="E469" s="4" t="s">
        <v>609</v>
      </c>
      <c r="F469" s="29">
        <f>прил7!G517</f>
        <v>2981422.8</v>
      </c>
      <c r="G469" s="29"/>
    </row>
    <row r="470" spans="1:7" ht="15">
      <c r="A470" s="13" t="s">
        <v>611</v>
      </c>
      <c r="B470" s="5" t="s">
        <v>41</v>
      </c>
      <c r="C470" s="5"/>
      <c r="D470" s="5"/>
      <c r="E470" s="5"/>
      <c r="F470" s="28">
        <f>F471</f>
        <v>12380759.49</v>
      </c>
      <c r="G470" s="28"/>
    </row>
    <row r="471" spans="1:7" ht="30.75">
      <c r="A471" s="1" t="s">
        <v>612</v>
      </c>
      <c r="B471" s="2" t="s">
        <v>41</v>
      </c>
      <c r="C471" s="2" t="s">
        <v>42</v>
      </c>
      <c r="D471" s="2"/>
      <c r="E471" s="2"/>
      <c r="F471" s="33">
        <f>F472</f>
        <v>12380759.49</v>
      </c>
      <c r="G471" s="33"/>
    </row>
    <row r="472" spans="1:7" ht="61.5">
      <c r="A472" s="3" t="s">
        <v>1037</v>
      </c>
      <c r="B472" s="4" t="s">
        <v>41</v>
      </c>
      <c r="C472" s="4" t="s">
        <v>42</v>
      </c>
      <c r="D472" s="4" t="s">
        <v>490</v>
      </c>
      <c r="E472" s="2"/>
      <c r="F472" s="33">
        <f>F479+F476+F473</f>
        <v>12380759.49</v>
      </c>
      <c r="G472" s="33"/>
    </row>
    <row r="473" spans="1:7" ht="61.5">
      <c r="A473" s="3" t="s">
        <v>1219</v>
      </c>
      <c r="B473" s="4" t="s">
        <v>41</v>
      </c>
      <c r="C473" s="4" t="s">
        <v>42</v>
      </c>
      <c r="D473" s="4" t="s">
        <v>1220</v>
      </c>
      <c r="E473" s="4"/>
      <c r="F473" s="29">
        <f>F474</f>
        <v>85246</v>
      </c>
      <c r="G473" s="33"/>
    </row>
    <row r="474" spans="1:7" ht="30.75">
      <c r="A474" s="3" t="s">
        <v>523</v>
      </c>
      <c r="B474" s="4" t="s">
        <v>41</v>
      </c>
      <c r="C474" s="4" t="s">
        <v>42</v>
      </c>
      <c r="D474" s="4" t="s">
        <v>1221</v>
      </c>
      <c r="E474" s="4"/>
      <c r="F474" s="29">
        <f>F475</f>
        <v>85246</v>
      </c>
      <c r="G474" s="33"/>
    </row>
    <row r="475" spans="1:7" ht="46.5">
      <c r="A475" s="3" t="s">
        <v>701</v>
      </c>
      <c r="B475" s="4" t="s">
        <v>41</v>
      </c>
      <c r="C475" s="4" t="s">
        <v>42</v>
      </c>
      <c r="D475" s="4" t="s">
        <v>1221</v>
      </c>
      <c r="E475" s="4" t="s">
        <v>605</v>
      </c>
      <c r="F475" s="29">
        <f>прил7!G523</f>
        <v>85246</v>
      </c>
      <c r="G475" s="33"/>
    </row>
    <row r="476" spans="1:7" ht="108">
      <c r="A476" s="3" t="s">
        <v>1101</v>
      </c>
      <c r="B476" s="4" t="s">
        <v>41</v>
      </c>
      <c r="C476" s="4" t="s">
        <v>42</v>
      </c>
      <c r="D476" s="4" t="s">
        <v>247</v>
      </c>
      <c r="E476" s="4"/>
      <c r="F476" s="29">
        <f>F477</f>
        <v>546513.49</v>
      </c>
      <c r="G476" s="29"/>
    </row>
    <row r="477" spans="1:7" ht="30.75">
      <c r="A477" s="3" t="s">
        <v>523</v>
      </c>
      <c r="B477" s="4" t="s">
        <v>41</v>
      </c>
      <c r="C477" s="4" t="s">
        <v>42</v>
      </c>
      <c r="D477" s="4" t="s">
        <v>248</v>
      </c>
      <c r="E477" s="4"/>
      <c r="F477" s="29">
        <f>F478</f>
        <v>546513.49</v>
      </c>
      <c r="G477" s="29"/>
    </row>
    <row r="478" spans="1:7" ht="46.5">
      <c r="A478" s="3" t="s">
        <v>701</v>
      </c>
      <c r="B478" s="4" t="s">
        <v>41</v>
      </c>
      <c r="C478" s="4" t="s">
        <v>42</v>
      </c>
      <c r="D478" s="4" t="s">
        <v>248</v>
      </c>
      <c r="E478" s="4" t="s">
        <v>605</v>
      </c>
      <c r="F478" s="29">
        <f>прил7!G526</f>
        <v>546513.49</v>
      </c>
      <c r="G478" s="29"/>
    </row>
    <row r="479" spans="1:7" ht="93">
      <c r="A479" s="3" t="s">
        <v>549</v>
      </c>
      <c r="B479" s="4" t="s">
        <v>41</v>
      </c>
      <c r="C479" s="4" t="s">
        <v>42</v>
      </c>
      <c r="D479" s="4" t="s">
        <v>550</v>
      </c>
      <c r="E479" s="4"/>
      <c r="F479" s="29">
        <f>F480</f>
        <v>11749000</v>
      </c>
      <c r="G479" s="29"/>
    </row>
    <row r="480" spans="1:7" ht="61.5">
      <c r="A480" s="3" t="s">
        <v>753</v>
      </c>
      <c r="B480" s="4" t="s">
        <v>41</v>
      </c>
      <c r="C480" s="4" t="s">
        <v>42</v>
      </c>
      <c r="D480" s="4" t="s">
        <v>551</v>
      </c>
      <c r="E480" s="4"/>
      <c r="F480" s="29">
        <f>F481</f>
        <v>11749000</v>
      </c>
      <c r="G480" s="29"/>
    </row>
    <row r="481" spans="1:7" ht="46.5">
      <c r="A481" s="3" t="s">
        <v>676</v>
      </c>
      <c r="B481" s="4" t="s">
        <v>41</v>
      </c>
      <c r="C481" s="4" t="s">
        <v>42</v>
      </c>
      <c r="D481" s="4" t="s">
        <v>551</v>
      </c>
      <c r="E481" s="4" t="s">
        <v>447</v>
      </c>
      <c r="F481" s="29">
        <f>прил7!G529</f>
        <v>11749000</v>
      </c>
      <c r="G481" s="29"/>
    </row>
    <row r="482" spans="1:12" ht="15">
      <c r="A482" s="13" t="s">
        <v>51</v>
      </c>
      <c r="B482" s="5" t="s">
        <v>43</v>
      </c>
      <c r="C482" s="5"/>
      <c r="D482" s="5"/>
      <c r="E482" s="5"/>
      <c r="F482" s="28">
        <f>F483+F519+F583+F620</f>
        <v>1361943473.7099996</v>
      </c>
      <c r="G482" s="28">
        <f>G483+G519+G583+G620</f>
        <v>655251782</v>
      </c>
      <c r="K482" s="26">
        <f>прил7!G530+прил7!G687+прил7!G882</f>
        <v>1361943473.7099998</v>
      </c>
      <c r="L482" s="26">
        <f>прил7!H530+прил7!H687+прил7!H882</f>
        <v>655251782</v>
      </c>
    </row>
    <row r="483" spans="1:12" ht="15">
      <c r="A483" s="1" t="s">
        <v>52</v>
      </c>
      <c r="B483" s="2" t="s">
        <v>43</v>
      </c>
      <c r="C483" s="2" t="s">
        <v>917</v>
      </c>
      <c r="D483" s="2"/>
      <c r="E483" s="4"/>
      <c r="F483" s="33">
        <f>F484</f>
        <v>548144165.9799999</v>
      </c>
      <c r="G483" s="33">
        <f>G484</f>
        <v>308016369</v>
      </c>
      <c r="K483" s="26">
        <f>K482-F482</f>
        <v>0</v>
      </c>
      <c r="L483" s="26">
        <f>L482-G482</f>
        <v>0</v>
      </c>
    </row>
    <row r="484" spans="1:7" ht="46.5">
      <c r="A484" s="3" t="s">
        <v>102</v>
      </c>
      <c r="B484" s="4" t="s">
        <v>43</v>
      </c>
      <c r="C484" s="4" t="s">
        <v>917</v>
      </c>
      <c r="D484" s="4" t="s">
        <v>552</v>
      </c>
      <c r="E484" s="4"/>
      <c r="F484" s="29">
        <f>F485+F505</f>
        <v>548144165.9799999</v>
      </c>
      <c r="G484" s="29">
        <f>G485+G505</f>
        <v>308016369</v>
      </c>
    </row>
    <row r="485" spans="1:7" ht="46.5">
      <c r="A485" s="3" t="s">
        <v>530</v>
      </c>
      <c r="B485" s="4" t="s">
        <v>43</v>
      </c>
      <c r="C485" s="4" t="s">
        <v>917</v>
      </c>
      <c r="D485" s="4" t="s">
        <v>340</v>
      </c>
      <c r="E485" s="4"/>
      <c r="F485" s="29">
        <f>F486+F497+F502</f>
        <v>502730568.29999995</v>
      </c>
      <c r="G485" s="29">
        <f>G486+G497+G502</f>
        <v>308016369</v>
      </c>
    </row>
    <row r="486" spans="1:7" ht="108">
      <c r="A486" s="3" t="s">
        <v>341</v>
      </c>
      <c r="B486" s="4" t="s">
        <v>43</v>
      </c>
      <c r="C486" s="4" t="s">
        <v>917</v>
      </c>
      <c r="D486" s="4" t="s">
        <v>342</v>
      </c>
      <c r="E486" s="4"/>
      <c r="F486" s="29">
        <f>F487+F489+F491+F493+F495</f>
        <v>308129226.13</v>
      </c>
      <c r="G486" s="29">
        <f>G487+G489+G491+G493+G495</f>
        <v>308016369</v>
      </c>
    </row>
    <row r="487" spans="1:7" ht="108">
      <c r="A487" s="3" t="s">
        <v>343</v>
      </c>
      <c r="B487" s="4" t="s">
        <v>43</v>
      </c>
      <c r="C487" s="4" t="s">
        <v>917</v>
      </c>
      <c r="D487" s="4" t="s">
        <v>344</v>
      </c>
      <c r="E487" s="4"/>
      <c r="F487" s="29">
        <f>F488</f>
        <v>306311700</v>
      </c>
      <c r="G487" s="29">
        <f>G488</f>
        <v>306311700</v>
      </c>
    </row>
    <row r="488" spans="1:7" ht="61.5">
      <c r="A488" s="3" t="s">
        <v>525</v>
      </c>
      <c r="B488" s="4" t="s">
        <v>43</v>
      </c>
      <c r="C488" s="4" t="s">
        <v>917</v>
      </c>
      <c r="D488" s="4" t="s">
        <v>344</v>
      </c>
      <c r="E488" s="4" t="s">
        <v>609</v>
      </c>
      <c r="F488" s="29">
        <f>прил7!G693</f>
        <v>306311700</v>
      </c>
      <c r="G488" s="29">
        <f>F488</f>
        <v>306311700</v>
      </c>
    </row>
    <row r="489" spans="1:7" ht="131.25" customHeight="1">
      <c r="A489" s="3" t="s">
        <v>859</v>
      </c>
      <c r="B489" s="4" t="s">
        <v>43</v>
      </c>
      <c r="C489" s="4" t="s">
        <v>917</v>
      </c>
      <c r="D489" s="4" t="s">
        <v>345</v>
      </c>
      <c r="E489" s="4"/>
      <c r="F489" s="29">
        <f>F490</f>
        <v>1150930</v>
      </c>
      <c r="G489" s="29">
        <f>G490</f>
        <v>1150930</v>
      </c>
    </row>
    <row r="490" spans="1:7" ht="61.5">
      <c r="A490" s="3" t="s">
        <v>525</v>
      </c>
      <c r="B490" s="4" t="s">
        <v>43</v>
      </c>
      <c r="C490" s="4" t="s">
        <v>917</v>
      </c>
      <c r="D490" s="4" t="s">
        <v>345</v>
      </c>
      <c r="E490" s="4" t="s">
        <v>609</v>
      </c>
      <c r="F490" s="29">
        <f>прил7!G695</f>
        <v>1150930</v>
      </c>
      <c r="G490" s="29">
        <f>F490</f>
        <v>1150930</v>
      </c>
    </row>
    <row r="491" spans="1:7" ht="123.75">
      <c r="A491" s="3" t="s">
        <v>859</v>
      </c>
      <c r="B491" s="4" t="s">
        <v>43</v>
      </c>
      <c r="C491" s="4" t="s">
        <v>917</v>
      </c>
      <c r="D491" s="4" t="s">
        <v>346</v>
      </c>
      <c r="E491" s="4"/>
      <c r="F491" s="29">
        <f>F492</f>
        <v>82156</v>
      </c>
      <c r="G491" s="29"/>
    </row>
    <row r="492" spans="1:7" ht="61.5">
      <c r="A492" s="3" t="s">
        <v>525</v>
      </c>
      <c r="B492" s="4" t="s">
        <v>43</v>
      </c>
      <c r="C492" s="4" t="s">
        <v>917</v>
      </c>
      <c r="D492" s="4" t="s">
        <v>346</v>
      </c>
      <c r="E492" s="4" t="s">
        <v>609</v>
      </c>
      <c r="F492" s="29">
        <f>прил7!G697</f>
        <v>82156</v>
      </c>
      <c r="G492" s="29"/>
    </row>
    <row r="493" spans="1:7" ht="139.5">
      <c r="A493" s="3" t="s">
        <v>347</v>
      </c>
      <c r="B493" s="4" t="s">
        <v>43</v>
      </c>
      <c r="C493" s="4" t="s">
        <v>917</v>
      </c>
      <c r="D493" s="4" t="s">
        <v>348</v>
      </c>
      <c r="E493" s="4"/>
      <c r="F493" s="29">
        <f>F494</f>
        <v>553739</v>
      </c>
      <c r="G493" s="29">
        <f>G494</f>
        <v>553739</v>
      </c>
    </row>
    <row r="494" spans="1:7" ht="61.5">
      <c r="A494" s="3" t="s">
        <v>525</v>
      </c>
      <c r="B494" s="4" t="s">
        <v>43</v>
      </c>
      <c r="C494" s="4" t="s">
        <v>917</v>
      </c>
      <c r="D494" s="4" t="s">
        <v>348</v>
      </c>
      <c r="E494" s="4" t="s">
        <v>609</v>
      </c>
      <c r="F494" s="29">
        <f>прил7!G699</f>
        <v>553739</v>
      </c>
      <c r="G494" s="29">
        <f>F494</f>
        <v>553739</v>
      </c>
    </row>
    <row r="495" spans="1:7" ht="139.5">
      <c r="A495" s="3" t="s">
        <v>347</v>
      </c>
      <c r="B495" s="4" t="s">
        <v>43</v>
      </c>
      <c r="C495" s="4" t="s">
        <v>917</v>
      </c>
      <c r="D495" s="4" t="s">
        <v>349</v>
      </c>
      <c r="E495" s="4"/>
      <c r="F495" s="29">
        <f>F496</f>
        <v>30701.13</v>
      </c>
      <c r="G495" s="29"/>
    </row>
    <row r="496" spans="1:7" ht="61.5">
      <c r="A496" s="3" t="s">
        <v>525</v>
      </c>
      <c r="B496" s="4" t="s">
        <v>43</v>
      </c>
      <c r="C496" s="4" t="s">
        <v>917</v>
      </c>
      <c r="D496" s="4" t="s">
        <v>349</v>
      </c>
      <c r="E496" s="4" t="s">
        <v>609</v>
      </c>
      <c r="F496" s="29">
        <f>прил7!G701</f>
        <v>30701.13</v>
      </c>
      <c r="G496" s="29"/>
    </row>
    <row r="497" spans="1:7" ht="77.25">
      <c r="A497" s="3" t="s">
        <v>350</v>
      </c>
      <c r="B497" s="4" t="s">
        <v>43</v>
      </c>
      <c r="C497" s="4" t="s">
        <v>917</v>
      </c>
      <c r="D497" s="4" t="s">
        <v>351</v>
      </c>
      <c r="E497" s="4"/>
      <c r="F497" s="29">
        <f>F498+F500</f>
        <v>187412174.53</v>
      </c>
      <c r="G497" s="29"/>
    </row>
    <row r="498" spans="1:7" ht="108">
      <c r="A498" s="3" t="s">
        <v>749</v>
      </c>
      <c r="B498" s="4" t="s">
        <v>43</v>
      </c>
      <c r="C498" s="4" t="s">
        <v>917</v>
      </c>
      <c r="D498" s="4" t="s">
        <v>352</v>
      </c>
      <c r="E498" s="4"/>
      <c r="F498" s="29">
        <f>F499</f>
        <v>181419742.53</v>
      </c>
      <c r="G498" s="29"/>
    </row>
    <row r="499" spans="1:7" ht="61.5">
      <c r="A499" s="3" t="s">
        <v>525</v>
      </c>
      <c r="B499" s="4" t="s">
        <v>43</v>
      </c>
      <c r="C499" s="4" t="s">
        <v>917</v>
      </c>
      <c r="D499" s="4" t="s">
        <v>352</v>
      </c>
      <c r="E499" s="4" t="s">
        <v>609</v>
      </c>
      <c r="F499" s="29">
        <f>прил7!G704</f>
        <v>181419742.53</v>
      </c>
      <c r="G499" s="29"/>
    </row>
    <row r="500" spans="1:7" ht="30.75">
      <c r="A500" s="3" t="s">
        <v>523</v>
      </c>
      <c r="B500" s="4" t="s">
        <v>43</v>
      </c>
      <c r="C500" s="4" t="s">
        <v>917</v>
      </c>
      <c r="D500" s="4" t="s">
        <v>1098</v>
      </c>
      <c r="E500" s="4"/>
      <c r="F500" s="29">
        <f>F501</f>
        <v>5992432</v>
      </c>
      <c r="G500" s="29"/>
    </row>
    <row r="501" spans="1:7" ht="61.5">
      <c r="A501" s="3" t="s">
        <v>525</v>
      </c>
      <c r="B501" s="4" t="s">
        <v>43</v>
      </c>
      <c r="C501" s="4" t="s">
        <v>917</v>
      </c>
      <c r="D501" s="4" t="s">
        <v>1098</v>
      </c>
      <c r="E501" s="4" t="s">
        <v>609</v>
      </c>
      <c r="F501" s="29">
        <f>прил7!G706</f>
        <v>5992432</v>
      </c>
      <c r="G501" s="29"/>
    </row>
    <row r="502" spans="1:7" ht="30.75">
      <c r="A502" s="3" t="s">
        <v>356</v>
      </c>
      <c r="B502" s="4" t="s">
        <v>43</v>
      </c>
      <c r="C502" s="4" t="s">
        <v>917</v>
      </c>
      <c r="D502" s="4" t="s">
        <v>357</v>
      </c>
      <c r="E502" s="4"/>
      <c r="F502" s="29">
        <f>F504</f>
        <v>7189167.64</v>
      </c>
      <c r="G502" s="29"/>
    </row>
    <row r="503" spans="1:7" ht="108">
      <c r="A503" s="3" t="s">
        <v>749</v>
      </c>
      <c r="B503" s="4" t="s">
        <v>43</v>
      </c>
      <c r="C503" s="4" t="s">
        <v>917</v>
      </c>
      <c r="D503" s="4" t="s">
        <v>358</v>
      </c>
      <c r="E503" s="4"/>
      <c r="F503" s="29">
        <f>F504</f>
        <v>7189167.64</v>
      </c>
      <c r="G503" s="29"/>
    </row>
    <row r="504" spans="1:7" ht="61.5">
      <c r="A504" s="3" t="s">
        <v>525</v>
      </c>
      <c r="B504" s="4" t="s">
        <v>43</v>
      </c>
      <c r="C504" s="4" t="s">
        <v>917</v>
      </c>
      <c r="D504" s="4" t="s">
        <v>358</v>
      </c>
      <c r="E504" s="4" t="s">
        <v>609</v>
      </c>
      <c r="F504" s="29">
        <f>прил7!G709</f>
        <v>7189167.64</v>
      </c>
      <c r="G504" s="29"/>
    </row>
    <row r="505" spans="1:7" ht="61.5">
      <c r="A505" s="3" t="s">
        <v>4</v>
      </c>
      <c r="B505" s="4" t="s">
        <v>43</v>
      </c>
      <c r="C505" s="4" t="s">
        <v>917</v>
      </c>
      <c r="D505" s="4" t="s">
        <v>553</v>
      </c>
      <c r="E505" s="4"/>
      <c r="F505" s="29">
        <f>F511+F514+F506</f>
        <v>45413597.68</v>
      </c>
      <c r="G505" s="29"/>
    </row>
    <row r="506" spans="1:7" ht="30.75">
      <c r="A506" s="3" t="s">
        <v>922</v>
      </c>
      <c r="B506" s="4" t="s">
        <v>43</v>
      </c>
      <c r="C506" s="4" t="s">
        <v>917</v>
      </c>
      <c r="D506" s="4" t="s">
        <v>923</v>
      </c>
      <c r="E506" s="4"/>
      <c r="F506" s="29">
        <f>F507+F509</f>
        <v>41079010.14</v>
      </c>
      <c r="G506" s="29"/>
    </row>
    <row r="507" spans="1:7" ht="30.75">
      <c r="A507" s="3" t="s">
        <v>523</v>
      </c>
      <c r="B507" s="4" t="s">
        <v>43</v>
      </c>
      <c r="C507" s="4" t="s">
        <v>917</v>
      </c>
      <c r="D507" s="4" t="s">
        <v>1079</v>
      </c>
      <c r="E507" s="4"/>
      <c r="F507" s="29">
        <f>F508</f>
        <v>6300010.14</v>
      </c>
      <c r="G507" s="29"/>
    </row>
    <row r="508" spans="1:7" ht="46.5">
      <c r="A508" s="3" t="s">
        <v>701</v>
      </c>
      <c r="B508" s="4" t="s">
        <v>43</v>
      </c>
      <c r="C508" s="4" t="s">
        <v>917</v>
      </c>
      <c r="D508" s="4" t="s">
        <v>1079</v>
      </c>
      <c r="E508" s="4" t="s">
        <v>605</v>
      </c>
      <c r="F508" s="29">
        <f>прил7!G713</f>
        <v>6300010.14</v>
      </c>
      <c r="G508" s="29"/>
    </row>
    <row r="509" spans="1:7" ht="61.5">
      <c r="A509" s="3" t="s">
        <v>753</v>
      </c>
      <c r="B509" s="4" t="s">
        <v>43</v>
      </c>
      <c r="C509" s="4" t="s">
        <v>917</v>
      </c>
      <c r="D509" s="4" t="s">
        <v>924</v>
      </c>
      <c r="E509" s="4"/>
      <c r="F509" s="29">
        <f>F510</f>
        <v>34779000</v>
      </c>
      <c r="G509" s="29"/>
    </row>
    <row r="510" spans="1:7" ht="46.5">
      <c r="A510" s="3" t="s">
        <v>676</v>
      </c>
      <c r="B510" s="4" t="s">
        <v>43</v>
      </c>
      <c r="C510" s="4" t="s">
        <v>917</v>
      </c>
      <c r="D510" s="4" t="s">
        <v>924</v>
      </c>
      <c r="E510" s="4" t="s">
        <v>447</v>
      </c>
      <c r="F510" s="29">
        <f>прил7!G536</f>
        <v>34779000</v>
      </c>
      <c r="G510" s="29"/>
    </row>
    <row r="511" spans="1:7" ht="61.5">
      <c r="A511" s="3" t="s">
        <v>554</v>
      </c>
      <c r="B511" s="4" t="s">
        <v>43</v>
      </c>
      <c r="C511" s="4" t="s">
        <v>917</v>
      </c>
      <c r="D511" s="4" t="s">
        <v>555</v>
      </c>
      <c r="E511" s="4"/>
      <c r="F511" s="29">
        <f>F512</f>
        <v>778540</v>
      </c>
      <c r="G511" s="29"/>
    </row>
    <row r="512" spans="1:7" ht="46.5">
      <c r="A512" s="3" t="s">
        <v>756</v>
      </c>
      <c r="B512" s="4" t="s">
        <v>43</v>
      </c>
      <c r="C512" s="4" t="s">
        <v>917</v>
      </c>
      <c r="D512" s="4" t="s">
        <v>556</v>
      </c>
      <c r="E512" s="4"/>
      <c r="F512" s="29">
        <f>F513</f>
        <v>778540</v>
      </c>
      <c r="G512" s="29"/>
    </row>
    <row r="513" spans="1:7" ht="46.5">
      <c r="A513" s="3" t="s">
        <v>701</v>
      </c>
      <c r="B513" s="4" t="s">
        <v>43</v>
      </c>
      <c r="C513" s="4" t="s">
        <v>917</v>
      </c>
      <c r="D513" s="4" t="s">
        <v>556</v>
      </c>
      <c r="E513" s="4" t="s">
        <v>605</v>
      </c>
      <c r="F513" s="29">
        <f>прил7!G539</f>
        <v>778540</v>
      </c>
      <c r="G513" s="29"/>
    </row>
    <row r="514" spans="1:7" ht="77.25">
      <c r="A514" s="3" t="s">
        <v>557</v>
      </c>
      <c r="B514" s="4" t="s">
        <v>43</v>
      </c>
      <c r="C514" s="4" t="s">
        <v>917</v>
      </c>
      <c r="D514" s="4" t="s">
        <v>558</v>
      </c>
      <c r="E514" s="4"/>
      <c r="F514" s="29">
        <f>F515+F517</f>
        <v>3556047.54</v>
      </c>
      <c r="G514" s="29"/>
    </row>
    <row r="515" spans="1:7" ht="46.5">
      <c r="A515" s="3" t="s">
        <v>756</v>
      </c>
      <c r="B515" s="4" t="s">
        <v>43</v>
      </c>
      <c r="C515" s="4" t="s">
        <v>917</v>
      </c>
      <c r="D515" s="4" t="s">
        <v>559</v>
      </c>
      <c r="E515" s="4"/>
      <c r="F515" s="29">
        <f>F516</f>
        <v>2498244.8</v>
      </c>
      <c r="G515" s="29"/>
    </row>
    <row r="516" spans="1:7" ht="46.5">
      <c r="A516" s="3" t="s">
        <v>701</v>
      </c>
      <c r="B516" s="4" t="s">
        <v>43</v>
      </c>
      <c r="C516" s="4" t="s">
        <v>917</v>
      </c>
      <c r="D516" s="4" t="s">
        <v>559</v>
      </c>
      <c r="E516" s="4" t="s">
        <v>605</v>
      </c>
      <c r="F516" s="29">
        <f>прил7!G542</f>
        <v>2498244.8</v>
      </c>
      <c r="G516" s="29"/>
    </row>
    <row r="517" spans="1:7" ht="30.75">
      <c r="A517" s="3" t="s">
        <v>523</v>
      </c>
      <c r="B517" s="4" t="s">
        <v>43</v>
      </c>
      <c r="C517" s="4" t="s">
        <v>917</v>
      </c>
      <c r="D517" s="4" t="s">
        <v>1116</v>
      </c>
      <c r="E517" s="4"/>
      <c r="F517" s="29">
        <f>F518</f>
        <v>1057802.74</v>
      </c>
      <c r="G517" s="29"/>
    </row>
    <row r="518" spans="1:7" ht="61.5">
      <c r="A518" s="3" t="s">
        <v>525</v>
      </c>
      <c r="B518" s="4" t="s">
        <v>43</v>
      </c>
      <c r="C518" s="4" t="s">
        <v>917</v>
      </c>
      <c r="D518" s="4" t="s">
        <v>1116</v>
      </c>
      <c r="E518" s="4" t="s">
        <v>609</v>
      </c>
      <c r="F518" s="29">
        <f>прил7!G716</f>
        <v>1057802.74</v>
      </c>
      <c r="G518" s="29"/>
    </row>
    <row r="519" spans="1:7" ht="15">
      <c r="A519" s="13" t="s">
        <v>53</v>
      </c>
      <c r="B519" s="5" t="s">
        <v>43</v>
      </c>
      <c r="C519" s="5" t="s">
        <v>45</v>
      </c>
      <c r="D519" s="23"/>
      <c r="E519" s="23"/>
      <c r="F519" s="28">
        <f>F520+F571</f>
        <v>714555346.8</v>
      </c>
      <c r="G519" s="28">
        <f>G520+G571</f>
        <v>329576913</v>
      </c>
    </row>
    <row r="520" spans="1:7" ht="46.5">
      <c r="A520" s="3" t="s">
        <v>102</v>
      </c>
      <c r="B520" s="4" t="s">
        <v>43</v>
      </c>
      <c r="C520" s="4" t="s">
        <v>45</v>
      </c>
      <c r="D520" s="4" t="s">
        <v>552</v>
      </c>
      <c r="E520" s="4"/>
      <c r="F520" s="29">
        <f>F521+F556</f>
        <v>655122081.8</v>
      </c>
      <c r="G520" s="29">
        <f>G521+G556</f>
        <v>329312659</v>
      </c>
    </row>
    <row r="521" spans="1:7" ht="61.5">
      <c r="A521" s="3" t="s">
        <v>529</v>
      </c>
      <c r="B521" s="4" t="s">
        <v>43</v>
      </c>
      <c r="C521" s="4" t="s">
        <v>45</v>
      </c>
      <c r="D521" s="4" t="s">
        <v>498</v>
      </c>
      <c r="E521" s="4"/>
      <c r="F521" s="29">
        <f>F522+F529+F536+F539+F543+F546+F553</f>
        <v>640061924.66</v>
      </c>
      <c r="G521" s="29">
        <f>G522+G529+G536+G539+G543+G546+G553</f>
        <v>329312659</v>
      </c>
    </row>
    <row r="522" spans="1:7" ht="77.25">
      <c r="A522" s="3" t="s">
        <v>499</v>
      </c>
      <c r="B522" s="4" t="s">
        <v>43</v>
      </c>
      <c r="C522" s="4" t="s">
        <v>45</v>
      </c>
      <c r="D522" s="4" t="s">
        <v>500</v>
      </c>
      <c r="E522" s="4"/>
      <c r="F522" s="29">
        <f>F523+F525+F527</f>
        <v>131200291.36</v>
      </c>
      <c r="G522" s="29">
        <f>G523+G525+G527</f>
        <v>131187006</v>
      </c>
    </row>
    <row r="523" spans="1:7" ht="139.5">
      <c r="A523" s="3" t="s">
        <v>347</v>
      </c>
      <c r="B523" s="4" t="s">
        <v>43</v>
      </c>
      <c r="C523" s="4" t="s">
        <v>45</v>
      </c>
      <c r="D523" s="4" t="s">
        <v>928</v>
      </c>
      <c r="E523" s="4"/>
      <c r="F523" s="29">
        <f>F524</f>
        <v>239756</v>
      </c>
      <c r="G523" s="29">
        <f>G524</f>
        <v>239756</v>
      </c>
    </row>
    <row r="524" spans="1:7" ht="61.5">
      <c r="A524" s="3" t="s">
        <v>525</v>
      </c>
      <c r="B524" s="4" t="s">
        <v>43</v>
      </c>
      <c r="C524" s="4" t="s">
        <v>45</v>
      </c>
      <c r="D524" s="4" t="s">
        <v>928</v>
      </c>
      <c r="E524" s="4" t="s">
        <v>609</v>
      </c>
      <c r="F524" s="29">
        <f>прил7!G722</f>
        <v>239756</v>
      </c>
      <c r="G524" s="29">
        <f>F524</f>
        <v>239756</v>
      </c>
    </row>
    <row r="525" spans="1:7" ht="139.5">
      <c r="A525" s="3" t="s">
        <v>347</v>
      </c>
      <c r="B525" s="4" t="s">
        <v>43</v>
      </c>
      <c r="C525" s="4" t="s">
        <v>45</v>
      </c>
      <c r="D525" s="4" t="s">
        <v>929</v>
      </c>
      <c r="E525" s="4"/>
      <c r="F525" s="29">
        <f>F526</f>
        <v>13285.36</v>
      </c>
      <c r="G525" s="29"/>
    </row>
    <row r="526" spans="1:7" ht="61.5">
      <c r="A526" s="3" t="s">
        <v>525</v>
      </c>
      <c r="B526" s="4" t="s">
        <v>43</v>
      </c>
      <c r="C526" s="4" t="s">
        <v>45</v>
      </c>
      <c r="D526" s="4" t="s">
        <v>929</v>
      </c>
      <c r="E526" s="4" t="s">
        <v>609</v>
      </c>
      <c r="F526" s="29">
        <f>прил7!G724</f>
        <v>13285.36</v>
      </c>
      <c r="G526" s="29"/>
    </row>
    <row r="527" spans="1:7" ht="93">
      <c r="A527" s="3" t="s">
        <v>501</v>
      </c>
      <c r="B527" s="4" t="s">
        <v>43</v>
      </c>
      <c r="C527" s="4" t="s">
        <v>45</v>
      </c>
      <c r="D527" s="4" t="s">
        <v>502</v>
      </c>
      <c r="E527" s="4"/>
      <c r="F527" s="29">
        <f>F528</f>
        <v>130947250</v>
      </c>
      <c r="G527" s="29">
        <f>G528</f>
        <v>130947250</v>
      </c>
    </row>
    <row r="528" spans="1:7" ht="61.5">
      <c r="A528" s="3" t="s">
        <v>525</v>
      </c>
      <c r="B528" s="4" t="s">
        <v>43</v>
      </c>
      <c r="C528" s="4" t="s">
        <v>45</v>
      </c>
      <c r="D528" s="4" t="s">
        <v>502</v>
      </c>
      <c r="E528" s="4" t="s">
        <v>609</v>
      </c>
      <c r="F528" s="29">
        <f>прил7!G726</f>
        <v>130947250</v>
      </c>
      <c r="G528" s="29">
        <f>F528</f>
        <v>130947250</v>
      </c>
    </row>
    <row r="529" spans="1:7" ht="77.25">
      <c r="A529" s="3" t="s">
        <v>503</v>
      </c>
      <c r="B529" s="4" t="s">
        <v>43</v>
      </c>
      <c r="C529" s="4" t="s">
        <v>45</v>
      </c>
      <c r="D529" s="4" t="s">
        <v>504</v>
      </c>
      <c r="E529" s="4"/>
      <c r="F529" s="29">
        <f>F530+F532+F534</f>
        <v>164744560.15</v>
      </c>
      <c r="G529" s="29">
        <f>G530+G532+G534</f>
        <v>164733203</v>
      </c>
    </row>
    <row r="530" spans="1:7" ht="139.5">
      <c r="A530" s="3" t="s">
        <v>347</v>
      </c>
      <c r="B530" s="4" t="s">
        <v>43</v>
      </c>
      <c r="C530" s="4" t="s">
        <v>45</v>
      </c>
      <c r="D530" s="4" t="s">
        <v>930</v>
      </c>
      <c r="E530" s="4"/>
      <c r="F530" s="29">
        <f>F531</f>
        <v>204953</v>
      </c>
      <c r="G530" s="29">
        <f>G531</f>
        <v>204953</v>
      </c>
    </row>
    <row r="531" spans="1:7" ht="61.5">
      <c r="A531" s="3" t="s">
        <v>525</v>
      </c>
      <c r="B531" s="4" t="s">
        <v>43</v>
      </c>
      <c r="C531" s="4" t="s">
        <v>45</v>
      </c>
      <c r="D531" s="4" t="s">
        <v>930</v>
      </c>
      <c r="E531" s="4" t="s">
        <v>609</v>
      </c>
      <c r="F531" s="29">
        <f>прил7!G729</f>
        <v>204953</v>
      </c>
      <c r="G531" s="29">
        <f>F531</f>
        <v>204953</v>
      </c>
    </row>
    <row r="532" spans="1:7" ht="139.5">
      <c r="A532" s="3" t="s">
        <v>347</v>
      </c>
      <c r="B532" s="4" t="s">
        <v>43</v>
      </c>
      <c r="C532" s="4" t="s">
        <v>45</v>
      </c>
      <c r="D532" s="4" t="s">
        <v>931</v>
      </c>
      <c r="E532" s="4"/>
      <c r="F532" s="29">
        <f>F533</f>
        <v>11357.15</v>
      </c>
      <c r="G532" s="29"/>
    </row>
    <row r="533" spans="1:7" ht="61.5">
      <c r="A533" s="3" t="s">
        <v>525</v>
      </c>
      <c r="B533" s="4" t="s">
        <v>43</v>
      </c>
      <c r="C533" s="4" t="s">
        <v>45</v>
      </c>
      <c r="D533" s="4" t="s">
        <v>931</v>
      </c>
      <c r="E533" s="4" t="s">
        <v>609</v>
      </c>
      <c r="F533" s="29">
        <f>прил7!G731</f>
        <v>11357.15</v>
      </c>
      <c r="G533" s="29"/>
    </row>
    <row r="534" spans="1:7" ht="93">
      <c r="A534" s="3" t="s">
        <v>501</v>
      </c>
      <c r="B534" s="4" t="s">
        <v>43</v>
      </c>
      <c r="C534" s="4" t="s">
        <v>45</v>
      </c>
      <c r="D534" s="4" t="s">
        <v>505</v>
      </c>
      <c r="E534" s="4"/>
      <c r="F534" s="29">
        <f>F535</f>
        <v>164528250</v>
      </c>
      <c r="G534" s="29">
        <f>G535</f>
        <v>164528250</v>
      </c>
    </row>
    <row r="535" spans="1:7" ht="61.5">
      <c r="A535" s="3" t="s">
        <v>525</v>
      </c>
      <c r="B535" s="4" t="s">
        <v>43</v>
      </c>
      <c r="C535" s="4" t="s">
        <v>45</v>
      </c>
      <c r="D535" s="4" t="s">
        <v>505</v>
      </c>
      <c r="E535" s="4" t="s">
        <v>609</v>
      </c>
      <c r="F535" s="29">
        <f>прил7!G733</f>
        <v>164528250</v>
      </c>
      <c r="G535" s="29">
        <f>F535</f>
        <v>164528250</v>
      </c>
    </row>
    <row r="536" spans="1:7" ht="77.25">
      <c r="A536" s="3" t="s">
        <v>256</v>
      </c>
      <c r="B536" s="4" t="s">
        <v>43</v>
      </c>
      <c r="C536" s="4" t="s">
        <v>45</v>
      </c>
      <c r="D536" s="4" t="s">
        <v>257</v>
      </c>
      <c r="E536" s="4"/>
      <c r="F536" s="29">
        <f>F537</f>
        <v>30434100</v>
      </c>
      <c r="G536" s="29">
        <f>G537</f>
        <v>30434100</v>
      </c>
    </row>
    <row r="537" spans="1:7" ht="93">
      <c r="A537" s="3" t="s">
        <v>501</v>
      </c>
      <c r="B537" s="4" t="s">
        <v>43</v>
      </c>
      <c r="C537" s="4" t="s">
        <v>45</v>
      </c>
      <c r="D537" s="4" t="s">
        <v>258</v>
      </c>
      <c r="E537" s="4"/>
      <c r="F537" s="29">
        <f>F538</f>
        <v>30434100</v>
      </c>
      <c r="G537" s="29">
        <f>G538</f>
        <v>30434100</v>
      </c>
    </row>
    <row r="538" spans="1:7" ht="61.5">
      <c r="A538" s="3" t="s">
        <v>525</v>
      </c>
      <c r="B538" s="4" t="s">
        <v>43</v>
      </c>
      <c r="C538" s="4" t="s">
        <v>45</v>
      </c>
      <c r="D538" s="4" t="s">
        <v>258</v>
      </c>
      <c r="E538" s="4" t="s">
        <v>609</v>
      </c>
      <c r="F538" s="29">
        <f>прил7!G736</f>
        <v>30434100</v>
      </c>
      <c r="G538" s="29">
        <f>F538</f>
        <v>30434100</v>
      </c>
    </row>
    <row r="539" spans="1:7" ht="154.5">
      <c r="A539" s="204" t="s">
        <v>65</v>
      </c>
      <c r="B539" s="281" t="s">
        <v>43</v>
      </c>
      <c r="C539" s="281" t="s">
        <v>45</v>
      </c>
      <c r="D539" s="281" t="s">
        <v>259</v>
      </c>
      <c r="E539" s="281"/>
      <c r="F539" s="280">
        <f>F541</f>
        <v>100923704.24</v>
      </c>
      <c r="G539" s="286"/>
    </row>
    <row r="540" spans="1:7" ht="61.5">
      <c r="A540" s="3" t="s">
        <v>66</v>
      </c>
      <c r="B540" s="281"/>
      <c r="C540" s="281"/>
      <c r="D540" s="281"/>
      <c r="E540" s="281"/>
      <c r="F540" s="280"/>
      <c r="G540" s="286"/>
    </row>
    <row r="541" spans="1:7" ht="108">
      <c r="A541" s="3" t="s">
        <v>749</v>
      </c>
      <c r="B541" s="4" t="s">
        <v>43</v>
      </c>
      <c r="C541" s="4" t="s">
        <v>45</v>
      </c>
      <c r="D541" s="4" t="s">
        <v>260</v>
      </c>
      <c r="E541" s="4"/>
      <c r="F541" s="29">
        <f>F542</f>
        <v>100923704.24</v>
      </c>
      <c r="G541" s="29"/>
    </row>
    <row r="542" spans="1:7" ht="61.5">
      <c r="A542" s="3" t="s">
        <v>525</v>
      </c>
      <c r="B542" s="4" t="s">
        <v>43</v>
      </c>
      <c r="C542" s="4" t="s">
        <v>45</v>
      </c>
      <c r="D542" s="4" t="s">
        <v>260</v>
      </c>
      <c r="E542" s="4" t="s">
        <v>609</v>
      </c>
      <c r="F542" s="29">
        <f>прил7!G740</f>
        <v>100923704.24</v>
      </c>
      <c r="G542" s="29"/>
    </row>
    <row r="543" spans="1:7" ht="30.75">
      <c r="A543" s="3" t="s">
        <v>356</v>
      </c>
      <c r="B543" s="4" t="s">
        <v>43</v>
      </c>
      <c r="C543" s="4" t="s">
        <v>45</v>
      </c>
      <c r="D543" s="4" t="s">
        <v>264</v>
      </c>
      <c r="E543" s="4"/>
      <c r="F543" s="29">
        <f>F544</f>
        <v>4640955.4</v>
      </c>
      <c r="G543" s="29"/>
    </row>
    <row r="544" spans="1:7" ht="108">
      <c r="A544" s="3" t="s">
        <v>749</v>
      </c>
      <c r="B544" s="4" t="s">
        <v>43</v>
      </c>
      <c r="C544" s="4" t="s">
        <v>45</v>
      </c>
      <c r="D544" s="4" t="s">
        <v>265</v>
      </c>
      <c r="E544" s="4"/>
      <c r="F544" s="29">
        <f>F545</f>
        <v>4640955.4</v>
      </c>
      <c r="G544" s="29"/>
    </row>
    <row r="545" spans="1:7" ht="61.5">
      <c r="A545" s="3" t="s">
        <v>525</v>
      </c>
      <c r="B545" s="4" t="s">
        <v>43</v>
      </c>
      <c r="C545" s="4" t="s">
        <v>45</v>
      </c>
      <c r="D545" s="4" t="s">
        <v>265</v>
      </c>
      <c r="E545" s="4" t="s">
        <v>609</v>
      </c>
      <c r="F545" s="29">
        <f>прил7!G743</f>
        <v>4640955.4</v>
      </c>
      <c r="G545" s="29"/>
    </row>
    <row r="546" spans="1:7" ht="61.5">
      <c r="A546" s="3" t="s">
        <v>266</v>
      </c>
      <c r="B546" s="4" t="s">
        <v>43</v>
      </c>
      <c r="C546" s="4" t="s">
        <v>45</v>
      </c>
      <c r="D546" s="4" t="s">
        <v>267</v>
      </c>
      <c r="E546" s="4"/>
      <c r="F546" s="29">
        <f>F547+F549+F551</f>
        <v>205584063.51999998</v>
      </c>
      <c r="G546" s="29">
        <f>G547+G549+G551</f>
        <v>2958350</v>
      </c>
    </row>
    <row r="547" spans="1:7" ht="108">
      <c r="A547" s="3" t="s">
        <v>749</v>
      </c>
      <c r="B547" s="4" t="s">
        <v>43</v>
      </c>
      <c r="C547" s="4" t="s">
        <v>45</v>
      </c>
      <c r="D547" s="4" t="s">
        <v>268</v>
      </c>
      <c r="E547" s="4"/>
      <c r="F547" s="29">
        <f>F548</f>
        <v>199958653.01</v>
      </c>
      <c r="G547" s="29"/>
    </row>
    <row r="548" spans="1:7" ht="61.5">
      <c r="A548" s="3" t="s">
        <v>525</v>
      </c>
      <c r="B548" s="4" t="s">
        <v>43</v>
      </c>
      <c r="C548" s="4" t="s">
        <v>45</v>
      </c>
      <c r="D548" s="4" t="s">
        <v>268</v>
      </c>
      <c r="E548" s="4" t="s">
        <v>609</v>
      </c>
      <c r="F548" s="29">
        <f>прил7!G746</f>
        <v>199958653.01</v>
      </c>
      <c r="G548" s="29"/>
    </row>
    <row r="549" spans="1:7" ht="123.75">
      <c r="A549" s="3" t="s">
        <v>859</v>
      </c>
      <c r="B549" s="4" t="s">
        <v>43</v>
      </c>
      <c r="C549" s="4" t="s">
        <v>45</v>
      </c>
      <c r="D549" s="4" t="s">
        <v>269</v>
      </c>
      <c r="E549" s="4"/>
      <c r="F549" s="29">
        <f>F550</f>
        <v>2958350</v>
      </c>
      <c r="G549" s="29">
        <f>F549</f>
        <v>2958350</v>
      </c>
    </row>
    <row r="550" spans="1:7" ht="61.5">
      <c r="A550" s="3" t="s">
        <v>525</v>
      </c>
      <c r="B550" s="4" t="s">
        <v>43</v>
      </c>
      <c r="C550" s="4" t="s">
        <v>45</v>
      </c>
      <c r="D550" s="4" t="s">
        <v>269</v>
      </c>
      <c r="E550" s="4" t="s">
        <v>609</v>
      </c>
      <c r="F550" s="29">
        <f>прил7!G748</f>
        <v>2958350</v>
      </c>
      <c r="G550" s="29">
        <f>F550</f>
        <v>2958350</v>
      </c>
    </row>
    <row r="551" spans="1:7" ht="123.75">
      <c r="A551" s="3" t="s">
        <v>859</v>
      </c>
      <c r="B551" s="4" t="s">
        <v>43</v>
      </c>
      <c r="C551" s="4" t="s">
        <v>45</v>
      </c>
      <c r="D551" s="4" t="s">
        <v>925</v>
      </c>
      <c r="E551" s="4"/>
      <c r="F551" s="29">
        <f>F552</f>
        <v>2667060.51</v>
      </c>
      <c r="G551" s="29"/>
    </row>
    <row r="552" spans="1:7" ht="61.5">
      <c r="A552" s="3" t="s">
        <v>525</v>
      </c>
      <c r="B552" s="4" t="s">
        <v>43</v>
      </c>
      <c r="C552" s="4" t="s">
        <v>45</v>
      </c>
      <c r="D552" s="4" t="s">
        <v>925</v>
      </c>
      <c r="E552" s="4" t="s">
        <v>609</v>
      </c>
      <c r="F552" s="29">
        <f>прил7!G750</f>
        <v>2667060.51</v>
      </c>
      <c r="G552" s="29"/>
    </row>
    <row r="553" spans="1:7" ht="30.75">
      <c r="A553" s="3" t="s">
        <v>356</v>
      </c>
      <c r="B553" s="4" t="s">
        <v>43</v>
      </c>
      <c r="C553" s="4" t="s">
        <v>45</v>
      </c>
      <c r="D553" s="4" t="s">
        <v>926</v>
      </c>
      <c r="E553" s="4"/>
      <c r="F553" s="29">
        <f>F554</f>
        <v>2534249.99</v>
      </c>
      <c r="G553" s="29"/>
    </row>
    <row r="554" spans="1:7" ht="108">
      <c r="A554" s="3" t="s">
        <v>749</v>
      </c>
      <c r="B554" s="4" t="s">
        <v>43</v>
      </c>
      <c r="C554" s="4" t="s">
        <v>45</v>
      </c>
      <c r="D554" s="4" t="s">
        <v>927</v>
      </c>
      <c r="E554" s="4"/>
      <c r="F554" s="29">
        <f>F555</f>
        <v>2534249.99</v>
      </c>
      <c r="G554" s="29"/>
    </row>
    <row r="555" spans="1:7" ht="61.5">
      <c r="A555" s="3" t="s">
        <v>525</v>
      </c>
      <c r="B555" s="4" t="s">
        <v>43</v>
      </c>
      <c r="C555" s="4" t="s">
        <v>45</v>
      </c>
      <c r="D555" s="4" t="s">
        <v>927</v>
      </c>
      <c r="E555" s="4" t="s">
        <v>609</v>
      </c>
      <c r="F555" s="29">
        <f>прил7!G753</f>
        <v>2534249.99</v>
      </c>
      <c r="G555" s="29"/>
    </row>
    <row r="556" spans="1:7" ht="61.5">
      <c r="A556" s="3" t="s">
        <v>4</v>
      </c>
      <c r="B556" s="4" t="s">
        <v>43</v>
      </c>
      <c r="C556" s="4" t="s">
        <v>45</v>
      </c>
      <c r="D556" s="4" t="s">
        <v>553</v>
      </c>
      <c r="E556" s="4"/>
      <c r="F556" s="29">
        <f>F560+F565+F557+F570</f>
        <v>15060157.14</v>
      </c>
      <c r="G556" s="29"/>
    </row>
    <row r="557" spans="1:7" ht="46.5">
      <c r="A557" s="3" t="s">
        <v>275</v>
      </c>
      <c r="B557" s="4" t="s">
        <v>43</v>
      </c>
      <c r="C557" s="4" t="s">
        <v>45</v>
      </c>
      <c r="D557" s="4" t="s">
        <v>276</v>
      </c>
      <c r="E557" s="4"/>
      <c r="F557" s="29">
        <f>F558</f>
        <v>2702387.68</v>
      </c>
      <c r="G557" s="29"/>
    </row>
    <row r="558" spans="1:7" ht="61.5">
      <c r="A558" s="3" t="s">
        <v>753</v>
      </c>
      <c r="B558" s="4" t="s">
        <v>43</v>
      </c>
      <c r="C558" s="4" t="s">
        <v>45</v>
      </c>
      <c r="D558" s="4" t="s">
        <v>277</v>
      </c>
      <c r="E558" s="4"/>
      <c r="F558" s="29">
        <f>F559</f>
        <v>2702387.68</v>
      </c>
      <c r="G558" s="29"/>
    </row>
    <row r="559" spans="1:7" ht="46.5">
      <c r="A559" s="3" t="s">
        <v>676</v>
      </c>
      <c r="B559" s="4" t="s">
        <v>43</v>
      </c>
      <c r="C559" s="4" t="s">
        <v>45</v>
      </c>
      <c r="D559" s="4" t="s">
        <v>277</v>
      </c>
      <c r="E559" s="4" t="s">
        <v>447</v>
      </c>
      <c r="F559" s="29">
        <f>прил7!G548</f>
        <v>2702387.68</v>
      </c>
      <c r="G559" s="29"/>
    </row>
    <row r="560" spans="1:7" ht="61.5">
      <c r="A560" s="3" t="s">
        <v>554</v>
      </c>
      <c r="B560" s="4" t="s">
        <v>43</v>
      </c>
      <c r="C560" s="4" t="s">
        <v>45</v>
      </c>
      <c r="D560" s="4" t="s">
        <v>555</v>
      </c>
      <c r="E560" s="4"/>
      <c r="F560" s="29">
        <f>F561+F563</f>
        <v>8463936.52</v>
      </c>
      <c r="G560" s="29"/>
    </row>
    <row r="561" spans="1:7" ht="46.5">
      <c r="A561" s="3" t="s">
        <v>756</v>
      </c>
      <c r="B561" s="4" t="s">
        <v>43</v>
      </c>
      <c r="C561" s="4" t="s">
        <v>45</v>
      </c>
      <c r="D561" s="4" t="s">
        <v>556</v>
      </c>
      <c r="E561" s="4"/>
      <c r="F561" s="29">
        <f>F562</f>
        <v>7478368.859999999</v>
      </c>
      <c r="G561" s="29"/>
    </row>
    <row r="562" spans="1:7" ht="46.5">
      <c r="A562" s="3" t="s">
        <v>701</v>
      </c>
      <c r="B562" s="4" t="s">
        <v>43</v>
      </c>
      <c r="C562" s="4" t="s">
        <v>45</v>
      </c>
      <c r="D562" s="4" t="s">
        <v>556</v>
      </c>
      <c r="E562" s="4" t="s">
        <v>605</v>
      </c>
      <c r="F562" s="29">
        <f>прил7!G551</f>
        <v>7478368.859999999</v>
      </c>
      <c r="G562" s="29"/>
    </row>
    <row r="563" spans="1:7" ht="30.75">
      <c r="A563" s="3" t="s">
        <v>523</v>
      </c>
      <c r="B563" s="4" t="s">
        <v>43</v>
      </c>
      <c r="C563" s="4" t="s">
        <v>45</v>
      </c>
      <c r="D563" s="4" t="s">
        <v>1086</v>
      </c>
      <c r="E563" s="4"/>
      <c r="F563" s="29">
        <f>F564</f>
        <v>985567.66</v>
      </c>
      <c r="G563" s="29"/>
    </row>
    <row r="564" spans="1:7" ht="46.5">
      <c r="A564" s="3" t="s">
        <v>701</v>
      </c>
      <c r="B564" s="4" t="s">
        <v>43</v>
      </c>
      <c r="C564" s="4" t="s">
        <v>45</v>
      </c>
      <c r="D564" s="4" t="s">
        <v>1086</v>
      </c>
      <c r="E564" s="4" t="s">
        <v>605</v>
      </c>
      <c r="F564" s="29">
        <f>прил7!G553</f>
        <v>985567.66</v>
      </c>
      <c r="G564" s="29"/>
    </row>
    <row r="565" spans="1:7" ht="77.25">
      <c r="A565" s="3" t="s">
        <v>557</v>
      </c>
      <c r="B565" s="4" t="s">
        <v>43</v>
      </c>
      <c r="C565" s="4" t="s">
        <v>45</v>
      </c>
      <c r="D565" s="4" t="s">
        <v>558</v>
      </c>
      <c r="E565" s="4"/>
      <c r="F565" s="29">
        <f>F567</f>
        <v>2684250.98</v>
      </c>
      <c r="G565" s="29"/>
    </row>
    <row r="566" spans="1:7" ht="46.5">
      <c r="A566" s="3" t="s">
        <v>756</v>
      </c>
      <c r="B566" s="4" t="s">
        <v>43</v>
      </c>
      <c r="C566" s="4" t="s">
        <v>45</v>
      </c>
      <c r="D566" s="4" t="s">
        <v>559</v>
      </c>
      <c r="E566" s="4"/>
      <c r="F566" s="29">
        <f>F567</f>
        <v>2684250.98</v>
      </c>
      <c r="G566" s="29"/>
    </row>
    <row r="567" spans="1:7" ht="46.5">
      <c r="A567" s="3" t="s">
        <v>701</v>
      </c>
      <c r="B567" s="4" t="s">
        <v>43</v>
      </c>
      <c r="C567" s="4" t="s">
        <v>45</v>
      </c>
      <c r="D567" s="4" t="s">
        <v>559</v>
      </c>
      <c r="E567" s="4" t="s">
        <v>605</v>
      </c>
      <c r="F567" s="29">
        <f>прил7!G556</f>
        <v>2684250.98</v>
      </c>
      <c r="G567" s="29"/>
    </row>
    <row r="568" spans="1:7" ht="61.5">
      <c r="A568" s="3" t="s">
        <v>1095</v>
      </c>
      <c r="B568" s="4" t="s">
        <v>43</v>
      </c>
      <c r="C568" s="4" t="s">
        <v>45</v>
      </c>
      <c r="D568" s="4" t="s">
        <v>1096</v>
      </c>
      <c r="E568" s="4"/>
      <c r="F568" s="29">
        <f>F569</f>
        <v>1209581.96</v>
      </c>
      <c r="G568" s="29"/>
    </row>
    <row r="569" spans="1:7" ht="46.5">
      <c r="A569" s="3" t="s">
        <v>756</v>
      </c>
      <c r="B569" s="4" t="s">
        <v>43</v>
      </c>
      <c r="C569" s="4" t="s">
        <v>45</v>
      </c>
      <c r="D569" s="4" t="s">
        <v>1097</v>
      </c>
      <c r="E569" s="4"/>
      <c r="F569" s="29">
        <f>F570</f>
        <v>1209581.96</v>
      </c>
      <c r="G569" s="29"/>
    </row>
    <row r="570" spans="1:7" ht="46.5">
      <c r="A570" s="3" t="s">
        <v>701</v>
      </c>
      <c r="B570" s="4" t="s">
        <v>43</v>
      </c>
      <c r="C570" s="4" t="s">
        <v>45</v>
      </c>
      <c r="D570" s="4" t="s">
        <v>1097</v>
      </c>
      <c r="E570" s="4" t="s">
        <v>605</v>
      </c>
      <c r="F570" s="29">
        <f>прил7!G559</f>
        <v>1209581.96</v>
      </c>
      <c r="G570" s="29"/>
    </row>
    <row r="571" spans="1:7" ht="77.25">
      <c r="A571" s="3" t="s">
        <v>107</v>
      </c>
      <c r="B571" s="4" t="s">
        <v>43</v>
      </c>
      <c r="C571" s="4" t="s">
        <v>45</v>
      </c>
      <c r="D571" s="4" t="s">
        <v>682</v>
      </c>
      <c r="E571" s="4"/>
      <c r="F571" s="29">
        <f>F572</f>
        <v>59433265</v>
      </c>
      <c r="G571" s="29">
        <f>G572</f>
        <v>264254</v>
      </c>
    </row>
    <row r="572" spans="1:7" ht="61.5">
      <c r="A572" s="3" t="s">
        <v>150</v>
      </c>
      <c r="B572" s="4" t="s">
        <v>43</v>
      </c>
      <c r="C572" s="4" t="s">
        <v>45</v>
      </c>
      <c r="D572" s="4" t="s">
        <v>683</v>
      </c>
      <c r="E572" s="4"/>
      <c r="F572" s="29">
        <f>F573+F580</f>
        <v>59433265</v>
      </c>
      <c r="G572" s="29">
        <f>G573</f>
        <v>264254</v>
      </c>
    </row>
    <row r="573" spans="1:7" ht="46.5">
      <c r="A573" s="3" t="s">
        <v>684</v>
      </c>
      <c r="B573" s="4" t="s">
        <v>43</v>
      </c>
      <c r="C573" s="4" t="s">
        <v>45</v>
      </c>
      <c r="D573" s="4" t="s">
        <v>685</v>
      </c>
      <c r="E573" s="4"/>
      <c r="F573" s="29">
        <f>F574+F577+F579</f>
        <v>59388140</v>
      </c>
      <c r="G573" s="29">
        <f>G577</f>
        <v>264254</v>
      </c>
    </row>
    <row r="574" spans="1:7" ht="108">
      <c r="A574" s="3" t="s">
        <v>749</v>
      </c>
      <c r="B574" s="4" t="s">
        <v>43</v>
      </c>
      <c r="C574" s="4" t="s">
        <v>45</v>
      </c>
      <c r="D574" s="4" t="s">
        <v>686</v>
      </c>
      <c r="E574" s="4"/>
      <c r="F574" s="29">
        <f>F575</f>
        <v>58502046</v>
      </c>
      <c r="G574" s="33"/>
    </row>
    <row r="575" spans="1:7" ht="61.5">
      <c r="A575" s="3" t="s">
        <v>525</v>
      </c>
      <c r="B575" s="4" t="s">
        <v>43</v>
      </c>
      <c r="C575" s="4" t="s">
        <v>45</v>
      </c>
      <c r="D575" s="4" t="s">
        <v>686</v>
      </c>
      <c r="E575" s="4" t="s">
        <v>609</v>
      </c>
      <c r="F575" s="29">
        <f>прил7!G888</f>
        <v>58502046</v>
      </c>
      <c r="G575" s="33"/>
    </row>
    <row r="576" spans="1:7" ht="123.75">
      <c r="A576" s="3" t="s">
        <v>859</v>
      </c>
      <c r="B576" s="4" t="s">
        <v>43</v>
      </c>
      <c r="C576" s="4" t="s">
        <v>45</v>
      </c>
      <c r="D576" s="4" t="s">
        <v>687</v>
      </c>
      <c r="E576" s="4"/>
      <c r="F576" s="29">
        <f>F577</f>
        <v>264254</v>
      </c>
      <c r="G576" s="29">
        <f>G577</f>
        <v>264254</v>
      </c>
    </row>
    <row r="577" spans="1:7" ht="61.5">
      <c r="A577" s="3" t="s">
        <v>525</v>
      </c>
      <c r="B577" s="4" t="s">
        <v>43</v>
      </c>
      <c r="C577" s="4" t="s">
        <v>45</v>
      </c>
      <c r="D577" s="4" t="s">
        <v>687</v>
      </c>
      <c r="E577" s="4" t="s">
        <v>609</v>
      </c>
      <c r="F577" s="29">
        <f>прил7!G890</f>
        <v>264254</v>
      </c>
      <c r="G577" s="29">
        <v>264254</v>
      </c>
    </row>
    <row r="578" spans="1:7" ht="123.75">
      <c r="A578" s="3" t="s">
        <v>859</v>
      </c>
      <c r="B578" s="4" t="s">
        <v>43</v>
      </c>
      <c r="C578" s="4" t="s">
        <v>45</v>
      </c>
      <c r="D578" s="4" t="s">
        <v>688</v>
      </c>
      <c r="E578" s="4"/>
      <c r="F578" s="29">
        <f>F579</f>
        <v>621840</v>
      </c>
      <c r="G578" s="33"/>
    </row>
    <row r="579" spans="1:7" ht="61.5">
      <c r="A579" s="3" t="s">
        <v>525</v>
      </c>
      <c r="B579" s="4" t="s">
        <v>43</v>
      </c>
      <c r="C579" s="4" t="s">
        <v>45</v>
      </c>
      <c r="D579" s="4" t="s">
        <v>688</v>
      </c>
      <c r="E579" s="4" t="s">
        <v>609</v>
      </c>
      <c r="F579" s="29">
        <f>прил7!G892</f>
        <v>621840</v>
      </c>
      <c r="G579" s="33"/>
    </row>
    <row r="580" spans="1:7" ht="89.25" customHeight="1">
      <c r="A580" s="206" t="s">
        <v>71</v>
      </c>
      <c r="B580" s="4" t="s">
        <v>43</v>
      </c>
      <c r="C580" s="4" t="s">
        <v>45</v>
      </c>
      <c r="D580" s="4" t="s">
        <v>393</v>
      </c>
      <c r="E580" s="4"/>
      <c r="F580" s="29">
        <f>F582</f>
        <v>45125</v>
      </c>
      <c r="G580" s="33"/>
    </row>
    <row r="581" spans="1:7" ht="108">
      <c r="A581" s="206" t="s">
        <v>749</v>
      </c>
      <c r="B581" s="4" t="s">
        <v>43</v>
      </c>
      <c r="C581" s="4" t="s">
        <v>45</v>
      </c>
      <c r="D581" s="4" t="s">
        <v>394</v>
      </c>
      <c r="E581" s="4"/>
      <c r="F581" s="29">
        <f>F582</f>
        <v>45125</v>
      </c>
      <c r="G581" s="33"/>
    </row>
    <row r="582" spans="1:7" ht="61.5">
      <c r="A582" s="3" t="s">
        <v>525</v>
      </c>
      <c r="B582" s="4" t="s">
        <v>43</v>
      </c>
      <c r="C582" s="4" t="s">
        <v>45</v>
      </c>
      <c r="D582" s="4" t="s">
        <v>394</v>
      </c>
      <c r="E582" s="4" t="s">
        <v>609</v>
      </c>
      <c r="F582" s="29">
        <f>прил7!G895</f>
        <v>45125</v>
      </c>
      <c r="G582" s="33"/>
    </row>
    <row r="583" spans="1:7" ht="30.75">
      <c r="A583" s="13" t="s">
        <v>6</v>
      </c>
      <c r="B583" s="5" t="s">
        <v>43</v>
      </c>
      <c r="C583" s="5" t="s">
        <v>43</v>
      </c>
      <c r="D583" s="23"/>
      <c r="E583" s="23"/>
      <c r="F583" s="28">
        <f>F584+F594</f>
        <v>31721990.1</v>
      </c>
      <c r="G583" s="28">
        <f>G584+G594</f>
        <v>3124600</v>
      </c>
    </row>
    <row r="584" spans="1:7" ht="46.5">
      <c r="A584" s="3" t="s">
        <v>102</v>
      </c>
      <c r="B584" s="4" t="s">
        <v>43</v>
      </c>
      <c r="C584" s="4" t="s">
        <v>43</v>
      </c>
      <c r="D584" s="4" t="s">
        <v>552</v>
      </c>
      <c r="E584" s="4"/>
      <c r="F584" s="29">
        <f>F585</f>
        <v>12187134.1</v>
      </c>
      <c r="G584" s="29">
        <f>G585</f>
        <v>3124600</v>
      </c>
    </row>
    <row r="585" spans="1:7" ht="61.5">
      <c r="A585" s="3" t="s">
        <v>752</v>
      </c>
      <c r="B585" s="4" t="s">
        <v>43</v>
      </c>
      <c r="C585" s="4" t="s">
        <v>43</v>
      </c>
      <c r="D585" s="4" t="s">
        <v>932</v>
      </c>
      <c r="E585" s="4"/>
      <c r="F585" s="29">
        <f>F586+F589</f>
        <v>12187134.1</v>
      </c>
      <c r="G585" s="29">
        <f>G586+G589</f>
        <v>3124600</v>
      </c>
    </row>
    <row r="586" spans="1:7" ht="46.5">
      <c r="A586" s="3" t="s">
        <v>933</v>
      </c>
      <c r="B586" s="4" t="s">
        <v>43</v>
      </c>
      <c r="C586" s="4" t="s">
        <v>43</v>
      </c>
      <c r="D586" s="4" t="s">
        <v>934</v>
      </c>
      <c r="E586" s="4"/>
      <c r="F586" s="29">
        <f>F587</f>
        <v>7038601.3</v>
      </c>
      <c r="G586" s="29"/>
    </row>
    <row r="587" spans="1:7" ht="30.75">
      <c r="A587" s="3" t="s">
        <v>523</v>
      </c>
      <c r="B587" s="4" t="s">
        <v>43</v>
      </c>
      <c r="C587" s="4" t="s">
        <v>43</v>
      </c>
      <c r="D587" s="4" t="s">
        <v>935</v>
      </c>
      <c r="E587" s="4"/>
      <c r="F587" s="29">
        <f>F588</f>
        <v>7038601.3</v>
      </c>
      <c r="G587" s="29"/>
    </row>
    <row r="588" spans="1:7" ht="61.5">
      <c r="A588" s="3" t="s">
        <v>525</v>
      </c>
      <c r="B588" s="4" t="s">
        <v>43</v>
      </c>
      <c r="C588" s="4" t="s">
        <v>43</v>
      </c>
      <c r="D588" s="4" t="s">
        <v>935</v>
      </c>
      <c r="E588" s="4" t="s">
        <v>609</v>
      </c>
      <c r="F588" s="29">
        <f>прил7!G759</f>
        <v>7038601.3</v>
      </c>
      <c r="G588" s="29"/>
    </row>
    <row r="589" spans="1:7" ht="61.5">
      <c r="A589" s="3" t="s">
        <v>936</v>
      </c>
      <c r="B589" s="4" t="s">
        <v>43</v>
      </c>
      <c r="C589" s="4" t="s">
        <v>43</v>
      </c>
      <c r="D589" s="4" t="s">
        <v>937</v>
      </c>
      <c r="E589" s="4"/>
      <c r="F589" s="29">
        <f>F590+F592</f>
        <v>5148532.8</v>
      </c>
      <c r="G589" s="29">
        <f>G590+G592</f>
        <v>3124600</v>
      </c>
    </row>
    <row r="590" spans="1:7" ht="93">
      <c r="A590" s="3" t="s">
        <v>938</v>
      </c>
      <c r="B590" s="4" t="s">
        <v>43</v>
      </c>
      <c r="C590" s="4" t="s">
        <v>43</v>
      </c>
      <c r="D590" s="4" t="s">
        <v>939</v>
      </c>
      <c r="E590" s="4"/>
      <c r="F590" s="29">
        <f>F591</f>
        <v>3124600</v>
      </c>
      <c r="G590" s="29">
        <f>G591</f>
        <v>3124600</v>
      </c>
    </row>
    <row r="591" spans="1:7" ht="61.5">
      <c r="A591" s="3" t="s">
        <v>525</v>
      </c>
      <c r="B591" s="4" t="s">
        <v>43</v>
      </c>
      <c r="C591" s="4" t="s">
        <v>43</v>
      </c>
      <c r="D591" s="4" t="s">
        <v>939</v>
      </c>
      <c r="E591" s="4" t="s">
        <v>609</v>
      </c>
      <c r="F591" s="29">
        <f>прил7!G762</f>
        <v>3124600</v>
      </c>
      <c r="G591" s="29">
        <f>F591</f>
        <v>3124600</v>
      </c>
    </row>
    <row r="592" spans="1:7" ht="93">
      <c r="A592" s="3" t="s">
        <v>938</v>
      </c>
      <c r="B592" s="4" t="s">
        <v>43</v>
      </c>
      <c r="C592" s="4" t="s">
        <v>43</v>
      </c>
      <c r="D592" s="4" t="s">
        <v>940</v>
      </c>
      <c r="E592" s="4"/>
      <c r="F592" s="29">
        <f>F593</f>
        <v>2023932.8</v>
      </c>
      <c r="G592" s="29"/>
    </row>
    <row r="593" spans="1:7" ht="61.5">
      <c r="A593" s="3" t="s">
        <v>525</v>
      </c>
      <c r="B593" s="4" t="s">
        <v>43</v>
      </c>
      <c r="C593" s="4" t="s">
        <v>43</v>
      </c>
      <c r="D593" s="4" t="s">
        <v>940</v>
      </c>
      <c r="E593" s="4" t="s">
        <v>609</v>
      </c>
      <c r="F593" s="29">
        <f>прил7!G764</f>
        <v>2023932.8</v>
      </c>
      <c r="G593" s="29"/>
    </row>
    <row r="594" spans="1:7" ht="77.25">
      <c r="A594" s="3" t="s">
        <v>106</v>
      </c>
      <c r="B594" s="4" t="s">
        <v>43</v>
      </c>
      <c r="C594" s="4" t="s">
        <v>43</v>
      </c>
      <c r="D594" s="4" t="s">
        <v>725</v>
      </c>
      <c r="E594" s="2"/>
      <c r="F594" s="29">
        <f>F595+F610</f>
        <v>19534856</v>
      </c>
      <c r="G594" s="29"/>
    </row>
    <row r="595" spans="1:7" ht="30.75">
      <c r="A595" s="3" t="s">
        <v>136</v>
      </c>
      <c r="B595" s="4" t="s">
        <v>43</v>
      </c>
      <c r="C595" s="4" t="s">
        <v>43</v>
      </c>
      <c r="D595" s="4" t="s">
        <v>689</v>
      </c>
      <c r="E595" s="4"/>
      <c r="F595" s="29">
        <f>F596+F600+F604+F607</f>
        <v>846250</v>
      </c>
      <c r="G595" s="29"/>
    </row>
    <row r="596" spans="1:7" ht="77.25">
      <c r="A596" s="3" t="s">
        <v>374</v>
      </c>
      <c r="B596" s="4" t="s">
        <v>43</v>
      </c>
      <c r="C596" s="4" t="s">
        <v>43</v>
      </c>
      <c r="D596" s="4" t="s">
        <v>375</v>
      </c>
      <c r="E596" s="4"/>
      <c r="F596" s="29">
        <f>F597</f>
        <v>443750</v>
      </c>
      <c r="G596" s="29"/>
    </row>
    <row r="597" spans="1:7" ht="30.75">
      <c r="A597" s="3" t="s">
        <v>523</v>
      </c>
      <c r="B597" s="4" t="s">
        <v>43</v>
      </c>
      <c r="C597" s="4" t="s">
        <v>43</v>
      </c>
      <c r="D597" s="4" t="s">
        <v>376</v>
      </c>
      <c r="E597" s="4"/>
      <c r="F597" s="29">
        <f>F598+F599</f>
        <v>443750</v>
      </c>
      <c r="G597" s="29"/>
    </row>
    <row r="598" spans="1:7" ht="46.5">
      <c r="A598" s="3" t="s">
        <v>701</v>
      </c>
      <c r="B598" s="4" t="s">
        <v>43</v>
      </c>
      <c r="C598" s="4" t="s">
        <v>43</v>
      </c>
      <c r="D598" s="4" t="s">
        <v>376</v>
      </c>
      <c r="E598" s="4" t="s">
        <v>605</v>
      </c>
      <c r="F598" s="29">
        <f>прил7!G901</f>
        <v>247250</v>
      </c>
      <c r="G598" s="29"/>
    </row>
    <row r="599" spans="1:7" ht="61.5">
      <c r="A599" s="3" t="s">
        <v>525</v>
      </c>
      <c r="B599" s="4" t="s">
        <v>43</v>
      </c>
      <c r="C599" s="4" t="s">
        <v>43</v>
      </c>
      <c r="D599" s="4" t="s">
        <v>376</v>
      </c>
      <c r="E599" s="4" t="s">
        <v>609</v>
      </c>
      <c r="F599" s="29">
        <f>прил7!G902</f>
        <v>196500</v>
      </c>
      <c r="G599" s="29"/>
    </row>
    <row r="600" spans="1:7" ht="108">
      <c r="A600" s="3" t="s">
        <v>377</v>
      </c>
      <c r="B600" s="4" t="s">
        <v>43</v>
      </c>
      <c r="C600" s="4" t="s">
        <v>43</v>
      </c>
      <c r="D600" s="4" t="s">
        <v>378</v>
      </c>
      <c r="E600" s="4"/>
      <c r="F600" s="29">
        <f>F601</f>
        <v>97500</v>
      </c>
      <c r="G600" s="29"/>
    </row>
    <row r="601" spans="1:7" ht="30.75">
      <c r="A601" s="3" t="s">
        <v>523</v>
      </c>
      <c r="B601" s="4" t="s">
        <v>43</v>
      </c>
      <c r="C601" s="4" t="s">
        <v>43</v>
      </c>
      <c r="D601" s="4" t="s">
        <v>379</v>
      </c>
      <c r="E601" s="4"/>
      <c r="F601" s="29">
        <f>F602+F603</f>
        <v>97500</v>
      </c>
      <c r="G601" s="29"/>
    </row>
    <row r="602" spans="1:7" ht="46.5">
      <c r="A602" s="3" t="s">
        <v>701</v>
      </c>
      <c r="B602" s="4" t="s">
        <v>43</v>
      </c>
      <c r="C602" s="4" t="s">
        <v>43</v>
      </c>
      <c r="D602" s="4" t="s">
        <v>379</v>
      </c>
      <c r="E602" s="4" t="s">
        <v>605</v>
      </c>
      <c r="F602" s="29">
        <f>прил7!G905</f>
        <v>62500</v>
      </c>
      <c r="G602" s="29"/>
    </row>
    <row r="603" spans="1:7" ht="61.5">
      <c r="A603" s="3" t="s">
        <v>525</v>
      </c>
      <c r="B603" s="4" t="s">
        <v>43</v>
      </c>
      <c r="C603" s="4" t="s">
        <v>43</v>
      </c>
      <c r="D603" s="4" t="s">
        <v>379</v>
      </c>
      <c r="E603" s="4" t="s">
        <v>609</v>
      </c>
      <c r="F603" s="29">
        <f>прил7!G906</f>
        <v>35000</v>
      </c>
      <c r="G603" s="29"/>
    </row>
    <row r="604" spans="1:7" ht="46.5">
      <c r="A604" s="3" t="s">
        <v>380</v>
      </c>
      <c r="B604" s="4" t="s">
        <v>43</v>
      </c>
      <c r="C604" s="4" t="s">
        <v>43</v>
      </c>
      <c r="D604" s="4" t="s">
        <v>381</v>
      </c>
      <c r="E604" s="4"/>
      <c r="F604" s="29">
        <f>F606</f>
        <v>5000</v>
      </c>
      <c r="G604" s="29"/>
    </row>
    <row r="605" spans="1:7" ht="30.75">
      <c r="A605" s="3" t="s">
        <v>523</v>
      </c>
      <c r="B605" s="4" t="s">
        <v>43</v>
      </c>
      <c r="C605" s="4" t="s">
        <v>43</v>
      </c>
      <c r="D605" s="4" t="s">
        <v>382</v>
      </c>
      <c r="E605" s="4"/>
      <c r="F605" s="29">
        <f>F606</f>
        <v>5000</v>
      </c>
      <c r="G605" s="29"/>
    </row>
    <row r="606" spans="1:7" ht="46.5">
      <c r="A606" s="3" t="s">
        <v>701</v>
      </c>
      <c r="B606" s="4" t="s">
        <v>43</v>
      </c>
      <c r="C606" s="4" t="s">
        <v>43</v>
      </c>
      <c r="D606" s="4" t="s">
        <v>382</v>
      </c>
      <c r="E606" s="4" t="s">
        <v>605</v>
      </c>
      <c r="F606" s="29">
        <f>прил7!G909</f>
        <v>5000</v>
      </c>
      <c r="G606" s="29"/>
    </row>
    <row r="607" spans="1:7" ht="61.5">
      <c r="A607" s="3" t="s">
        <v>690</v>
      </c>
      <c r="B607" s="4" t="s">
        <v>43</v>
      </c>
      <c r="C607" s="4" t="s">
        <v>43</v>
      </c>
      <c r="D607" s="4" t="s">
        <v>691</v>
      </c>
      <c r="E607" s="4"/>
      <c r="F607" s="29">
        <f>F608</f>
        <v>300000</v>
      </c>
      <c r="G607" s="29"/>
    </row>
    <row r="608" spans="1:7" ht="46.5">
      <c r="A608" s="3" t="s">
        <v>137</v>
      </c>
      <c r="B608" s="4" t="s">
        <v>43</v>
      </c>
      <c r="C608" s="4" t="s">
        <v>43</v>
      </c>
      <c r="D608" s="4" t="s">
        <v>692</v>
      </c>
      <c r="E608" s="4"/>
      <c r="F608" s="29">
        <f>F609</f>
        <v>300000</v>
      </c>
      <c r="G608" s="29"/>
    </row>
    <row r="609" spans="1:7" ht="30.75">
      <c r="A609" s="3" t="s">
        <v>565</v>
      </c>
      <c r="B609" s="4" t="s">
        <v>43</v>
      </c>
      <c r="C609" s="4" t="s">
        <v>43</v>
      </c>
      <c r="D609" s="4" t="s">
        <v>692</v>
      </c>
      <c r="E609" s="4" t="s">
        <v>566</v>
      </c>
      <c r="F609" s="29">
        <f>прил7!G912</f>
        <v>300000</v>
      </c>
      <c r="G609" s="29"/>
    </row>
    <row r="610" spans="1:7" ht="30.75">
      <c r="A610" s="3" t="s">
        <v>138</v>
      </c>
      <c r="B610" s="4" t="s">
        <v>43</v>
      </c>
      <c r="C610" s="4" t="s">
        <v>43</v>
      </c>
      <c r="D610" s="4" t="s">
        <v>560</v>
      </c>
      <c r="E610" s="4"/>
      <c r="F610" s="29">
        <f>F611+F614+F617</f>
        <v>18688606</v>
      </c>
      <c r="G610" s="29"/>
    </row>
    <row r="611" spans="1:7" ht="61.5">
      <c r="A611" s="3" t="s">
        <v>383</v>
      </c>
      <c r="B611" s="4" t="s">
        <v>43</v>
      </c>
      <c r="C611" s="4" t="s">
        <v>43</v>
      </c>
      <c r="D611" s="4" t="s">
        <v>384</v>
      </c>
      <c r="E611" s="4"/>
      <c r="F611" s="29">
        <f>F612</f>
        <v>18230749</v>
      </c>
      <c r="G611" s="29"/>
    </row>
    <row r="612" spans="1:7" ht="108">
      <c r="A612" s="3" t="s">
        <v>749</v>
      </c>
      <c r="B612" s="4" t="s">
        <v>43</v>
      </c>
      <c r="C612" s="4" t="s">
        <v>43</v>
      </c>
      <c r="D612" s="4" t="s">
        <v>385</v>
      </c>
      <c r="E612" s="4"/>
      <c r="F612" s="29">
        <f>F613</f>
        <v>18230749</v>
      </c>
      <c r="G612" s="29"/>
    </row>
    <row r="613" spans="1:7" ht="61.5">
      <c r="A613" s="3" t="s">
        <v>525</v>
      </c>
      <c r="B613" s="4" t="s">
        <v>43</v>
      </c>
      <c r="C613" s="4" t="s">
        <v>43</v>
      </c>
      <c r="D613" s="4" t="s">
        <v>385</v>
      </c>
      <c r="E613" s="4" t="s">
        <v>609</v>
      </c>
      <c r="F613" s="29">
        <f>прил7!G916</f>
        <v>18230749</v>
      </c>
      <c r="G613" s="29"/>
    </row>
    <row r="614" spans="1:7" ht="77.25">
      <c r="A614" s="49" t="s">
        <v>386</v>
      </c>
      <c r="B614" s="4" t="s">
        <v>43</v>
      </c>
      <c r="C614" s="4" t="s">
        <v>43</v>
      </c>
      <c r="D614" s="4" t="s">
        <v>387</v>
      </c>
      <c r="E614" s="4"/>
      <c r="F614" s="29">
        <f>F615</f>
        <v>72770</v>
      </c>
      <c r="G614" s="29"/>
    </row>
    <row r="615" spans="1:7" ht="108">
      <c r="A615" s="3" t="s">
        <v>749</v>
      </c>
      <c r="B615" s="4" t="s">
        <v>43</v>
      </c>
      <c r="C615" s="4" t="s">
        <v>43</v>
      </c>
      <c r="D615" s="4" t="s">
        <v>388</v>
      </c>
      <c r="E615" s="4"/>
      <c r="F615" s="29">
        <f>F616</f>
        <v>72770</v>
      </c>
      <c r="G615" s="29"/>
    </row>
    <row r="616" spans="1:7" ht="61.5">
      <c r="A616" s="3" t="s">
        <v>525</v>
      </c>
      <c r="B616" s="4" t="s">
        <v>43</v>
      </c>
      <c r="C616" s="4" t="s">
        <v>43</v>
      </c>
      <c r="D616" s="4" t="s">
        <v>388</v>
      </c>
      <c r="E616" s="4" t="s">
        <v>609</v>
      </c>
      <c r="F616" s="29">
        <f>прил7!G919</f>
        <v>72770</v>
      </c>
      <c r="G616" s="29"/>
    </row>
    <row r="617" spans="1:7" ht="46.5">
      <c r="A617" s="3" t="s">
        <v>249</v>
      </c>
      <c r="B617" s="4" t="s">
        <v>43</v>
      </c>
      <c r="C617" s="4" t="s">
        <v>43</v>
      </c>
      <c r="D617" s="4" t="s">
        <v>561</v>
      </c>
      <c r="E617" s="4"/>
      <c r="F617" s="29">
        <f>F618</f>
        <v>385087</v>
      </c>
      <c r="G617" s="29"/>
    </row>
    <row r="618" spans="1:7" ht="46.5">
      <c r="A618" s="3" t="s">
        <v>756</v>
      </c>
      <c r="B618" s="4" t="s">
        <v>43</v>
      </c>
      <c r="C618" s="4" t="s">
        <v>43</v>
      </c>
      <c r="D618" s="4" t="s">
        <v>562</v>
      </c>
      <c r="E618" s="4"/>
      <c r="F618" s="29">
        <f>F619</f>
        <v>385087</v>
      </c>
      <c r="G618" s="29"/>
    </row>
    <row r="619" spans="1:7" ht="46.5">
      <c r="A619" s="3" t="s">
        <v>701</v>
      </c>
      <c r="B619" s="4" t="s">
        <v>43</v>
      </c>
      <c r="C619" s="4" t="s">
        <v>43</v>
      </c>
      <c r="D619" s="4" t="s">
        <v>562</v>
      </c>
      <c r="E619" s="4" t="s">
        <v>605</v>
      </c>
      <c r="F619" s="29">
        <f>прил7!G565</f>
        <v>385087</v>
      </c>
      <c r="G619" s="29"/>
    </row>
    <row r="620" spans="1:7" ht="30.75">
      <c r="A620" s="13" t="s">
        <v>736</v>
      </c>
      <c r="B620" s="5" t="s">
        <v>43</v>
      </c>
      <c r="C620" s="5" t="s">
        <v>46</v>
      </c>
      <c r="D620" s="23"/>
      <c r="E620" s="23"/>
      <c r="F620" s="28">
        <f>F621</f>
        <v>67521970.83</v>
      </c>
      <c r="G620" s="28">
        <f>G621</f>
        <v>14533900</v>
      </c>
    </row>
    <row r="621" spans="1:7" ht="46.5">
      <c r="A621" s="3" t="s">
        <v>102</v>
      </c>
      <c r="B621" s="4" t="s">
        <v>43</v>
      </c>
      <c r="C621" s="4" t="s">
        <v>46</v>
      </c>
      <c r="D621" s="4" t="s">
        <v>552</v>
      </c>
      <c r="E621" s="4"/>
      <c r="F621" s="29">
        <f>F622+F629+F636</f>
        <v>67521970.83</v>
      </c>
      <c r="G621" s="29">
        <f>G622+G629+G636</f>
        <v>14533900</v>
      </c>
    </row>
    <row r="622" spans="1:7" ht="77.25">
      <c r="A622" s="3" t="s">
        <v>750</v>
      </c>
      <c r="B622" s="4" t="s">
        <v>43</v>
      </c>
      <c r="C622" s="4" t="s">
        <v>46</v>
      </c>
      <c r="D622" s="4" t="s">
        <v>941</v>
      </c>
      <c r="E622" s="4"/>
      <c r="F622" s="29">
        <f>F623+F626</f>
        <v>20338952.75</v>
      </c>
      <c r="G622" s="29"/>
    </row>
    <row r="623" spans="1:7" ht="61.5">
      <c r="A623" s="3" t="s">
        <v>942</v>
      </c>
      <c r="B623" s="4" t="s">
        <v>43</v>
      </c>
      <c r="C623" s="4" t="s">
        <v>46</v>
      </c>
      <c r="D623" s="4" t="s">
        <v>943</v>
      </c>
      <c r="E623" s="4"/>
      <c r="F623" s="29">
        <f>F624</f>
        <v>20043880</v>
      </c>
      <c r="G623" s="29"/>
    </row>
    <row r="624" spans="1:7" ht="108">
      <c r="A624" s="3" t="s">
        <v>749</v>
      </c>
      <c r="B624" s="4" t="s">
        <v>43</v>
      </c>
      <c r="C624" s="4" t="s">
        <v>46</v>
      </c>
      <c r="D624" s="4" t="s">
        <v>632</v>
      </c>
      <c r="E624" s="4"/>
      <c r="F624" s="29">
        <f>F625</f>
        <v>20043880</v>
      </c>
      <c r="G624" s="29"/>
    </row>
    <row r="625" spans="1:7" ht="61.5">
      <c r="A625" s="3" t="s">
        <v>525</v>
      </c>
      <c r="B625" s="4" t="s">
        <v>43</v>
      </c>
      <c r="C625" s="4" t="s">
        <v>46</v>
      </c>
      <c r="D625" s="4" t="s">
        <v>632</v>
      </c>
      <c r="E625" s="4" t="s">
        <v>609</v>
      </c>
      <c r="F625" s="29">
        <f>прил7!G770</f>
        <v>20043880</v>
      </c>
      <c r="G625" s="29"/>
    </row>
    <row r="626" spans="1:7" ht="30.75">
      <c r="A626" s="3" t="s">
        <v>356</v>
      </c>
      <c r="B626" s="4" t="s">
        <v>43</v>
      </c>
      <c r="C626" s="4" t="s">
        <v>46</v>
      </c>
      <c r="D626" s="4" t="s">
        <v>633</v>
      </c>
      <c r="E626" s="4"/>
      <c r="F626" s="29">
        <f>F627</f>
        <v>295072.75</v>
      </c>
      <c r="G626" s="29"/>
    </row>
    <row r="627" spans="1:7" ht="108">
      <c r="A627" s="3" t="s">
        <v>749</v>
      </c>
      <c r="B627" s="4" t="s">
        <v>43</v>
      </c>
      <c r="C627" s="4" t="s">
        <v>46</v>
      </c>
      <c r="D627" s="4" t="s">
        <v>634</v>
      </c>
      <c r="E627" s="4"/>
      <c r="F627" s="29">
        <f>F628</f>
        <v>295072.75</v>
      </c>
      <c r="G627" s="29"/>
    </row>
    <row r="628" spans="1:7" ht="61.5">
      <c r="A628" s="3" t="s">
        <v>525</v>
      </c>
      <c r="B628" s="4" t="s">
        <v>43</v>
      </c>
      <c r="C628" s="4" t="s">
        <v>46</v>
      </c>
      <c r="D628" s="4" t="s">
        <v>634</v>
      </c>
      <c r="E628" s="4" t="s">
        <v>609</v>
      </c>
      <c r="F628" s="29">
        <f>прил7!G773</f>
        <v>295072.75</v>
      </c>
      <c r="G628" s="29"/>
    </row>
    <row r="629" spans="1:7" ht="77.25">
      <c r="A629" s="3" t="s">
        <v>751</v>
      </c>
      <c r="B629" s="4" t="s">
        <v>43</v>
      </c>
      <c r="C629" s="4" t="s">
        <v>46</v>
      </c>
      <c r="D629" s="4" t="s">
        <v>635</v>
      </c>
      <c r="E629" s="4"/>
      <c r="F629" s="29">
        <f>F630+F633</f>
        <v>26875448.32</v>
      </c>
      <c r="G629" s="29"/>
    </row>
    <row r="630" spans="1:7" ht="77.25">
      <c r="A630" s="3" t="s">
        <v>636</v>
      </c>
      <c r="B630" s="4" t="s">
        <v>43</v>
      </c>
      <c r="C630" s="4" t="s">
        <v>46</v>
      </c>
      <c r="D630" s="4" t="s">
        <v>637</v>
      </c>
      <c r="E630" s="4"/>
      <c r="F630" s="29">
        <f>F631</f>
        <v>26580375.56</v>
      </c>
      <c r="G630" s="29"/>
    </row>
    <row r="631" spans="1:7" ht="108">
      <c r="A631" s="3" t="s">
        <v>749</v>
      </c>
      <c r="B631" s="4" t="s">
        <v>43</v>
      </c>
      <c r="C631" s="4" t="s">
        <v>46</v>
      </c>
      <c r="D631" s="4" t="s">
        <v>638</v>
      </c>
      <c r="E631" s="4"/>
      <c r="F631" s="29">
        <f>F632</f>
        <v>26580375.56</v>
      </c>
      <c r="G631" s="29"/>
    </row>
    <row r="632" spans="1:7" ht="61.5">
      <c r="A632" s="3" t="s">
        <v>525</v>
      </c>
      <c r="B632" s="4" t="s">
        <v>43</v>
      </c>
      <c r="C632" s="4" t="s">
        <v>46</v>
      </c>
      <c r="D632" s="4" t="s">
        <v>638</v>
      </c>
      <c r="E632" s="4" t="s">
        <v>609</v>
      </c>
      <c r="F632" s="29">
        <f>прил7!G777</f>
        <v>26580375.56</v>
      </c>
      <c r="G632" s="29"/>
    </row>
    <row r="633" spans="1:7" ht="30.75">
      <c r="A633" s="3" t="s">
        <v>356</v>
      </c>
      <c r="B633" s="4" t="s">
        <v>43</v>
      </c>
      <c r="C633" s="4" t="s">
        <v>46</v>
      </c>
      <c r="D633" s="4" t="s">
        <v>639</v>
      </c>
      <c r="E633" s="4"/>
      <c r="F633" s="29">
        <f>F634</f>
        <v>295072.76</v>
      </c>
      <c r="G633" s="29"/>
    </row>
    <row r="634" spans="1:7" ht="108">
      <c r="A634" s="3" t="s">
        <v>749</v>
      </c>
      <c r="B634" s="4" t="s">
        <v>43</v>
      </c>
      <c r="C634" s="4" t="s">
        <v>46</v>
      </c>
      <c r="D634" s="4" t="s">
        <v>640</v>
      </c>
      <c r="E634" s="4"/>
      <c r="F634" s="29">
        <f>F635</f>
        <v>295072.76</v>
      </c>
      <c r="G634" s="29"/>
    </row>
    <row r="635" spans="1:7" ht="61.5">
      <c r="A635" s="3" t="s">
        <v>525</v>
      </c>
      <c r="B635" s="4" t="s">
        <v>43</v>
      </c>
      <c r="C635" s="4" t="s">
        <v>46</v>
      </c>
      <c r="D635" s="4" t="s">
        <v>640</v>
      </c>
      <c r="E635" s="4" t="s">
        <v>609</v>
      </c>
      <c r="F635" s="29">
        <f>прил7!G780</f>
        <v>295072.76</v>
      </c>
      <c r="G635" s="29"/>
    </row>
    <row r="636" spans="1:7" ht="30.75">
      <c r="A636" s="3" t="s">
        <v>526</v>
      </c>
      <c r="B636" s="4" t="s">
        <v>43</v>
      </c>
      <c r="C636" s="4" t="s">
        <v>46</v>
      </c>
      <c r="D636" s="4" t="s">
        <v>641</v>
      </c>
      <c r="E636" s="4"/>
      <c r="F636" s="29">
        <f>F637+F642+F645</f>
        <v>20307569.76</v>
      </c>
      <c r="G636" s="29">
        <f>G637+G642</f>
        <v>14533900</v>
      </c>
    </row>
    <row r="637" spans="1:7" ht="46.5">
      <c r="A637" s="3" t="s">
        <v>642</v>
      </c>
      <c r="B637" s="4" t="s">
        <v>43</v>
      </c>
      <c r="C637" s="4" t="s">
        <v>46</v>
      </c>
      <c r="D637" s="4" t="s">
        <v>643</v>
      </c>
      <c r="E637" s="4"/>
      <c r="F637" s="29">
        <f>F638+F640</f>
        <v>6875397</v>
      </c>
      <c r="G637" s="29">
        <f>G638+G640</f>
        <v>1396800</v>
      </c>
    </row>
    <row r="638" spans="1:7" ht="139.5">
      <c r="A638" s="3" t="s">
        <v>644</v>
      </c>
      <c r="B638" s="4" t="s">
        <v>43</v>
      </c>
      <c r="C638" s="4" t="s">
        <v>46</v>
      </c>
      <c r="D638" s="4" t="s">
        <v>645</v>
      </c>
      <c r="E638" s="4"/>
      <c r="F638" s="29">
        <f>F639</f>
        <v>1396800</v>
      </c>
      <c r="G638" s="29">
        <f>G639</f>
        <v>1396800</v>
      </c>
    </row>
    <row r="639" spans="1:7" ht="61.5">
      <c r="A639" s="3" t="s">
        <v>525</v>
      </c>
      <c r="B639" s="4" t="s">
        <v>43</v>
      </c>
      <c r="C639" s="4" t="s">
        <v>46</v>
      </c>
      <c r="D639" s="4" t="s">
        <v>645</v>
      </c>
      <c r="E639" s="4" t="s">
        <v>609</v>
      </c>
      <c r="F639" s="29">
        <f>прил7!G784</f>
        <v>1396800</v>
      </c>
      <c r="G639" s="29">
        <f>F639</f>
        <v>1396800</v>
      </c>
    </row>
    <row r="640" spans="1:7" ht="139.5">
      <c r="A640" s="3" t="s">
        <v>644</v>
      </c>
      <c r="B640" s="4" t="s">
        <v>43</v>
      </c>
      <c r="C640" s="4" t="s">
        <v>46</v>
      </c>
      <c r="D640" s="4" t="s">
        <v>646</v>
      </c>
      <c r="E640" s="4"/>
      <c r="F640" s="29">
        <f>F641</f>
        <v>5478597</v>
      </c>
      <c r="G640" s="29"/>
    </row>
    <row r="641" spans="1:7" ht="61.5">
      <c r="A641" s="3" t="s">
        <v>525</v>
      </c>
      <c r="B641" s="4" t="s">
        <v>43</v>
      </c>
      <c r="C641" s="4" t="s">
        <v>46</v>
      </c>
      <c r="D641" s="4" t="s">
        <v>646</v>
      </c>
      <c r="E641" s="4" t="s">
        <v>609</v>
      </c>
      <c r="F641" s="29">
        <f>прил7!G786</f>
        <v>5478597</v>
      </c>
      <c r="G641" s="29"/>
    </row>
    <row r="642" spans="1:7" ht="46.5">
      <c r="A642" s="3" t="s">
        <v>647</v>
      </c>
      <c r="B642" s="4" t="s">
        <v>43</v>
      </c>
      <c r="C642" s="4" t="s">
        <v>46</v>
      </c>
      <c r="D642" s="4" t="s">
        <v>648</v>
      </c>
      <c r="E642" s="4"/>
      <c r="F642" s="29">
        <f>F643</f>
        <v>13137100</v>
      </c>
      <c r="G642" s="29">
        <f>G643</f>
        <v>13137100</v>
      </c>
    </row>
    <row r="643" spans="1:7" ht="46.5">
      <c r="A643" s="3" t="s">
        <v>649</v>
      </c>
      <c r="B643" s="4" t="s">
        <v>43</v>
      </c>
      <c r="C643" s="4" t="s">
        <v>46</v>
      </c>
      <c r="D643" s="4" t="s">
        <v>650</v>
      </c>
      <c r="E643" s="4"/>
      <c r="F643" s="29">
        <f>F644</f>
        <v>13137100</v>
      </c>
      <c r="G643" s="29">
        <f>G644</f>
        <v>13137100</v>
      </c>
    </row>
    <row r="644" spans="1:7" ht="61.5">
      <c r="A644" s="3" t="s">
        <v>525</v>
      </c>
      <c r="B644" s="4" t="s">
        <v>43</v>
      </c>
      <c r="C644" s="4" t="s">
        <v>46</v>
      </c>
      <c r="D644" s="4" t="s">
        <v>650</v>
      </c>
      <c r="E644" s="4" t="s">
        <v>609</v>
      </c>
      <c r="F644" s="29">
        <f>прил7!G789</f>
        <v>13137100</v>
      </c>
      <c r="G644" s="29">
        <f>F644</f>
        <v>13137100</v>
      </c>
    </row>
    <row r="645" spans="1:7" ht="46.5">
      <c r="A645" s="3" t="s">
        <v>651</v>
      </c>
      <c r="B645" s="4" t="s">
        <v>43</v>
      </c>
      <c r="C645" s="4" t="s">
        <v>46</v>
      </c>
      <c r="D645" s="4" t="s">
        <v>652</v>
      </c>
      <c r="E645" s="4"/>
      <c r="F645" s="29">
        <f>F646</f>
        <v>295072.76</v>
      </c>
      <c r="G645" s="29"/>
    </row>
    <row r="646" spans="1:7" ht="108">
      <c r="A646" s="3" t="s">
        <v>749</v>
      </c>
      <c r="B646" s="4" t="s">
        <v>43</v>
      </c>
      <c r="C646" s="4" t="s">
        <v>46</v>
      </c>
      <c r="D646" s="4" t="s">
        <v>653</v>
      </c>
      <c r="E646" s="4"/>
      <c r="F646" s="29">
        <f>F647</f>
        <v>295072.76</v>
      </c>
      <c r="G646" s="29"/>
    </row>
    <row r="647" spans="1:7" ht="61.5">
      <c r="A647" s="3" t="s">
        <v>525</v>
      </c>
      <c r="B647" s="4" t="s">
        <v>43</v>
      </c>
      <c r="C647" s="4" t="s">
        <v>46</v>
      </c>
      <c r="D647" s="4" t="s">
        <v>653</v>
      </c>
      <c r="E647" s="4" t="s">
        <v>609</v>
      </c>
      <c r="F647" s="29">
        <f>прил7!G792</f>
        <v>295072.76</v>
      </c>
      <c r="G647" s="29"/>
    </row>
    <row r="648" spans="1:12" ht="15">
      <c r="A648" s="13" t="s">
        <v>606</v>
      </c>
      <c r="B648" s="5" t="s">
        <v>44</v>
      </c>
      <c r="C648" s="5" t="s">
        <v>742</v>
      </c>
      <c r="D648" s="23"/>
      <c r="E648" s="23"/>
      <c r="F648" s="28">
        <f>F649</f>
        <v>176494332</v>
      </c>
      <c r="G648" s="28">
        <f>G649</f>
        <v>8783231</v>
      </c>
      <c r="K648" s="26">
        <f>прил7!G920</f>
        <v>176411901</v>
      </c>
      <c r="L648" s="26">
        <f>прил7!H920</f>
        <v>8783231</v>
      </c>
    </row>
    <row r="649" spans="1:12" ht="15">
      <c r="A649" s="1" t="s">
        <v>737</v>
      </c>
      <c r="B649" s="2" t="s">
        <v>44</v>
      </c>
      <c r="C649" s="2" t="s">
        <v>917</v>
      </c>
      <c r="D649" s="4"/>
      <c r="E649" s="4"/>
      <c r="F649" s="33">
        <f>F650+F656+F728</f>
        <v>176494332</v>
      </c>
      <c r="G649" s="33">
        <f>G650+G656+G728</f>
        <v>8783231</v>
      </c>
      <c r="K649" s="26">
        <f>F648-K648</f>
        <v>82431</v>
      </c>
      <c r="L649" s="26">
        <f>G648-L648</f>
        <v>0</v>
      </c>
    </row>
    <row r="650" spans="1:7" ht="93">
      <c r="A650" s="3" t="s">
        <v>72</v>
      </c>
      <c r="B650" s="4" t="s">
        <v>44</v>
      </c>
      <c r="C650" s="4" t="s">
        <v>917</v>
      </c>
      <c r="D650" s="4" t="s">
        <v>724</v>
      </c>
      <c r="E650" s="4"/>
      <c r="F650" s="29">
        <f>F652+F654</f>
        <v>672638</v>
      </c>
      <c r="G650" s="29">
        <f>G652+G654</f>
        <v>158000</v>
      </c>
    </row>
    <row r="651" spans="1:7" ht="93">
      <c r="A651" s="3" t="s">
        <v>73</v>
      </c>
      <c r="B651" s="4" t="s">
        <v>44</v>
      </c>
      <c r="C651" s="4" t="s">
        <v>917</v>
      </c>
      <c r="D651" s="4" t="s">
        <v>74</v>
      </c>
      <c r="E651" s="4"/>
      <c r="F651" s="29">
        <f>F652+F654</f>
        <v>672638</v>
      </c>
      <c r="G651" s="29">
        <f>G652+G654</f>
        <v>158000</v>
      </c>
    </row>
    <row r="652" spans="1:7" ht="61.5">
      <c r="A652" s="3" t="s">
        <v>1159</v>
      </c>
      <c r="B652" s="4" t="s">
        <v>44</v>
      </c>
      <c r="C652" s="4" t="s">
        <v>917</v>
      </c>
      <c r="D652" s="4" t="s">
        <v>1161</v>
      </c>
      <c r="E652" s="4"/>
      <c r="F652" s="29">
        <f>прил7!G924</f>
        <v>158000</v>
      </c>
      <c r="G652" s="29">
        <f>G653</f>
        <v>158000</v>
      </c>
    </row>
    <row r="653" spans="1:7" ht="61.5">
      <c r="A653" s="3" t="s">
        <v>525</v>
      </c>
      <c r="B653" s="4" t="s">
        <v>44</v>
      </c>
      <c r="C653" s="4" t="s">
        <v>917</v>
      </c>
      <c r="D653" s="4" t="s">
        <v>1161</v>
      </c>
      <c r="E653" s="4" t="s">
        <v>609</v>
      </c>
      <c r="F653" s="29">
        <f>F652</f>
        <v>158000</v>
      </c>
      <c r="G653" s="29">
        <f>F653</f>
        <v>158000</v>
      </c>
    </row>
    <row r="654" spans="1:7" ht="61.5">
      <c r="A654" s="3" t="s">
        <v>1159</v>
      </c>
      <c r="B654" s="4" t="s">
        <v>44</v>
      </c>
      <c r="C654" s="4" t="s">
        <v>917</v>
      </c>
      <c r="D654" s="4" t="s">
        <v>1160</v>
      </c>
      <c r="E654" s="4"/>
      <c r="F654" s="29">
        <f>прил7!G926</f>
        <v>514638</v>
      </c>
      <c r="G654" s="29"/>
    </row>
    <row r="655" spans="1:7" ht="61.5">
      <c r="A655" s="3" t="s">
        <v>525</v>
      </c>
      <c r="B655" s="4" t="s">
        <v>44</v>
      </c>
      <c r="C655" s="4" t="s">
        <v>917</v>
      </c>
      <c r="D655" s="4" t="s">
        <v>1160</v>
      </c>
      <c r="E655" s="4" t="s">
        <v>609</v>
      </c>
      <c r="F655" s="29">
        <f>F654</f>
        <v>514638</v>
      </c>
      <c r="G655" s="29"/>
    </row>
    <row r="656" spans="1:7" ht="77.25">
      <c r="A656" s="3" t="s">
        <v>107</v>
      </c>
      <c r="B656" s="4" t="s">
        <v>44</v>
      </c>
      <c r="C656" s="4" t="s">
        <v>917</v>
      </c>
      <c r="D656" s="4" t="s">
        <v>682</v>
      </c>
      <c r="E656" s="4"/>
      <c r="F656" s="29">
        <f>F657+F678+F703+F717+F724</f>
        <v>173699188</v>
      </c>
      <c r="G656" s="29">
        <f>G657+G678+G703+G717</f>
        <v>8625231</v>
      </c>
    </row>
    <row r="657" spans="1:7" ht="61.5">
      <c r="A657" s="3" t="s">
        <v>150</v>
      </c>
      <c r="B657" s="4" t="s">
        <v>44</v>
      </c>
      <c r="C657" s="4" t="s">
        <v>917</v>
      </c>
      <c r="D657" s="4" t="s">
        <v>683</v>
      </c>
      <c r="E657" s="4"/>
      <c r="F657" s="29">
        <f>F658+F662+F675</f>
        <v>108970038.99999999</v>
      </c>
      <c r="G657" s="29">
        <f>G662</f>
        <v>5745753</v>
      </c>
    </row>
    <row r="658" spans="1:7" ht="46.5">
      <c r="A658" s="3" t="s">
        <v>389</v>
      </c>
      <c r="B658" s="4" t="s">
        <v>44</v>
      </c>
      <c r="C658" s="4" t="s">
        <v>917</v>
      </c>
      <c r="D658" s="4" t="s">
        <v>390</v>
      </c>
      <c r="E658" s="4"/>
      <c r="F658" s="29">
        <f>F659</f>
        <v>1699220</v>
      </c>
      <c r="G658" s="29"/>
    </row>
    <row r="659" spans="1:7" ht="30.75">
      <c r="A659" s="3" t="s">
        <v>523</v>
      </c>
      <c r="B659" s="4" t="s">
        <v>44</v>
      </c>
      <c r="C659" s="4" t="s">
        <v>917</v>
      </c>
      <c r="D659" s="4" t="s">
        <v>391</v>
      </c>
      <c r="E659" s="4"/>
      <c r="F659" s="29">
        <f>F660+F661</f>
        <v>1699220</v>
      </c>
      <c r="G659" s="29"/>
    </row>
    <row r="660" spans="1:7" ht="46.5">
      <c r="A660" s="3" t="s">
        <v>93</v>
      </c>
      <c r="B660" s="4" t="s">
        <v>44</v>
      </c>
      <c r="C660" s="4" t="s">
        <v>917</v>
      </c>
      <c r="D660" s="4" t="s">
        <v>391</v>
      </c>
      <c r="E660" s="4" t="s">
        <v>605</v>
      </c>
      <c r="F660" s="29">
        <f>прил7!G932</f>
        <v>986129</v>
      </c>
      <c r="G660" s="29"/>
    </row>
    <row r="661" spans="1:7" ht="61.5">
      <c r="A661" s="3" t="s">
        <v>525</v>
      </c>
      <c r="B661" s="4" t="s">
        <v>44</v>
      </c>
      <c r="C661" s="4" t="s">
        <v>917</v>
      </c>
      <c r="D661" s="4" t="s">
        <v>391</v>
      </c>
      <c r="E661" s="4" t="s">
        <v>609</v>
      </c>
      <c r="F661" s="29">
        <f>прил7!G933</f>
        <v>713091</v>
      </c>
      <c r="G661" s="29"/>
    </row>
    <row r="662" spans="1:7" ht="30.75">
      <c r="A662" s="3" t="s">
        <v>395</v>
      </c>
      <c r="B662" s="4" t="s">
        <v>44</v>
      </c>
      <c r="C662" s="4" t="s">
        <v>917</v>
      </c>
      <c r="D662" s="4" t="s">
        <v>396</v>
      </c>
      <c r="E662" s="4"/>
      <c r="F662" s="29">
        <f>F663+F667+F669+F671+F674+F665</f>
        <v>106870818.99999999</v>
      </c>
      <c r="G662" s="29">
        <f>G663+G667+G669+G671+G674+G665</f>
        <v>5745753</v>
      </c>
    </row>
    <row r="663" spans="1:7" ht="108">
      <c r="A663" s="3" t="s">
        <v>749</v>
      </c>
      <c r="B663" s="4" t="s">
        <v>44</v>
      </c>
      <c r="C663" s="4" t="s">
        <v>917</v>
      </c>
      <c r="D663" s="4" t="s">
        <v>397</v>
      </c>
      <c r="E663" s="4"/>
      <c r="F663" s="29">
        <f>F664</f>
        <v>94768738.38999999</v>
      </c>
      <c r="G663" s="29"/>
    </row>
    <row r="664" spans="1:7" ht="61.5">
      <c r="A664" s="3" t="s">
        <v>525</v>
      </c>
      <c r="B664" s="4" t="s">
        <v>44</v>
      </c>
      <c r="C664" s="4" t="s">
        <v>917</v>
      </c>
      <c r="D664" s="4" t="s">
        <v>397</v>
      </c>
      <c r="E664" s="4" t="s">
        <v>609</v>
      </c>
      <c r="F664" s="29">
        <f>прил7!G936</f>
        <v>94768738.38999999</v>
      </c>
      <c r="G664" s="29"/>
    </row>
    <row r="665" spans="1:7" ht="77.25" hidden="1">
      <c r="A665" s="3" t="s">
        <v>1162</v>
      </c>
      <c r="B665" s="4" t="s">
        <v>44</v>
      </c>
      <c r="C665" s="4" t="s">
        <v>917</v>
      </c>
      <c r="D665" s="4" t="s">
        <v>1163</v>
      </c>
      <c r="E665" s="4"/>
      <c r="F665" s="29">
        <f>F666</f>
        <v>0</v>
      </c>
      <c r="G665" s="29">
        <f>G666</f>
        <v>0</v>
      </c>
    </row>
    <row r="666" spans="1:7" ht="61.5" hidden="1">
      <c r="A666" s="3" t="s">
        <v>525</v>
      </c>
      <c r="B666" s="4" t="s">
        <v>44</v>
      </c>
      <c r="C666" s="4" t="s">
        <v>917</v>
      </c>
      <c r="D666" s="4" t="s">
        <v>1163</v>
      </c>
      <c r="E666" s="4" t="s">
        <v>609</v>
      </c>
      <c r="F666" s="29">
        <f>прил7!G938</f>
        <v>0</v>
      </c>
      <c r="G666" s="29">
        <f>F666</f>
        <v>0</v>
      </c>
    </row>
    <row r="667" spans="1:7" ht="123.75">
      <c r="A667" s="3" t="s">
        <v>859</v>
      </c>
      <c r="B667" s="4" t="s">
        <v>44</v>
      </c>
      <c r="C667" s="4" t="s">
        <v>917</v>
      </c>
      <c r="D667" s="4" t="s">
        <v>398</v>
      </c>
      <c r="E667" s="4"/>
      <c r="F667" s="29">
        <f>F668</f>
        <v>4529401</v>
      </c>
      <c r="G667" s="29">
        <f>G668</f>
        <v>4529401</v>
      </c>
    </row>
    <row r="668" spans="1:7" ht="61.5">
      <c r="A668" s="3" t="s">
        <v>525</v>
      </c>
      <c r="B668" s="4" t="s">
        <v>44</v>
      </c>
      <c r="C668" s="4" t="s">
        <v>917</v>
      </c>
      <c r="D668" s="4" t="s">
        <v>398</v>
      </c>
      <c r="E668" s="4" t="s">
        <v>609</v>
      </c>
      <c r="F668" s="29">
        <f>прил7!G940</f>
        <v>4529401</v>
      </c>
      <c r="G668" s="29">
        <v>4529401</v>
      </c>
    </row>
    <row r="669" spans="1:7" ht="123.75">
      <c r="A669" s="3" t="s">
        <v>859</v>
      </c>
      <c r="B669" s="4" t="s">
        <v>44</v>
      </c>
      <c r="C669" s="4" t="s">
        <v>917</v>
      </c>
      <c r="D669" s="4" t="s">
        <v>399</v>
      </c>
      <c r="E669" s="4"/>
      <c r="F669" s="29">
        <f>F670</f>
        <v>6292309.08</v>
      </c>
      <c r="G669" s="29"/>
    </row>
    <row r="670" spans="1:7" ht="61.5">
      <c r="A670" s="3" t="s">
        <v>525</v>
      </c>
      <c r="B670" s="4" t="s">
        <v>44</v>
      </c>
      <c r="C670" s="4" t="s">
        <v>917</v>
      </c>
      <c r="D670" s="4" t="s">
        <v>399</v>
      </c>
      <c r="E670" s="4" t="s">
        <v>609</v>
      </c>
      <c r="F670" s="29">
        <f>прил7!G942</f>
        <v>6292309.08</v>
      </c>
      <c r="G670" s="29"/>
    </row>
    <row r="671" spans="1:7" ht="139.5">
      <c r="A671" s="3" t="s">
        <v>347</v>
      </c>
      <c r="B671" s="4" t="s">
        <v>44</v>
      </c>
      <c r="C671" s="4" t="s">
        <v>917</v>
      </c>
      <c r="D671" s="4" t="s">
        <v>400</v>
      </c>
      <c r="E671" s="4"/>
      <c r="F671" s="29">
        <f>F672</f>
        <v>1216352</v>
      </c>
      <c r="G671" s="29">
        <f>G672</f>
        <v>1216352</v>
      </c>
    </row>
    <row r="672" spans="1:7" ht="61.5">
      <c r="A672" s="3" t="s">
        <v>525</v>
      </c>
      <c r="B672" s="4" t="s">
        <v>44</v>
      </c>
      <c r="C672" s="4" t="s">
        <v>917</v>
      </c>
      <c r="D672" s="4" t="s">
        <v>400</v>
      </c>
      <c r="E672" s="4" t="s">
        <v>609</v>
      </c>
      <c r="F672" s="29">
        <f>прил7!G944</f>
        <v>1216352</v>
      </c>
      <c r="G672" s="29">
        <f>F672</f>
        <v>1216352</v>
      </c>
    </row>
    <row r="673" spans="1:7" ht="139.5">
      <c r="A673" s="3" t="s">
        <v>347</v>
      </c>
      <c r="B673" s="4" t="s">
        <v>44</v>
      </c>
      <c r="C673" s="4" t="s">
        <v>917</v>
      </c>
      <c r="D673" s="4" t="s">
        <v>401</v>
      </c>
      <c r="E673" s="4"/>
      <c r="F673" s="29">
        <f>F674</f>
        <v>64018.53</v>
      </c>
      <c r="G673" s="29"/>
    </row>
    <row r="674" spans="1:7" ht="61.5">
      <c r="A674" s="3" t="s">
        <v>525</v>
      </c>
      <c r="B674" s="4" t="s">
        <v>44</v>
      </c>
      <c r="C674" s="4" t="s">
        <v>917</v>
      </c>
      <c r="D674" s="4" t="s">
        <v>401</v>
      </c>
      <c r="E674" s="4" t="s">
        <v>609</v>
      </c>
      <c r="F674" s="29">
        <f>прил7!G946</f>
        <v>64018.53</v>
      </c>
      <c r="G674" s="29"/>
    </row>
    <row r="675" spans="1:7" ht="61.5">
      <c r="A675" s="3" t="s">
        <v>392</v>
      </c>
      <c r="B675" s="4" t="s">
        <v>44</v>
      </c>
      <c r="C675" s="4" t="s">
        <v>917</v>
      </c>
      <c r="D675" s="4" t="s">
        <v>402</v>
      </c>
      <c r="E675" s="4"/>
      <c r="F675" s="29">
        <f>F676</f>
        <v>400000</v>
      </c>
      <c r="G675" s="29"/>
    </row>
    <row r="676" spans="1:7" ht="108">
      <c r="A676" s="3" t="s">
        <v>749</v>
      </c>
      <c r="B676" s="4" t="s">
        <v>44</v>
      </c>
      <c r="C676" s="4" t="s">
        <v>917</v>
      </c>
      <c r="D676" s="4" t="s">
        <v>403</v>
      </c>
      <c r="E676" s="4"/>
      <c r="F676" s="29">
        <f>F677</f>
        <v>400000</v>
      </c>
      <c r="G676" s="29"/>
    </row>
    <row r="677" spans="1:7" ht="61.5">
      <c r="A677" s="3" t="s">
        <v>525</v>
      </c>
      <c r="B677" s="4" t="s">
        <v>44</v>
      </c>
      <c r="C677" s="4" t="s">
        <v>917</v>
      </c>
      <c r="D677" s="4" t="s">
        <v>403</v>
      </c>
      <c r="E677" s="4" t="s">
        <v>609</v>
      </c>
      <c r="F677" s="29">
        <f>прил7!G949</f>
        <v>400000</v>
      </c>
      <c r="G677" s="29"/>
    </row>
    <row r="678" spans="1:13" ht="30.75">
      <c r="A678" s="3" t="s">
        <v>3</v>
      </c>
      <c r="B678" s="4" t="s">
        <v>44</v>
      </c>
      <c r="C678" s="4" t="s">
        <v>917</v>
      </c>
      <c r="D678" s="4" t="s">
        <v>404</v>
      </c>
      <c r="E678" s="4"/>
      <c r="F678" s="29">
        <f>F679+F690+F695+F698</f>
        <v>50922010</v>
      </c>
      <c r="G678" s="29">
        <f aca="true" t="shared" si="2" ref="G678:M678">G679+G690+G695+G698</f>
        <v>2296966</v>
      </c>
      <c r="H678" s="29">
        <f t="shared" si="2"/>
        <v>0</v>
      </c>
      <c r="I678" s="29">
        <f t="shared" si="2"/>
        <v>0</v>
      </c>
      <c r="J678" s="29">
        <f t="shared" si="2"/>
        <v>0</v>
      </c>
      <c r="K678" s="29">
        <f t="shared" si="2"/>
        <v>0</v>
      </c>
      <c r="L678" s="29">
        <f t="shared" si="2"/>
        <v>0</v>
      </c>
      <c r="M678" s="29">
        <f t="shared" si="2"/>
        <v>0</v>
      </c>
    </row>
    <row r="679" spans="1:7" ht="61.5">
      <c r="A679" s="3" t="s">
        <v>405</v>
      </c>
      <c r="B679" s="4" t="s">
        <v>44</v>
      </c>
      <c r="C679" s="4" t="s">
        <v>917</v>
      </c>
      <c r="D679" s="4" t="s">
        <v>406</v>
      </c>
      <c r="E679" s="4"/>
      <c r="F679" s="29">
        <f>F680+F682+F684+F686+F688</f>
        <v>42225995.45</v>
      </c>
      <c r="G679" s="29">
        <f>G682+G686</f>
        <v>2233853</v>
      </c>
    </row>
    <row r="680" spans="1:7" ht="108">
      <c r="A680" s="3" t="s">
        <v>749</v>
      </c>
      <c r="B680" s="4" t="s">
        <v>44</v>
      </c>
      <c r="C680" s="4" t="s">
        <v>917</v>
      </c>
      <c r="D680" s="4" t="s">
        <v>407</v>
      </c>
      <c r="E680" s="4"/>
      <c r="F680" s="29">
        <f>F681</f>
        <v>39228240.48</v>
      </c>
      <c r="G680" s="29"/>
    </row>
    <row r="681" spans="1:7" ht="61.5">
      <c r="A681" s="3" t="s">
        <v>525</v>
      </c>
      <c r="B681" s="4" t="s">
        <v>44</v>
      </c>
      <c r="C681" s="4" t="s">
        <v>917</v>
      </c>
      <c r="D681" s="4" t="s">
        <v>407</v>
      </c>
      <c r="E681" s="4" t="s">
        <v>609</v>
      </c>
      <c r="F681" s="29">
        <f>прил7!G953</f>
        <v>39228240.48</v>
      </c>
      <c r="G681" s="29"/>
    </row>
    <row r="682" spans="1:7" ht="123.75">
      <c r="A682" s="3" t="s">
        <v>859</v>
      </c>
      <c r="B682" s="4" t="s">
        <v>44</v>
      </c>
      <c r="C682" s="4" t="s">
        <v>917</v>
      </c>
      <c r="D682" s="4" t="s">
        <v>408</v>
      </c>
      <c r="E682" s="4"/>
      <c r="F682" s="29">
        <f>F683</f>
        <v>2023853</v>
      </c>
      <c r="G682" s="29">
        <f>G683</f>
        <v>2023853</v>
      </c>
    </row>
    <row r="683" spans="1:7" ht="61.5">
      <c r="A683" s="3" t="s">
        <v>525</v>
      </c>
      <c r="B683" s="4" t="s">
        <v>44</v>
      </c>
      <c r="C683" s="4" t="s">
        <v>917</v>
      </c>
      <c r="D683" s="4" t="s">
        <v>408</v>
      </c>
      <c r="E683" s="4" t="s">
        <v>609</v>
      </c>
      <c r="F683" s="29">
        <f>прил7!G955</f>
        <v>2023853</v>
      </c>
      <c r="G683" s="29">
        <f>F683</f>
        <v>2023853</v>
      </c>
    </row>
    <row r="684" spans="1:7" ht="123.75">
      <c r="A684" s="3" t="s">
        <v>859</v>
      </c>
      <c r="B684" s="4" t="s">
        <v>44</v>
      </c>
      <c r="C684" s="4" t="s">
        <v>917</v>
      </c>
      <c r="D684" s="4" t="s">
        <v>409</v>
      </c>
      <c r="E684" s="4"/>
      <c r="F684" s="29">
        <f>F685</f>
        <v>752849.34</v>
      </c>
      <c r="G684" s="29"/>
    </row>
    <row r="685" spans="1:7" ht="61.5">
      <c r="A685" s="3" t="s">
        <v>525</v>
      </c>
      <c r="B685" s="4" t="s">
        <v>44</v>
      </c>
      <c r="C685" s="4" t="s">
        <v>917</v>
      </c>
      <c r="D685" s="4" t="s">
        <v>409</v>
      </c>
      <c r="E685" s="4" t="s">
        <v>609</v>
      </c>
      <c r="F685" s="29">
        <f>прил7!G957</f>
        <v>752849.34</v>
      </c>
      <c r="G685" s="29"/>
    </row>
    <row r="686" spans="1:7" ht="139.5">
      <c r="A686" s="3" t="s">
        <v>347</v>
      </c>
      <c r="B686" s="4" t="s">
        <v>44</v>
      </c>
      <c r="C686" s="4" t="s">
        <v>917</v>
      </c>
      <c r="D686" s="4" t="s">
        <v>410</v>
      </c>
      <c r="E686" s="4"/>
      <c r="F686" s="29">
        <v>210000</v>
      </c>
      <c r="G686" s="29">
        <f>G687</f>
        <v>210000</v>
      </c>
    </row>
    <row r="687" spans="1:7" ht="61.5">
      <c r="A687" s="3" t="s">
        <v>525</v>
      </c>
      <c r="B687" s="4" t="s">
        <v>44</v>
      </c>
      <c r="C687" s="4" t="s">
        <v>917</v>
      </c>
      <c r="D687" s="4" t="s">
        <v>410</v>
      </c>
      <c r="E687" s="4" t="s">
        <v>609</v>
      </c>
      <c r="F687" s="29">
        <f>прил7!G959</f>
        <v>210000</v>
      </c>
      <c r="G687" s="29">
        <v>210000</v>
      </c>
    </row>
    <row r="688" spans="1:7" ht="139.5">
      <c r="A688" s="3" t="s">
        <v>347</v>
      </c>
      <c r="B688" s="4" t="s">
        <v>44</v>
      </c>
      <c r="C688" s="4" t="s">
        <v>917</v>
      </c>
      <c r="D688" s="4" t="s">
        <v>411</v>
      </c>
      <c r="E688" s="4"/>
      <c r="F688" s="29">
        <f>F689</f>
        <v>11052.63</v>
      </c>
      <c r="G688" s="29"/>
    </row>
    <row r="689" spans="1:7" ht="61.5">
      <c r="A689" s="3" t="s">
        <v>525</v>
      </c>
      <c r="B689" s="4" t="s">
        <v>44</v>
      </c>
      <c r="C689" s="4" t="s">
        <v>917</v>
      </c>
      <c r="D689" s="4" t="s">
        <v>411</v>
      </c>
      <c r="E689" s="4" t="s">
        <v>609</v>
      </c>
      <c r="F689" s="29">
        <f>прил7!G961</f>
        <v>11052.63</v>
      </c>
      <c r="G689" s="29"/>
    </row>
    <row r="690" spans="1:7" ht="46.5">
      <c r="A690" s="3" t="s">
        <v>412</v>
      </c>
      <c r="B690" s="4" t="s">
        <v>44</v>
      </c>
      <c r="C690" s="4" t="s">
        <v>917</v>
      </c>
      <c r="D690" s="4" t="s">
        <v>413</v>
      </c>
      <c r="E690" s="4"/>
      <c r="F690" s="29">
        <f>F691+F693</f>
        <v>4103071</v>
      </c>
      <c r="G690" s="29">
        <f>G693</f>
        <v>13113</v>
      </c>
    </row>
    <row r="691" spans="1:7" ht="108">
      <c r="A691" s="3" t="s">
        <v>749</v>
      </c>
      <c r="B691" s="4" t="s">
        <v>44</v>
      </c>
      <c r="C691" s="4" t="s">
        <v>917</v>
      </c>
      <c r="D691" s="4" t="s">
        <v>414</v>
      </c>
      <c r="E691" s="4"/>
      <c r="F691" s="29">
        <f>F692</f>
        <v>4089958</v>
      </c>
      <c r="G691" s="29"/>
    </row>
    <row r="692" spans="1:7" ht="61.5">
      <c r="A692" s="3" t="s">
        <v>525</v>
      </c>
      <c r="B692" s="4" t="s">
        <v>44</v>
      </c>
      <c r="C692" s="4" t="s">
        <v>917</v>
      </c>
      <c r="D692" s="4" t="s">
        <v>414</v>
      </c>
      <c r="E692" s="4" t="s">
        <v>609</v>
      </c>
      <c r="F692" s="29">
        <f>прил7!G964</f>
        <v>4089958</v>
      </c>
      <c r="G692" s="29"/>
    </row>
    <row r="693" spans="1:7" ht="77.25">
      <c r="A693" s="3" t="s">
        <v>1149</v>
      </c>
      <c r="B693" s="4" t="s">
        <v>44</v>
      </c>
      <c r="C693" s="4" t="s">
        <v>917</v>
      </c>
      <c r="D693" s="4" t="s">
        <v>415</v>
      </c>
      <c r="E693" s="4"/>
      <c r="F693" s="29">
        <f>F694</f>
        <v>13113</v>
      </c>
      <c r="G693" s="29">
        <f>G694</f>
        <v>13113</v>
      </c>
    </row>
    <row r="694" spans="1:7" ht="61.5">
      <c r="A694" s="3" t="s">
        <v>525</v>
      </c>
      <c r="B694" s="4" t="s">
        <v>44</v>
      </c>
      <c r="C694" s="4" t="s">
        <v>917</v>
      </c>
      <c r="D694" s="4" t="s">
        <v>415</v>
      </c>
      <c r="E694" s="4" t="s">
        <v>609</v>
      </c>
      <c r="F694" s="29">
        <f>прил7!G966</f>
        <v>13113</v>
      </c>
      <c r="G694" s="29">
        <f>F694</f>
        <v>13113</v>
      </c>
    </row>
    <row r="695" spans="1:7" ht="61.5">
      <c r="A695" s="3" t="s">
        <v>1148</v>
      </c>
      <c r="B695" s="4" t="s">
        <v>44</v>
      </c>
      <c r="C695" s="4" t="s">
        <v>917</v>
      </c>
      <c r="D695" s="4" t="s">
        <v>416</v>
      </c>
      <c r="E695" s="4"/>
      <c r="F695" s="29">
        <f>F696</f>
        <v>4434436.55</v>
      </c>
      <c r="G695" s="29"/>
    </row>
    <row r="696" spans="1:7" ht="108">
      <c r="A696" s="3" t="s">
        <v>749</v>
      </c>
      <c r="B696" s="4" t="s">
        <v>44</v>
      </c>
      <c r="C696" s="4" t="s">
        <v>917</v>
      </c>
      <c r="D696" s="4" t="s">
        <v>417</v>
      </c>
      <c r="E696" s="4"/>
      <c r="F696" s="29">
        <f>F697</f>
        <v>4434436.55</v>
      </c>
      <c r="G696" s="29"/>
    </row>
    <row r="697" spans="1:7" ht="61.5">
      <c r="A697" s="3" t="s">
        <v>525</v>
      </c>
      <c r="B697" s="4" t="s">
        <v>44</v>
      </c>
      <c r="C697" s="4" t="s">
        <v>917</v>
      </c>
      <c r="D697" s="4" t="s">
        <v>417</v>
      </c>
      <c r="E697" s="4" t="s">
        <v>609</v>
      </c>
      <c r="F697" s="29">
        <f>прил7!G969</f>
        <v>4434436.55</v>
      </c>
      <c r="G697" s="29"/>
    </row>
    <row r="698" spans="1:13" ht="93">
      <c r="A698" s="3" t="s">
        <v>418</v>
      </c>
      <c r="B698" s="4" t="s">
        <v>44</v>
      </c>
      <c r="C698" s="4" t="s">
        <v>917</v>
      </c>
      <c r="D698" s="4" t="s">
        <v>419</v>
      </c>
      <c r="E698" s="4"/>
      <c r="F698" s="29">
        <f>F699+F701</f>
        <v>158507</v>
      </c>
      <c r="G698" s="29">
        <f aca="true" t="shared" si="3" ref="G698:M698">G699+G701</f>
        <v>50000</v>
      </c>
      <c r="H698" s="29">
        <f t="shared" si="3"/>
        <v>0</v>
      </c>
      <c r="I698" s="29">
        <f t="shared" si="3"/>
        <v>0</v>
      </c>
      <c r="J698" s="29">
        <f t="shared" si="3"/>
        <v>0</v>
      </c>
      <c r="K698" s="29">
        <f t="shared" si="3"/>
        <v>0</v>
      </c>
      <c r="L698" s="29">
        <f t="shared" si="3"/>
        <v>0</v>
      </c>
      <c r="M698" s="29">
        <f t="shared" si="3"/>
        <v>0</v>
      </c>
    </row>
    <row r="699" spans="1:7" ht="108">
      <c r="A699" s="3" t="s">
        <v>749</v>
      </c>
      <c r="B699" s="4" t="s">
        <v>44</v>
      </c>
      <c r="C699" s="4" t="s">
        <v>917</v>
      </c>
      <c r="D699" s="4" t="s">
        <v>420</v>
      </c>
      <c r="E699" s="4"/>
      <c r="F699" s="29">
        <f>F700</f>
        <v>108507</v>
      </c>
      <c r="G699" s="29"/>
    </row>
    <row r="700" spans="1:7" ht="61.5">
      <c r="A700" s="3" t="s">
        <v>525</v>
      </c>
      <c r="B700" s="4" t="s">
        <v>44</v>
      </c>
      <c r="C700" s="4" t="s">
        <v>917</v>
      </c>
      <c r="D700" s="4" t="s">
        <v>420</v>
      </c>
      <c r="E700" s="4" t="s">
        <v>609</v>
      </c>
      <c r="F700" s="29">
        <f>прил7!G972</f>
        <v>108507</v>
      </c>
      <c r="G700" s="29"/>
    </row>
    <row r="701" spans="1:7" ht="77.25">
      <c r="A701" s="3" t="s">
        <v>1162</v>
      </c>
      <c r="B701" s="4" t="s">
        <v>44</v>
      </c>
      <c r="C701" s="4" t="s">
        <v>917</v>
      </c>
      <c r="D701" s="4" t="s">
        <v>1207</v>
      </c>
      <c r="E701" s="4"/>
      <c r="F701" s="29">
        <f>F702</f>
        <v>50000</v>
      </c>
      <c r="G701" s="29">
        <f>G702</f>
        <v>50000</v>
      </c>
    </row>
    <row r="702" spans="1:7" ht="61.5">
      <c r="A702" s="3" t="s">
        <v>525</v>
      </c>
      <c r="B702" s="4" t="s">
        <v>44</v>
      </c>
      <c r="C702" s="4" t="s">
        <v>917</v>
      </c>
      <c r="D702" s="4" t="s">
        <v>1207</v>
      </c>
      <c r="E702" s="4" t="s">
        <v>609</v>
      </c>
      <c r="F702" s="29">
        <f>прил7!G974</f>
        <v>50000</v>
      </c>
      <c r="G702" s="29">
        <f>F702</f>
        <v>50000</v>
      </c>
    </row>
    <row r="703" spans="1:7" ht="30.75">
      <c r="A703" s="3" t="s">
        <v>135</v>
      </c>
      <c r="B703" s="4" t="s">
        <v>44</v>
      </c>
      <c r="C703" s="4" t="s">
        <v>917</v>
      </c>
      <c r="D703" s="4" t="s">
        <v>421</v>
      </c>
      <c r="E703" s="4"/>
      <c r="F703" s="29">
        <f>F704+F707+F710</f>
        <v>13664747.999999998</v>
      </c>
      <c r="G703" s="29">
        <f>G710</f>
        <v>582512</v>
      </c>
    </row>
    <row r="704" spans="1:7" ht="30.75">
      <c r="A704" s="3" t="s">
        <v>422</v>
      </c>
      <c r="B704" s="4" t="s">
        <v>44</v>
      </c>
      <c r="C704" s="4" t="s">
        <v>917</v>
      </c>
      <c r="D704" s="4" t="s">
        <v>423</v>
      </c>
      <c r="E704" s="4"/>
      <c r="F704" s="29">
        <f>F705</f>
        <v>46980</v>
      </c>
      <c r="G704" s="29"/>
    </row>
    <row r="705" spans="1:7" ht="108">
      <c r="A705" s="3" t="s">
        <v>749</v>
      </c>
      <c r="B705" s="4" t="s">
        <v>44</v>
      </c>
      <c r="C705" s="4" t="s">
        <v>917</v>
      </c>
      <c r="D705" s="4" t="s">
        <v>424</v>
      </c>
      <c r="E705" s="4"/>
      <c r="F705" s="29">
        <f>F706</f>
        <v>46980</v>
      </c>
      <c r="G705" s="29"/>
    </row>
    <row r="706" spans="1:7" ht="61.5">
      <c r="A706" s="3" t="s">
        <v>525</v>
      </c>
      <c r="B706" s="4" t="s">
        <v>44</v>
      </c>
      <c r="C706" s="4" t="s">
        <v>917</v>
      </c>
      <c r="D706" s="4" t="s">
        <v>424</v>
      </c>
      <c r="E706" s="4" t="s">
        <v>609</v>
      </c>
      <c r="F706" s="29">
        <f>прил7!G978</f>
        <v>46980</v>
      </c>
      <c r="G706" s="29"/>
    </row>
    <row r="707" spans="1:7" ht="61.5">
      <c r="A707" s="3" t="s">
        <v>425</v>
      </c>
      <c r="B707" s="4" t="s">
        <v>44</v>
      </c>
      <c r="C707" s="4" t="s">
        <v>917</v>
      </c>
      <c r="D707" s="4" t="s">
        <v>426</v>
      </c>
      <c r="E707" s="4"/>
      <c r="F707" s="29">
        <f>F708</f>
        <v>377557.2</v>
      </c>
      <c r="G707" s="29"/>
    </row>
    <row r="708" spans="1:7" ht="108">
      <c r="A708" s="3" t="s">
        <v>749</v>
      </c>
      <c r="B708" s="4" t="s">
        <v>44</v>
      </c>
      <c r="C708" s="4" t="s">
        <v>917</v>
      </c>
      <c r="D708" s="4" t="s">
        <v>427</v>
      </c>
      <c r="E708" s="4"/>
      <c r="F708" s="29">
        <f>F709</f>
        <v>377557.2</v>
      </c>
      <c r="G708" s="29"/>
    </row>
    <row r="709" spans="1:7" ht="61.5">
      <c r="A709" s="3" t="s">
        <v>525</v>
      </c>
      <c r="B709" s="4" t="s">
        <v>44</v>
      </c>
      <c r="C709" s="4" t="s">
        <v>917</v>
      </c>
      <c r="D709" s="4" t="s">
        <v>427</v>
      </c>
      <c r="E709" s="4" t="s">
        <v>609</v>
      </c>
      <c r="F709" s="29">
        <f>прил7!G981</f>
        <v>377557.2</v>
      </c>
      <c r="G709" s="29"/>
    </row>
    <row r="710" spans="1:7" ht="108">
      <c r="A710" s="3" t="s">
        <v>428</v>
      </c>
      <c r="B710" s="4" t="s">
        <v>44</v>
      </c>
      <c r="C710" s="4" t="s">
        <v>917</v>
      </c>
      <c r="D710" s="4" t="s">
        <v>429</v>
      </c>
      <c r="E710" s="4"/>
      <c r="F710" s="29">
        <f>F711+F713+F715</f>
        <v>13240210.799999999</v>
      </c>
      <c r="G710" s="29">
        <f>G711</f>
        <v>582512</v>
      </c>
    </row>
    <row r="711" spans="1:7" ht="108">
      <c r="A711" s="3" t="s">
        <v>749</v>
      </c>
      <c r="B711" s="4" t="s">
        <v>44</v>
      </c>
      <c r="C711" s="4" t="s">
        <v>917</v>
      </c>
      <c r="D711" s="4" t="s">
        <v>430</v>
      </c>
      <c r="E711" s="4"/>
      <c r="F711" s="29">
        <f>F712</f>
        <v>12468937.69</v>
      </c>
      <c r="G711" s="29">
        <f>G713</f>
        <v>582512</v>
      </c>
    </row>
    <row r="712" spans="1:7" ht="61.5">
      <c r="A712" s="3" t="s">
        <v>525</v>
      </c>
      <c r="B712" s="4" t="s">
        <v>44</v>
      </c>
      <c r="C712" s="4" t="s">
        <v>917</v>
      </c>
      <c r="D712" s="4" t="s">
        <v>430</v>
      </c>
      <c r="E712" s="4" t="s">
        <v>609</v>
      </c>
      <c r="F712" s="29">
        <f>прил7!G984</f>
        <v>12468937.69</v>
      </c>
      <c r="G712" s="29"/>
    </row>
    <row r="713" spans="1:7" ht="123.75">
      <c r="A713" s="3" t="s">
        <v>859</v>
      </c>
      <c r="B713" s="4" t="s">
        <v>44</v>
      </c>
      <c r="C713" s="4" t="s">
        <v>917</v>
      </c>
      <c r="D713" s="4" t="s">
        <v>431</v>
      </c>
      <c r="E713" s="4"/>
      <c r="F713" s="29">
        <f>F714</f>
        <v>582512</v>
      </c>
      <c r="G713" s="29">
        <f>G714</f>
        <v>582512</v>
      </c>
    </row>
    <row r="714" spans="1:7" ht="61.5">
      <c r="A714" s="3" t="s">
        <v>525</v>
      </c>
      <c r="B714" s="4" t="s">
        <v>44</v>
      </c>
      <c r="C714" s="4" t="s">
        <v>917</v>
      </c>
      <c r="D714" s="4" t="s">
        <v>431</v>
      </c>
      <c r="E714" s="4" t="s">
        <v>609</v>
      </c>
      <c r="F714" s="29">
        <f>прил7!G986</f>
        <v>582512</v>
      </c>
      <c r="G714" s="29">
        <f>F714</f>
        <v>582512</v>
      </c>
    </row>
    <row r="715" spans="1:7" ht="123.75">
      <c r="A715" s="3" t="s">
        <v>859</v>
      </c>
      <c r="B715" s="4" t="s">
        <v>44</v>
      </c>
      <c r="C715" s="4" t="s">
        <v>917</v>
      </c>
      <c r="D715" s="4" t="s">
        <v>432</v>
      </c>
      <c r="E715" s="4"/>
      <c r="F715" s="29">
        <f>F716</f>
        <v>188761.11</v>
      </c>
      <c r="G715" s="29"/>
    </row>
    <row r="716" spans="1:7" ht="61.5">
      <c r="A716" s="3" t="s">
        <v>525</v>
      </c>
      <c r="B716" s="4" t="s">
        <v>44</v>
      </c>
      <c r="C716" s="4" t="s">
        <v>917</v>
      </c>
      <c r="D716" s="4" t="s">
        <v>432</v>
      </c>
      <c r="E716" s="4" t="s">
        <v>609</v>
      </c>
      <c r="F716" s="29">
        <f>прил7!G988</f>
        <v>188761.11</v>
      </c>
      <c r="G716" s="29"/>
    </row>
    <row r="717" spans="1:7" ht="61.5">
      <c r="A717" s="3" t="s">
        <v>1117</v>
      </c>
      <c r="B717" s="4" t="s">
        <v>44</v>
      </c>
      <c r="C717" s="4" t="s">
        <v>917</v>
      </c>
      <c r="D717" s="4" t="s">
        <v>1118</v>
      </c>
      <c r="E717" s="4"/>
      <c r="F717" s="29">
        <f>F718+F721</f>
        <v>107431</v>
      </c>
      <c r="G717" s="29"/>
    </row>
    <row r="718" spans="1:7" ht="46.5">
      <c r="A718" s="3" t="s">
        <v>1119</v>
      </c>
      <c r="B718" s="4" t="s">
        <v>44</v>
      </c>
      <c r="C718" s="4" t="s">
        <v>917</v>
      </c>
      <c r="D718" s="4" t="s">
        <v>1120</v>
      </c>
      <c r="E718" s="4"/>
      <c r="F718" s="29">
        <f>F719</f>
        <v>82431</v>
      </c>
      <c r="G718" s="29"/>
    </row>
    <row r="719" spans="1:7" ht="46.5">
      <c r="A719" s="3" t="s">
        <v>756</v>
      </c>
      <c r="B719" s="4" t="s">
        <v>44</v>
      </c>
      <c r="C719" s="4" t="s">
        <v>917</v>
      </c>
      <c r="D719" s="4" t="s">
        <v>1121</v>
      </c>
      <c r="E719" s="4"/>
      <c r="F719" s="29">
        <f>F720</f>
        <v>82431</v>
      </c>
      <c r="G719" s="29"/>
    </row>
    <row r="720" spans="1:7" ht="46.5">
      <c r="A720" s="3" t="s">
        <v>701</v>
      </c>
      <c r="B720" s="4" t="s">
        <v>44</v>
      </c>
      <c r="C720" s="4" t="s">
        <v>917</v>
      </c>
      <c r="D720" s="4" t="s">
        <v>1121</v>
      </c>
      <c r="E720" s="4" t="s">
        <v>605</v>
      </c>
      <c r="F720" s="29">
        <f>прил7!G572</f>
        <v>82431</v>
      </c>
      <c r="G720" s="29"/>
    </row>
    <row r="721" spans="1:7" ht="77.25">
      <c r="A721" s="3" t="s">
        <v>1166</v>
      </c>
      <c r="B721" s="4" t="s">
        <v>44</v>
      </c>
      <c r="C721" s="4" t="s">
        <v>917</v>
      </c>
      <c r="D721" s="4" t="s">
        <v>1167</v>
      </c>
      <c r="E721" s="4"/>
      <c r="F721" s="29">
        <f>F722</f>
        <v>25000</v>
      </c>
      <c r="G721" s="29"/>
    </row>
    <row r="722" spans="1:7" ht="30.75">
      <c r="A722" s="3" t="s">
        <v>523</v>
      </c>
      <c r="B722" s="4" t="s">
        <v>44</v>
      </c>
      <c r="C722" s="4" t="s">
        <v>917</v>
      </c>
      <c r="D722" s="4" t="s">
        <v>1168</v>
      </c>
      <c r="E722" s="4"/>
      <c r="F722" s="29">
        <f>F723</f>
        <v>25000</v>
      </c>
      <c r="G722" s="29"/>
    </row>
    <row r="723" spans="1:7" ht="61.5">
      <c r="A723" s="3" t="s">
        <v>525</v>
      </c>
      <c r="B723" s="4" t="s">
        <v>44</v>
      </c>
      <c r="C723" s="4" t="s">
        <v>917</v>
      </c>
      <c r="D723" s="4" t="s">
        <v>1168</v>
      </c>
      <c r="E723" s="4" t="s">
        <v>609</v>
      </c>
      <c r="F723" s="29">
        <f>прил7!G992</f>
        <v>25000</v>
      </c>
      <c r="G723" s="29"/>
    </row>
    <row r="724" spans="1:7" ht="77.25">
      <c r="A724" s="3" t="s">
        <v>1169</v>
      </c>
      <c r="B724" s="4" t="s">
        <v>44</v>
      </c>
      <c r="C724" s="4" t="s">
        <v>917</v>
      </c>
      <c r="D724" s="4" t="s">
        <v>1170</v>
      </c>
      <c r="E724" s="4"/>
      <c r="F724" s="29">
        <f>F725</f>
        <v>34960</v>
      </c>
      <c r="G724" s="29"/>
    </row>
    <row r="725" spans="1:7" ht="77.25">
      <c r="A725" s="3" t="s">
        <v>1171</v>
      </c>
      <c r="B725" s="4" t="s">
        <v>44</v>
      </c>
      <c r="C725" s="4" t="s">
        <v>917</v>
      </c>
      <c r="D725" s="4" t="s">
        <v>1172</v>
      </c>
      <c r="E725" s="4"/>
      <c r="F725" s="29">
        <f>F726</f>
        <v>34960</v>
      </c>
      <c r="G725" s="29"/>
    </row>
    <row r="726" spans="1:7" ht="30.75">
      <c r="A726" s="3" t="s">
        <v>523</v>
      </c>
      <c r="B726" s="4" t="s">
        <v>44</v>
      </c>
      <c r="C726" s="4" t="s">
        <v>917</v>
      </c>
      <c r="D726" s="4" t="s">
        <v>1173</v>
      </c>
      <c r="E726" s="4"/>
      <c r="F726" s="29">
        <f>F727</f>
        <v>34960</v>
      </c>
      <c r="G726" s="29"/>
    </row>
    <row r="727" spans="1:7" ht="61.5">
      <c r="A727" s="3" t="s">
        <v>525</v>
      </c>
      <c r="B727" s="4" t="s">
        <v>44</v>
      </c>
      <c r="C727" s="4" t="s">
        <v>917</v>
      </c>
      <c r="D727" s="4" t="s">
        <v>1173</v>
      </c>
      <c r="E727" s="4" t="s">
        <v>609</v>
      </c>
      <c r="F727" s="29">
        <f>прил7!G996</f>
        <v>34960</v>
      </c>
      <c r="G727" s="29"/>
    </row>
    <row r="728" spans="1:7" ht="68.25" customHeight="1">
      <c r="A728" s="3" t="s">
        <v>89</v>
      </c>
      <c r="B728" s="4" t="s">
        <v>44</v>
      </c>
      <c r="C728" s="4" t="s">
        <v>917</v>
      </c>
      <c r="D728" s="4" t="s">
        <v>790</v>
      </c>
      <c r="E728" s="4"/>
      <c r="F728" s="29">
        <f>F733+F729+F736</f>
        <v>2122506</v>
      </c>
      <c r="G728" s="29"/>
    </row>
    <row r="729" spans="1:7" ht="135" customHeight="1">
      <c r="A729" s="3" t="s">
        <v>1174</v>
      </c>
      <c r="B729" s="4" t="s">
        <v>44</v>
      </c>
      <c r="C729" s="4" t="s">
        <v>917</v>
      </c>
      <c r="D729" s="4" t="s">
        <v>1176</v>
      </c>
      <c r="E729" s="4"/>
      <c r="F729" s="29">
        <f>F731</f>
        <v>35000</v>
      </c>
      <c r="G729" s="29"/>
    </row>
    <row r="730" spans="1:7" ht="68.25" customHeight="1">
      <c r="A730" s="3" t="s">
        <v>1175</v>
      </c>
      <c r="B730" s="4"/>
      <c r="C730" s="4"/>
      <c r="D730" s="4"/>
      <c r="E730" s="4"/>
      <c r="F730" s="29"/>
      <c r="G730" s="29"/>
    </row>
    <row r="731" spans="1:7" ht="44.25" customHeight="1">
      <c r="A731" s="3" t="s">
        <v>523</v>
      </c>
      <c r="B731" s="4" t="s">
        <v>44</v>
      </c>
      <c r="C731" s="4" t="s">
        <v>917</v>
      </c>
      <c r="D731" s="4" t="s">
        <v>1177</v>
      </c>
      <c r="E731" s="4"/>
      <c r="F731" s="29">
        <f>F732</f>
        <v>35000</v>
      </c>
      <c r="G731" s="29"/>
    </row>
    <row r="732" spans="1:7" ht="68.25" customHeight="1">
      <c r="A732" s="3" t="s">
        <v>525</v>
      </c>
      <c r="B732" s="4" t="s">
        <v>44</v>
      </c>
      <c r="C732" s="4" t="s">
        <v>917</v>
      </c>
      <c r="D732" s="4" t="s">
        <v>1177</v>
      </c>
      <c r="E732" s="4" t="s">
        <v>609</v>
      </c>
      <c r="F732" s="29">
        <f>прил7!G1001</f>
        <v>35000</v>
      </c>
      <c r="G732" s="29"/>
    </row>
    <row r="733" spans="1:7" ht="46.5">
      <c r="A733" s="3" t="s">
        <v>1122</v>
      </c>
      <c r="B733" s="4" t="s">
        <v>44</v>
      </c>
      <c r="C733" s="4" t="s">
        <v>917</v>
      </c>
      <c r="D733" s="4" t="s">
        <v>1123</v>
      </c>
      <c r="E733" s="4"/>
      <c r="F733" s="29">
        <f>F734</f>
        <v>1184109</v>
      </c>
      <c r="G733" s="29"/>
    </row>
    <row r="734" spans="1:7" ht="46.5">
      <c r="A734" s="3" t="s">
        <v>756</v>
      </c>
      <c r="B734" s="4" t="s">
        <v>44</v>
      </c>
      <c r="C734" s="4" t="s">
        <v>917</v>
      </c>
      <c r="D734" s="4" t="s">
        <v>1124</v>
      </c>
      <c r="E734" s="4"/>
      <c r="F734" s="29">
        <f>F735</f>
        <v>1184109</v>
      </c>
      <c r="G734" s="29"/>
    </row>
    <row r="735" spans="1:7" ht="61.5">
      <c r="A735" s="3" t="s">
        <v>525</v>
      </c>
      <c r="B735" s="4" t="s">
        <v>44</v>
      </c>
      <c r="C735" s="4" t="s">
        <v>917</v>
      </c>
      <c r="D735" s="4" t="s">
        <v>1124</v>
      </c>
      <c r="E735" s="4" t="s">
        <v>609</v>
      </c>
      <c r="F735" s="29">
        <f>прил7!G1004</f>
        <v>1184109</v>
      </c>
      <c r="G735" s="29"/>
    </row>
    <row r="736" spans="1:7" ht="30.75">
      <c r="A736" s="3" t="s">
        <v>1208</v>
      </c>
      <c r="B736" s="4" t="s">
        <v>44</v>
      </c>
      <c r="C736" s="4" t="s">
        <v>917</v>
      </c>
      <c r="D736" s="4" t="s">
        <v>1209</v>
      </c>
      <c r="E736" s="4"/>
      <c r="F736" s="29">
        <f>F737</f>
        <v>903397</v>
      </c>
      <c r="G736" s="29"/>
    </row>
    <row r="737" spans="1:7" ht="46.5">
      <c r="A737" s="3" t="s">
        <v>756</v>
      </c>
      <c r="B737" s="4" t="s">
        <v>44</v>
      </c>
      <c r="C737" s="4" t="s">
        <v>917</v>
      </c>
      <c r="D737" s="4" t="s">
        <v>1210</v>
      </c>
      <c r="E737" s="4"/>
      <c r="F737" s="29">
        <f>F738</f>
        <v>903397</v>
      </c>
      <c r="G737" s="29"/>
    </row>
    <row r="738" spans="1:7" ht="61.5">
      <c r="A738" s="3" t="s">
        <v>525</v>
      </c>
      <c r="B738" s="4" t="s">
        <v>44</v>
      </c>
      <c r="C738" s="4" t="s">
        <v>917</v>
      </c>
      <c r="D738" s="4" t="s">
        <v>1210</v>
      </c>
      <c r="E738" s="4" t="s">
        <v>609</v>
      </c>
      <c r="F738" s="29">
        <f>прил7!G1007</f>
        <v>903397</v>
      </c>
      <c r="G738" s="29"/>
    </row>
    <row r="739" spans="1:12" s="16" customFormat="1" ht="17.25">
      <c r="A739" s="10" t="s">
        <v>54</v>
      </c>
      <c r="B739" s="11" t="s">
        <v>48</v>
      </c>
      <c r="C739" s="5"/>
      <c r="D739" s="5"/>
      <c r="E739" s="23"/>
      <c r="F739" s="28">
        <f>F740+F744+F794</f>
        <v>71141770.9</v>
      </c>
      <c r="G739" s="28">
        <f>G740+G744+G794</f>
        <v>63526100</v>
      </c>
      <c r="K739" s="48">
        <f>прил7!G256+прил7!G573+прил7!G793+прил7!G1008</f>
        <v>71141770.9</v>
      </c>
      <c r="L739" s="48">
        <f>прил7!H256+прил7!H573+прил7!H793+прил7!H1008</f>
        <v>63526100</v>
      </c>
    </row>
    <row r="740" spans="1:12" ht="15">
      <c r="A740" s="1" t="s">
        <v>744</v>
      </c>
      <c r="B740" s="2" t="s">
        <v>48</v>
      </c>
      <c r="C740" s="2" t="s">
        <v>917</v>
      </c>
      <c r="D740" s="2"/>
      <c r="E740" s="4"/>
      <c r="F740" s="33">
        <f>F741</f>
        <v>7615670.9</v>
      </c>
      <c r="G740" s="33"/>
      <c r="K740" s="26">
        <f>K739-F739</f>
        <v>0</v>
      </c>
      <c r="L740" s="26">
        <f>G739-L739</f>
        <v>0</v>
      </c>
    </row>
    <row r="741" spans="1:7" ht="15">
      <c r="A741" s="3" t="s">
        <v>91</v>
      </c>
      <c r="B741" s="4" t="s">
        <v>48</v>
      </c>
      <c r="C741" s="4" t="s">
        <v>917</v>
      </c>
      <c r="D741" s="4" t="s">
        <v>734</v>
      </c>
      <c r="E741" s="4"/>
      <c r="F741" s="29">
        <f>F742</f>
        <v>7615670.9</v>
      </c>
      <c r="G741" s="29"/>
    </row>
    <row r="742" spans="1:7" ht="142.5" customHeight="1">
      <c r="A742" s="3" t="s">
        <v>134</v>
      </c>
      <c r="B742" s="4" t="s">
        <v>48</v>
      </c>
      <c r="C742" s="4" t="s">
        <v>917</v>
      </c>
      <c r="D742" s="4" t="s">
        <v>321</v>
      </c>
      <c r="E742" s="4"/>
      <c r="F742" s="29">
        <f>F743</f>
        <v>7615670.9</v>
      </c>
      <c r="G742" s="29"/>
    </row>
    <row r="743" spans="1:7" ht="30.75">
      <c r="A743" s="3" t="s">
        <v>565</v>
      </c>
      <c r="B743" s="4" t="s">
        <v>48</v>
      </c>
      <c r="C743" s="4" t="s">
        <v>917</v>
      </c>
      <c r="D743" s="4" t="s">
        <v>321</v>
      </c>
      <c r="E743" s="4" t="s">
        <v>566</v>
      </c>
      <c r="F743" s="29">
        <f>прил7!G260</f>
        <v>7615670.9</v>
      </c>
      <c r="G743" s="29"/>
    </row>
    <row r="744" spans="1:11" ht="30.75">
      <c r="A744" s="1" t="s">
        <v>738</v>
      </c>
      <c r="B744" s="2" t="s">
        <v>48</v>
      </c>
      <c r="C744" s="2" t="s">
        <v>47</v>
      </c>
      <c r="D744" s="2"/>
      <c r="E744" s="2"/>
      <c r="F744" s="33">
        <f>F745+F774+F787</f>
        <v>5829300</v>
      </c>
      <c r="G744" s="33">
        <f>G745+G774+G787</f>
        <v>5829300</v>
      </c>
      <c r="K744" s="26">
        <f>прил7!G1009+прил7!G794+прил7!G574</f>
        <v>5829300</v>
      </c>
    </row>
    <row r="745" spans="1:7" ht="46.5">
      <c r="A745" s="3" t="s">
        <v>102</v>
      </c>
      <c r="B745" s="4" t="s">
        <v>48</v>
      </c>
      <c r="C745" s="4" t="s">
        <v>47</v>
      </c>
      <c r="D745" s="4" t="s">
        <v>552</v>
      </c>
      <c r="E745" s="4"/>
      <c r="F745" s="29">
        <f>F746+F752+F758</f>
        <v>3937695</v>
      </c>
      <c r="G745" s="29">
        <f>G746+G752+G758</f>
        <v>3937695</v>
      </c>
    </row>
    <row r="746" spans="1:7" ht="46.5">
      <c r="A746" s="3" t="s">
        <v>530</v>
      </c>
      <c r="B746" s="4" t="s">
        <v>48</v>
      </c>
      <c r="C746" s="4" t="s">
        <v>47</v>
      </c>
      <c r="D746" s="4" t="s">
        <v>340</v>
      </c>
      <c r="E746" s="4"/>
      <c r="F746" s="29">
        <f>F747</f>
        <v>742773</v>
      </c>
      <c r="G746" s="29">
        <f>G747</f>
        <v>742773</v>
      </c>
    </row>
    <row r="747" spans="1:7" ht="30.75">
      <c r="A747" s="3" t="s">
        <v>356</v>
      </c>
      <c r="B747" s="4" t="s">
        <v>48</v>
      </c>
      <c r="C747" s="4" t="s">
        <v>47</v>
      </c>
      <c r="D747" s="4" t="s">
        <v>357</v>
      </c>
      <c r="E747" s="4"/>
      <c r="F747" s="29">
        <f>F748+F750</f>
        <v>742773</v>
      </c>
      <c r="G747" s="29">
        <f>G748+G750</f>
        <v>742773</v>
      </c>
    </row>
    <row r="748" spans="1:7" ht="139.5">
      <c r="A748" s="3" t="s">
        <v>359</v>
      </c>
      <c r="B748" s="4" t="s">
        <v>48</v>
      </c>
      <c r="C748" s="4" t="s">
        <v>47</v>
      </c>
      <c r="D748" s="4" t="s">
        <v>360</v>
      </c>
      <c r="E748" s="4"/>
      <c r="F748" s="29">
        <f>F749</f>
        <v>1093</v>
      </c>
      <c r="G748" s="29">
        <f>G749</f>
        <v>1093</v>
      </c>
    </row>
    <row r="749" spans="1:7" ht="61.5">
      <c r="A749" s="3" t="s">
        <v>525</v>
      </c>
      <c r="B749" s="4" t="s">
        <v>48</v>
      </c>
      <c r="C749" s="4" t="s">
        <v>47</v>
      </c>
      <c r="D749" s="4" t="s">
        <v>360</v>
      </c>
      <c r="E749" s="4" t="s">
        <v>609</v>
      </c>
      <c r="F749" s="29">
        <f>прил7!G799</f>
        <v>1093</v>
      </c>
      <c r="G749" s="29">
        <f>F749</f>
        <v>1093</v>
      </c>
    </row>
    <row r="750" spans="1:7" ht="123.75">
      <c r="A750" s="3" t="s">
        <v>496</v>
      </c>
      <c r="B750" s="4" t="s">
        <v>48</v>
      </c>
      <c r="C750" s="4" t="s">
        <v>47</v>
      </c>
      <c r="D750" s="4" t="s">
        <v>497</v>
      </c>
      <c r="E750" s="4"/>
      <c r="F750" s="29">
        <f>F751</f>
        <v>741680</v>
      </c>
      <c r="G750" s="29">
        <f>G751</f>
        <v>741680</v>
      </c>
    </row>
    <row r="751" spans="1:7" ht="61.5">
      <c r="A751" s="3" t="s">
        <v>525</v>
      </c>
      <c r="B751" s="4" t="s">
        <v>48</v>
      </c>
      <c r="C751" s="4" t="s">
        <v>47</v>
      </c>
      <c r="D751" s="4" t="s">
        <v>497</v>
      </c>
      <c r="E751" s="4" t="s">
        <v>609</v>
      </c>
      <c r="F751" s="29">
        <f>прил7!G801</f>
        <v>741680</v>
      </c>
      <c r="G751" s="29">
        <f>F751</f>
        <v>741680</v>
      </c>
    </row>
    <row r="752" spans="1:7" ht="61.5">
      <c r="A752" s="3" t="s">
        <v>529</v>
      </c>
      <c r="B752" s="4" t="s">
        <v>48</v>
      </c>
      <c r="C752" s="4" t="s">
        <v>47</v>
      </c>
      <c r="D752" s="4" t="s">
        <v>498</v>
      </c>
      <c r="E752" s="4"/>
      <c r="F752" s="29">
        <f>F753</f>
        <v>1295522</v>
      </c>
      <c r="G752" s="29">
        <f>G753</f>
        <v>1295522</v>
      </c>
    </row>
    <row r="753" spans="1:7" ht="30.75">
      <c r="A753" s="3" t="s">
        <v>356</v>
      </c>
      <c r="B753" s="4" t="s">
        <v>48</v>
      </c>
      <c r="C753" s="4" t="s">
        <v>47</v>
      </c>
      <c r="D753" s="4" t="s">
        <v>264</v>
      </c>
      <c r="E753" s="4"/>
      <c r="F753" s="29">
        <f>F754+F756</f>
        <v>1295522</v>
      </c>
      <c r="G753" s="29">
        <f>G754+G756</f>
        <v>1295522</v>
      </c>
    </row>
    <row r="754" spans="1:7" ht="139.5">
      <c r="A754" s="3" t="s">
        <v>359</v>
      </c>
      <c r="B754" s="4" t="s">
        <v>48</v>
      </c>
      <c r="C754" s="4" t="s">
        <v>47</v>
      </c>
      <c r="D754" s="4" t="s">
        <v>654</v>
      </c>
      <c r="E754" s="4"/>
      <c r="F754" s="29">
        <f>F755</f>
        <v>1240</v>
      </c>
      <c r="G754" s="29">
        <f>G755</f>
        <v>1240</v>
      </c>
    </row>
    <row r="755" spans="1:7" ht="61.5">
      <c r="A755" s="3" t="s">
        <v>525</v>
      </c>
      <c r="B755" s="4" t="s">
        <v>48</v>
      </c>
      <c r="C755" s="4" t="s">
        <v>47</v>
      </c>
      <c r="D755" s="4" t="s">
        <v>654</v>
      </c>
      <c r="E755" s="4" t="s">
        <v>609</v>
      </c>
      <c r="F755" s="29">
        <f>прил7!G805</f>
        <v>1240</v>
      </c>
      <c r="G755" s="29">
        <f>F755</f>
        <v>1240</v>
      </c>
    </row>
    <row r="756" spans="1:7" ht="123.75">
      <c r="A756" s="3" t="s">
        <v>496</v>
      </c>
      <c r="B756" s="4" t="s">
        <v>48</v>
      </c>
      <c r="C756" s="4" t="s">
        <v>47</v>
      </c>
      <c r="D756" s="4" t="s">
        <v>655</v>
      </c>
      <c r="E756" s="4"/>
      <c r="F756" s="29">
        <f>F757</f>
        <v>1294282</v>
      </c>
      <c r="G756" s="29">
        <f>G757</f>
        <v>1294282</v>
      </c>
    </row>
    <row r="757" spans="1:7" ht="61.5">
      <c r="A757" s="3" t="s">
        <v>525</v>
      </c>
      <c r="B757" s="4" t="s">
        <v>48</v>
      </c>
      <c r="C757" s="4" t="s">
        <v>47</v>
      </c>
      <c r="D757" s="4" t="s">
        <v>655</v>
      </c>
      <c r="E757" s="4" t="s">
        <v>609</v>
      </c>
      <c r="F757" s="29">
        <f>прил7!G807</f>
        <v>1294282</v>
      </c>
      <c r="G757" s="29">
        <f>F757</f>
        <v>1294282</v>
      </c>
    </row>
    <row r="758" spans="1:7" ht="61.5">
      <c r="A758" s="21" t="s">
        <v>533</v>
      </c>
      <c r="B758" s="4" t="s">
        <v>48</v>
      </c>
      <c r="C758" s="4" t="s">
        <v>47</v>
      </c>
      <c r="D758" s="4" t="s">
        <v>326</v>
      </c>
      <c r="E758" s="4"/>
      <c r="F758" s="29">
        <f>F759+F764+F769</f>
        <v>1899400</v>
      </c>
      <c r="G758" s="29">
        <f>G759+G764+G769</f>
        <v>1899400</v>
      </c>
    </row>
    <row r="759" spans="1:7" ht="139.5">
      <c r="A759" s="200" t="s">
        <v>67</v>
      </c>
      <c r="B759" s="281" t="s">
        <v>48</v>
      </c>
      <c r="C759" s="281" t="s">
        <v>47</v>
      </c>
      <c r="D759" s="281" t="s">
        <v>656</v>
      </c>
      <c r="E759" s="281"/>
      <c r="F759" s="280">
        <f>F761</f>
        <v>73600</v>
      </c>
      <c r="G759" s="280">
        <f>G761</f>
        <v>73600</v>
      </c>
    </row>
    <row r="760" spans="1:7" ht="93">
      <c r="A760" s="202" t="s">
        <v>68</v>
      </c>
      <c r="B760" s="281"/>
      <c r="C760" s="281"/>
      <c r="D760" s="281"/>
      <c r="E760" s="281"/>
      <c r="F760" s="280"/>
      <c r="G760" s="280"/>
    </row>
    <row r="761" spans="1:7" ht="123.75">
      <c r="A761" s="21" t="s">
        <v>657</v>
      </c>
      <c r="B761" s="281" t="s">
        <v>48</v>
      </c>
      <c r="C761" s="281" t="s">
        <v>47</v>
      </c>
      <c r="D761" s="281" t="s">
        <v>362</v>
      </c>
      <c r="E761" s="281"/>
      <c r="F761" s="280">
        <f>F763</f>
        <v>73600</v>
      </c>
      <c r="G761" s="280">
        <f>G763</f>
        <v>73600</v>
      </c>
    </row>
    <row r="762" spans="1:7" ht="123.75">
      <c r="A762" s="21" t="s">
        <v>361</v>
      </c>
      <c r="B762" s="281"/>
      <c r="C762" s="281"/>
      <c r="D762" s="281"/>
      <c r="E762" s="281"/>
      <c r="F762" s="280"/>
      <c r="G762" s="280"/>
    </row>
    <row r="763" spans="1:7" ht="30.75">
      <c r="A763" s="21" t="s">
        <v>565</v>
      </c>
      <c r="B763" s="4" t="s">
        <v>48</v>
      </c>
      <c r="C763" s="4" t="s">
        <v>47</v>
      </c>
      <c r="D763" s="4" t="s">
        <v>362</v>
      </c>
      <c r="E763" s="4" t="s">
        <v>566</v>
      </c>
      <c r="F763" s="29">
        <f>прил7!G813</f>
        <v>73600</v>
      </c>
      <c r="G763" s="29">
        <f>F763</f>
        <v>73600</v>
      </c>
    </row>
    <row r="764" spans="1:7" ht="139.5">
      <c r="A764" s="21" t="s">
        <v>363</v>
      </c>
      <c r="B764" s="4" t="s">
        <v>48</v>
      </c>
      <c r="C764" s="4" t="s">
        <v>47</v>
      </c>
      <c r="D764" s="4" t="s">
        <v>364</v>
      </c>
      <c r="E764" s="4"/>
      <c r="F764" s="29">
        <f>F765+F767</f>
        <v>1616400</v>
      </c>
      <c r="G764" s="29">
        <f>G765+G767</f>
        <v>1616400</v>
      </c>
    </row>
    <row r="765" spans="1:7" ht="139.5">
      <c r="A765" s="21" t="s">
        <v>365</v>
      </c>
      <c r="B765" s="4" t="s">
        <v>48</v>
      </c>
      <c r="C765" s="4" t="s">
        <v>47</v>
      </c>
      <c r="D765" s="4" t="s">
        <v>366</v>
      </c>
      <c r="E765" s="4"/>
      <c r="F765" s="29">
        <f>F766</f>
        <v>1594000</v>
      </c>
      <c r="G765" s="29">
        <f>G766</f>
        <v>1594000</v>
      </c>
    </row>
    <row r="766" spans="1:7" ht="30.75">
      <c r="A766" s="21" t="s">
        <v>565</v>
      </c>
      <c r="B766" s="4" t="s">
        <v>48</v>
      </c>
      <c r="C766" s="4" t="s">
        <v>47</v>
      </c>
      <c r="D766" s="4" t="s">
        <v>366</v>
      </c>
      <c r="E766" s="4" t="s">
        <v>566</v>
      </c>
      <c r="F766" s="29">
        <f>прил7!G816</f>
        <v>1594000</v>
      </c>
      <c r="G766" s="29">
        <f>F766</f>
        <v>1594000</v>
      </c>
    </row>
    <row r="767" spans="1:7" ht="139.5">
      <c r="A767" s="21" t="s">
        <v>367</v>
      </c>
      <c r="B767" s="4" t="s">
        <v>48</v>
      </c>
      <c r="C767" s="4" t="s">
        <v>47</v>
      </c>
      <c r="D767" s="4" t="s">
        <v>368</v>
      </c>
      <c r="E767" s="4"/>
      <c r="F767" s="29">
        <f>F768</f>
        <v>22400</v>
      </c>
      <c r="G767" s="29">
        <f>G768</f>
        <v>22400</v>
      </c>
    </row>
    <row r="768" spans="1:7" ht="123.75">
      <c r="A768" s="21" t="s">
        <v>92</v>
      </c>
      <c r="B768" s="4" t="s">
        <v>48</v>
      </c>
      <c r="C768" s="4" t="s">
        <v>47</v>
      </c>
      <c r="D768" s="4" t="s">
        <v>368</v>
      </c>
      <c r="E768" s="4" t="s">
        <v>604</v>
      </c>
      <c r="F768" s="29">
        <f>прил7!G818</f>
        <v>22400</v>
      </c>
      <c r="G768" s="29">
        <f>F768</f>
        <v>22400</v>
      </c>
    </row>
    <row r="769" spans="1:7" ht="108">
      <c r="A769" s="200" t="s">
        <v>69</v>
      </c>
      <c r="B769" s="281" t="s">
        <v>48</v>
      </c>
      <c r="C769" s="281" t="s">
        <v>47</v>
      </c>
      <c r="D769" s="281" t="s">
        <v>369</v>
      </c>
      <c r="E769" s="281"/>
      <c r="F769" s="280">
        <f>F771</f>
        <v>209400</v>
      </c>
      <c r="G769" s="280">
        <f>G771</f>
        <v>209400</v>
      </c>
    </row>
    <row r="770" spans="1:7" ht="46.5">
      <c r="A770" s="202" t="s">
        <v>70</v>
      </c>
      <c r="B770" s="281"/>
      <c r="C770" s="281"/>
      <c r="D770" s="281"/>
      <c r="E770" s="281"/>
      <c r="F770" s="280"/>
      <c r="G770" s="280"/>
    </row>
    <row r="771" spans="1:7" ht="139.5">
      <c r="A771" s="200" t="s">
        <v>370</v>
      </c>
      <c r="B771" s="281" t="s">
        <v>48</v>
      </c>
      <c r="C771" s="281" t="s">
        <v>47</v>
      </c>
      <c r="D771" s="281" t="s">
        <v>372</v>
      </c>
      <c r="E771" s="281"/>
      <c r="F771" s="280">
        <f>F773</f>
        <v>209400</v>
      </c>
      <c r="G771" s="280">
        <f>G773</f>
        <v>209400</v>
      </c>
    </row>
    <row r="772" spans="1:7" ht="108">
      <c r="A772" s="202" t="s">
        <v>371</v>
      </c>
      <c r="B772" s="281"/>
      <c r="C772" s="281"/>
      <c r="D772" s="281"/>
      <c r="E772" s="281"/>
      <c r="F772" s="280"/>
      <c r="G772" s="280"/>
    </row>
    <row r="773" spans="1:7" ht="30.75">
      <c r="A773" s="21" t="s">
        <v>565</v>
      </c>
      <c r="B773" s="4" t="s">
        <v>48</v>
      </c>
      <c r="C773" s="4" t="s">
        <v>47</v>
      </c>
      <c r="D773" s="4" t="s">
        <v>372</v>
      </c>
      <c r="E773" s="4" t="s">
        <v>566</v>
      </c>
      <c r="F773" s="29">
        <f>прил7!G823</f>
        <v>209400</v>
      </c>
      <c r="G773" s="29">
        <f>F773</f>
        <v>209400</v>
      </c>
    </row>
    <row r="774" spans="1:7" ht="77.25">
      <c r="A774" s="3" t="s">
        <v>107</v>
      </c>
      <c r="B774" s="4" t="s">
        <v>48</v>
      </c>
      <c r="C774" s="4" t="s">
        <v>47</v>
      </c>
      <c r="D774" s="4" t="s">
        <v>682</v>
      </c>
      <c r="E774" s="4"/>
      <c r="F774" s="29">
        <f>F775+F781</f>
        <v>677605</v>
      </c>
      <c r="G774" s="29">
        <f>F774</f>
        <v>677605</v>
      </c>
    </row>
    <row r="775" spans="1:7" ht="61.5">
      <c r="A775" s="3" t="s">
        <v>150</v>
      </c>
      <c r="B775" s="4" t="s">
        <v>48</v>
      </c>
      <c r="C775" s="4" t="s">
        <v>47</v>
      </c>
      <c r="D775" s="4" t="s">
        <v>683</v>
      </c>
      <c r="E775" s="4"/>
      <c r="F775" s="29">
        <f>F776</f>
        <v>494527</v>
      </c>
      <c r="G775" s="29">
        <f>G776</f>
        <v>303327</v>
      </c>
    </row>
    <row r="776" spans="1:7" ht="30.75">
      <c r="A776" s="3" t="s">
        <v>395</v>
      </c>
      <c r="B776" s="4" t="s">
        <v>48</v>
      </c>
      <c r="C776" s="4" t="s">
        <v>47</v>
      </c>
      <c r="D776" s="4" t="s">
        <v>396</v>
      </c>
      <c r="E776" s="4"/>
      <c r="F776" s="29">
        <f>F777+F779</f>
        <v>494527</v>
      </c>
      <c r="G776" s="29">
        <f>G777+G779</f>
        <v>303327</v>
      </c>
    </row>
    <row r="777" spans="1:7" ht="139.5">
      <c r="A777" s="3" t="s">
        <v>359</v>
      </c>
      <c r="B777" s="4" t="s">
        <v>48</v>
      </c>
      <c r="C777" s="4" t="s">
        <v>47</v>
      </c>
      <c r="D777" s="4" t="s">
        <v>433</v>
      </c>
      <c r="E777" s="4"/>
      <c r="F777" s="29">
        <f>F778</f>
        <v>3327</v>
      </c>
      <c r="G777" s="29">
        <f>G778</f>
        <v>3327</v>
      </c>
    </row>
    <row r="778" spans="1:7" ht="61.5">
      <c r="A778" s="3" t="s">
        <v>525</v>
      </c>
      <c r="B778" s="4" t="s">
        <v>48</v>
      </c>
      <c r="C778" s="4" t="s">
        <v>47</v>
      </c>
      <c r="D778" s="4" t="s">
        <v>433</v>
      </c>
      <c r="E778" s="4" t="s">
        <v>609</v>
      </c>
      <c r="F778" s="29">
        <f>прил7!G1014</f>
        <v>3327</v>
      </c>
      <c r="G778" s="29">
        <f>F778</f>
        <v>3327</v>
      </c>
    </row>
    <row r="779" spans="1:7" ht="123.75">
      <c r="A779" s="3" t="s">
        <v>496</v>
      </c>
      <c r="B779" s="4" t="s">
        <v>48</v>
      </c>
      <c r="C779" s="4" t="s">
        <v>47</v>
      </c>
      <c r="D779" s="4" t="s">
        <v>434</v>
      </c>
      <c r="E779" s="4"/>
      <c r="F779" s="29">
        <f>F780</f>
        <v>491200</v>
      </c>
      <c r="G779" s="29">
        <f>G780</f>
        <v>300000</v>
      </c>
    </row>
    <row r="780" spans="1:7" ht="61.5">
      <c r="A780" s="3" t="s">
        <v>525</v>
      </c>
      <c r="B780" s="4" t="s">
        <v>48</v>
      </c>
      <c r="C780" s="4" t="s">
        <v>47</v>
      </c>
      <c r="D780" s="4" t="s">
        <v>434</v>
      </c>
      <c r="E780" s="4" t="s">
        <v>609</v>
      </c>
      <c r="F780" s="29">
        <f>прил7!G1016</f>
        <v>491200</v>
      </c>
      <c r="G780" s="29">
        <v>300000</v>
      </c>
    </row>
    <row r="781" spans="1:7" ht="30.75">
      <c r="A781" s="3" t="s">
        <v>3</v>
      </c>
      <c r="B781" s="4" t="s">
        <v>48</v>
      </c>
      <c r="C781" s="4" t="s">
        <v>47</v>
      </c>
      <c r="D781" s="4" t="s">
        <v>404</v>
      </c>
      <c r="E781" s="4"/>
      <c r="F781" s="29">
        <f>F782</f>
        <v>183078</v>
      </c>
      <c r="G781" s="29">
        <f>G782</f>
        <v>183078</v>
      </c>
    </row>
    <row r="782" spans="1:7" ht="61.5">
      <c r="A782" s="3" t="s">
        <v>405</v>
      </c>
      <c r="B782" s="4" t="s">
        <v>48</v>
      </c>
      <c r="C782" s="4" t="s">
        <v>47</v>
      </c>
      <c r="D782" s="4" t="s">
        <v>406</v>
      </c>
      <c r="E782" s="4"/>
      <c r="F782" s="29">
        <f>F783+F785</f>
        <v>183078</v>
      </c>
      <c r="G782" s="29">
        <f>G783+G785</f>
        <v>183078</v>
      </c>
    </row>
    <row r="783" spans="1:7" ht="139.5">
      <c r="A783" s="3" t="s">
        <v>359</v>
      </c>
      <c r="B783" s="4" t="s">
        <v>48</v>
      </c>
      <c r="C783" s="4" t="s">
        <v>47</v>
      </c>
      <c r="D783" s="4" t="s">
        <v>435</v>
      </c>
      <c r="E783" s="4"/>
      <c r="F783" s="29">
        <f>F784</f>
        <v>1340</v>
      </c>
      <c r="G783" s="29">
        <f>G784</f>
        <v>1340</v>
      </c>
    </row>
    <row r="784" spans="1:7" ht="61.5">
      <c r="A784" s="3" t="s">
        <v>525</v>
      </c>
      <c r="B784" s="4" t="s">
        <v>48</v>
      </c>
      <c r="C784" s="4" t="s">
        <v>47</v>
      </c>
      <c r="D784" s="4" t="s">
        <v>435</v>
      </c>
      <c r="E784" s="4" t="s">
        <v>609</v>
      </c>
      <c r="F784" s="29">
        <f>прил7!G1020</f>
        <v>1340</v>
      </c>
      <c r="G784" s="29">
        <f>F784</f>
        <v>1340</v>
      </c>
    </row>
    <row r="785" spans="1:7" ht="123.75">
      <c r="A785" s="3" t="s">
        <v>496</v>
      </c>
      <c r="B785" s="4" t="s">
        <v>48</v>
      </c>
      <c r="C785" s="4" t="s">
        <v>47</v>
      </c>
      <c r="D785" s="4" t="s">
        <v>436</v>
      </c>
      <c r="E785" s="4"/>
      <c r="F785" s="29">
        <f>F786</f>
        <v>181738</v>
      </c>
      <c r="G785" s="29">
        <f>G786</f>
        <v>181738</v>
      </c>
    </row>
    <row r="786" spans="1:15" ht="61.5">
      <c r="A786" s="3" t="s">
        <v>525</v>
      </c>
      <c r="B786" s="4" t="s">
        <v>48</v>
      </c>
      <c r="C786" s="4" t="s">
        <v>47</v>
      </c>
      <c r="D786" s="4" t="s">
        <v>436</v>
      </c>
      <c r="E786" s="4" t="s">
        <v>609</v>
      </c>
      <c r="F786" s="29">
        <f>прил7!G1022</f>
        <v>181738</v>
      </c>
      <c r="G786" s="29">
        <f>F786</f>
        <v>181738</v>
      </c>
      <c r="O786" s="26"/>
    </row>
    <row r="787" spans="1:7" ht="90.75" customHeight="1">
      <c r="A787" s="3" t="s">
        <v>1035</v>
      </c>
      <c r="B787" s="4" t="s">
        <v>48</v>
      </c>
      <c r="C787" s="4" t="s">
        <v>47</v>
      </c>
      <c r="D787" s="4" t="s">
        <v>977</v>
      </c>
      <c r="E787" s="2"/>
      <c r="F787" s="29">
        <f>F788</f>
        <v>1214000</v>
      </c>
      <c r="G787" s="29">
        <f>G788</f>
        <v>1214000</v>
      </c>
    </row>
    <row r="788" spans="1:7" ht="46.5">
      <c r="A788" s="3" t="s">
        <v>475</v>
      </c>
      <c r="B788" s="4" t="s">
        <v>48</v>
      </c>
      <c r="C788" s="4" t="s">
        <v>47</v>
      </c>
      <c r="D788" s="4" t="s">
        <v>563</v>
      </c>
      <c r="E788" s="2"/>
      <c r="F788" s="29">
        <f>F789</f>
        <v>1214000</v>
      </c>
      <c r="G788" s="29">
        <f>G789</f>
        <v>1214000</v>
      </c>
    </row>
    <row r="789" spans="1:7" ht="61.5">
      <c r="A789" s="3" t="s">
        <v>1147</v>
      </c>
      <c r="B789" s="4" t="s">
        <v>48</v>
      </c>
      <c r="C789" s="4" t="s">
        <v>47</v>
      </c>
      <c r="D789" s="4" t="s">
        <v>564</v>
      </c>
      <c r="E789" s="2"/>
      <c r="F789" s="29">
        <f>F792+F790</f>
        <v>1214000</v>
      </c>
      <c r="G789" s="29">
        <f>G792+G790</f>
        <v>1214000</v>
      </c>
    </row>
    <row r="790" spans="1:7" ht="93">
      <c r="A790" s="193" t="s">
        <v>1156</v>
      </c>
      <c r="B790" s="4" t="s">
        <v>48</v>
      </c>
      <c r="C790" s="4" t="s">
        <v>47</v>
      </c>
      <c r="D790" s="4" t="s">
        <v>1158</v>
      </c>
      <c r="E790" s="4"/>
      <c r="F790" s="29">
        <f>F791</f>
        <v>1214000</v>
      </c>
      <c r="G790" s="29">
        <f>F790</f>
        <v>1214000</v>
      </c>
    </row>
    <row r="791" spans="1:7" ht="30.75">
      <c r="A791" s="193" t="s">
        <v>565</v>
      </c>
      <c r="B791" s="4" t="s">
        <v>48</v>
      </c>
      <c r="C791" s="4" t="s">
        <v>47</v>
      </c>
      <c r="D791" s="4" t="s">
        <v>1158</v>
      </c>
      <c r="E791" s="4" t="s">
        <v>566</v>
      </c>
      <c r="F791" s="29">
        <f>прил7!G579</f>
        <v>1214000</v>
      </c>
      <c r="G791" s="29">
        <f>F791</f>
        <v>1214000</v>
      </c>
    </row>
    <row r="792" spans="1:7" ht="93" hidden="1">
      <c r="A792" s="193" t="s">
        <v>1156</v>
      </c>
      <c r="B792" s="4" t="s">
        <v>48</v>
      </c>
      <c r="C792" s="4" t="s">
        <v>47</v>
      </c>
      <c r="D792" s="4" t="s">
        <v>1157</v>
      </c>
      <c r="E792" s="4"/>
      <c r="F792" s="29">
        <f>F793</f>
        <v>0</v>
      </c>
      <c r="G792" s="29"/>
    </row>
    <row r="793" spans="1:7" ht="30.75" hidden="1">
      <c r="A793" s="193" t="s">
        <v>565</v>
      </c>
      <c r="B793" s="4" t="s">
        <v>48</v>
      </c>
      <c r="C793" s="4" t="s">
        <v>47</v>
      </c>
      <c r="D793" s="4" t="s">
        <v>1157</v>
      </c>
      <c r="E793" s="4" t="s">
        <v>566</v>
      </c>
      <c r="F793" s="29">
        <f>прил7!G581</f>
        <v>0</v>
      </c>
      <c r="G793" s="29"/>
    </row>
    <row r="794" spans="1:7" ht="15">
      <c r="A794" s="1" t="s">
        <v>445</v>
      </c>
      <c r="B794" s="2" t="s">
        <v>48</v>
      </c>
      <c r="C794" s="2" t="s">
        <v>50</v>
      </c>
      <c r="D794" s="2"/>
      <c r="E794" s="2"/>
      <c r="F794" s="33">
        <f>F795+F818</f>
        <v>57696800</v>
      </c>
      <c r="G794" s="33">
        <f>G795+G818</f>
        <v>57696800</v>
      </c>
    </row>
    <row r="795" spans="1:7" ht="46.5">
      <c r="A795" s="3" t="s">
        <v>102</v>
      </c>
      <c r="B795" s="4" t="s">
        <v>48</v>
      </c>
      <c r="C795" s="4" t="s">
        <v>50</v>
      </c>
      <c r="D795" s="4" t="s">
        <v>552</v>
      </c>
      <c r="E795" s="4"/>
      <c r="F795" s="37">
        <f>F796+F805</f>
        <v>56327000</v>
      </c>
      <c r="G795" s="37">
        <f>G796+G805</f>
        <v>56327000</v>
      </c>
    </row>
    <row r="796" spans="1:7" ht="46.5">
      <c r="A796" s="3" t="s">
        <v>530</v>
      </c>
      <c r="B796" s="4" t="s">
        <v>48</v>
      </c>
      <c r="C796" s="4" t="s">
        <v>50</v>
      </c>
      <c r="D796" s="4" t="s">
        <v>340</v>
      </c>
      <c r="E796" s="4"/>
      <c r="F796" s="37">
        <f>F797+F802</f>
        <v>17250200</v>
      </c>
      <c r="G796" s="37">
        <f>G797+G802</f>
        <v>17250200</v>
      </c>
    </row>
    <row r="797" spans="1:7" ht="77.25">
      <c r="A797" s="3" t="s">
        <v>1074</v>
      </c>
      <c r="B797" s="4" t="s">
        <v>48</v>
      </c>
      <c r="C797" s="4" t="s">
        <v>50</v>
      </c>
      <c r="D797" s="4" t="s">
        <v>1075</v>
      </c>
      <c r="E797" s="4"/>
      <c r="F797" s="37">
        <f>F798</f>
        <v>420700</v>
      </c>
      <c r="G797" s="37">
        <f>G798</f>
        <v>420700</v>
      </c>
    </row>
    <row r="798" spans="1:7" ht="77.25">
      <c r="A798" s="3" t="s">
        <v>1076</v>
      </c>
      <c r="B798" s="281" t="s">
        <v>48</v>
      </c>
      <c r="C798" s="281" t="s">
        <v>50</v>
      </c>
      <c r="D798" s="281" t="s">
        <v>1078</v>
      </c>
      <c r="E798" s="281"/>
      <c r="F798" s="280">
        <f>F800+F801</f>
        <v>420700</v>
      </c>
      <c r="G798" s="280">
        <f>G800+G801</f>
        <v>420700</v>
      </c>
    </row>
    <row r="799" spans="1:7" ht="123.75">
      <c r="A799" s="3" t="s">
        <v>1077</v>
      </c>
      <c r="B799" s="281"/>
      <c r="C799" s="281"/>
      <c r="D799" s="281"/>
      <c r="E799" s="281"/>
      <c r="F799" s="280"/>
      <c r="G799" s="280"/>
    </row>
    <row r="800" spans="1:7" ht="46.5">
      <c r="A800" s="3" t="s">
        <v>701</v>
      </c>
      <c r="B800" s="4" t="s">
        <v>48</v>
      </c>
      <c r="C800" s="4" t="s">
        <v>50</v>
      </c>
      <c r="D800" s="4" t="s">
        <v>1078</v>
      </c>
      <c r="E800" s="4" t="s">
        <v>605</v>
      </c>
      <c r="F800" s="37">
        <f>прил7!G830</f>
        <v>168257.5</v>
      </c>
      <c r="G800" s="37">
        <f>F800</f>
        <v>168257.5</v>
      </c>
    </row>
    <row r="801" spans="1:7" ht="61.5">
      <c r="A801" s="3" t="s">
        <v>525</v>
      </c>
      <c r="B801" s="4" t="s">
        <v>48</v>
      </c>
      <c r="C801" s="4" t="s">
        <v>50</v>
      </c>
      <c r="D801" s="4" t="s">
        <v>1078</v>
      </c>
      <c r="E801" s="4" t="s">
        <v>609</v>
      </c>
      <c r="F801" s="37">
        <f>прил7!G831</f>
        <v>252442.5</v>
      </c>
      <c r="G801" s="37">
        <f>F801</f>
        <v>252442.5</v>
      </c>
    </row>
    <row r="802" spans="1:7" ht="46.5">
      <c r="A802" s="3" t="s">
        <v>373</v>
      </c>
      <c r="B802" s="4" t="s">
        <v>48</v>
      </c>
      <c r="C802" s="4" t="s">
        <v>50</v>
      </c>
      <c r="D802" s="4" t="s">
        <v>1071</v>
      </c>
      <c r="E802" s="4"/>
      <c r="F802" s="37">
        <f>F803</f>
        <v>16829500</v>
      </c>
      <c r="G802" s="37">
        <f>G803</f>
        <v>16829500</v>
      </c>
    </row>
    <row r="803" spans="1:7" ht="108">
      <c r="A803" s="3" t="s">
        <v>1072</v>
      </c>
      <c r="B803" s="4" t="s">
        <v>48</v>
      </c>
      <c r="C803" s="4" t="s">
        <v>50</v>
      </c>
      <c r="D803" s="4" t="s">
        <v>1073</v>
      </c>
      <c r="E803" s="4"/>
      <c r="F803" s="37">
        <f>F804</f>
        <v>16829500</v>
      </c>
      <c r="G803" s="37">
        <f>G804</f>
        <v>16829500</v>
      </c>
    </row>
    <row r="804" spans="1:7" ht="30.75">
      <c r="A804" s="3" t="s">
        <v>565</v>
      </c>
      <c r="B804" s="4" t="s">
        <v>48</v>
      </c>
      <c r="C804" s="4" t="s">
        <v>50</v>
      </c>
      <c r="D804" s="4" t="s">
        <v>1073</v>
      </c>
      <c r="E804" s="4" t="s">
        <v>566</v>
      </c>
      <c r="F804" s="37">
        <f>прил7!G834</f>
        <v>16829500</v>
      </c>
      <c r="G804" s="37">
        <f>F804</f>
        <v>16829500</v>
      </c>
    </row>
    <row r="805" spans="1:7" ht="61.5">
      <c r="A805" s="21" t="s">
        <v>533</v>
      </c>
      <c r="B805" s="4" t="s">
        <v>48</v>
      </c>
      <c r="C805" s="4" t="s">
        <v>50</v>
      </c>
      <c r="D805" s="4" t="s">
        <v>326</v>
      </c>
      <c r="E805" s="4"/>
      <c r="F805" s="37">
        <f>F806+F811+F814</f>
        <v>39076800</v>
      </c>
      <c r="G805" s="37">
        <f>G806+G811+G814</f>
        <v>39076800</v>
      </c>
    </row>
    <row r="806" spans="1:7" ht="61.5">
      <c r="A806" s="168" t="s">
        <v>154</v>
      </c>
      <c r="B806" s="4" t="s">
        <v>48</v>
      </c>
      <c r="C806" s="4" t="s">
        <v>50</v>
      </c>
      <c r="D806" s="4" t="s">
        <v>157</v>
      </c>
      <c r="E806" s="4"/>
      <c r="F806" s="37">
        <f>F807</f>
        <v>4405000</v>
      </c>
      <c r="G806" s="37">
        <f>F806</f>
        <v>4405000</v>
      </c>
    </row>
    <row r="807" spans="1:7" ht="93">
      <c r="A807" s="168" t="s">
        <v>155</v>
      </c>
      <c r="B807" s="281" t="s">
        <v>48</v>
      </c>
      <c r="C807" s="281" t="s">
        <v>50</v>
      </c>
      <c r="D807" s="281" t="s">
        <v>158</v>
      </c>
      <c r="E807" s="281"/>
      <c r="F807" s="280">
        <f>F809+F810</f>
        <v>4405000</v>
      </c>
      <c r="G807" s="280">
        <f>G809+G810</f>
        <v>4405000</v>
      </c>
    </row>
    <row r="808" spans="1:7" ht="77.25">
      <c r="A808" s="168" t="s">
        <v>156</v>
      </c>
      <c r="B808" s="281"/>
      <c r="C808" s="281"/>
      <c r="D808" s="281"/>
      <c r="E808" s="281"/>
      <c r="F808" s="280"/>
      <c r="G808" s="280"/>
    </row>
    <row r="809" spans="1:7" ht="123.75">
      <c r="A809" s="3" t="s">
        <v>92</v>
      </c>
      <c r="B809" s="4" t="s">
        <v>48</v>
      </c>
      <c r="C809" s="4" t="s">
        <v>50</v>
      </c>
      <c r="D809" s="4" t="s">
        <v>158</v>
      </c>
      <c r="E809" s="4" t="s">
        <v>604</v>
      </c>
      <c r="F809" s="37">
        <f>прил7!G839</f>
        <v>3554115.42</v>
      </c>
      <c r="G809" s="37">
        <f>F809</f>
        <v>3554115.42</v>
      </c>
    </row>
    <row r="810" spans="1:7" ht="46.5">
      <c r="A810" s="3" t="s">
        <v>701</v>
      </c>
      <c r="B810" s="4" t="s">
        <v>48</v>
      </c>
      <c r="C810" s="4" t="s">
        <v>50</v>
      </c>
      <c r="D810" s="4" t="s">
        <v>158</v>
      </c>
      <c r="E810" s="4" t="s">
        <v>605</v>
      </c>
      <c r="F810" s="37">
        <f>прил7!G840</f>
        <v>850884.58</v>
      </c>
      <c r="G810" s="37">
        <f>F810</f>
        <v>850884.58</v>
      </c>
    </row>
    <row r="811" spans="1:7" ht="93">
      <c r="A811" s="168" t="s">
        <v>159</v>
      </c>
      <c r="B811" s="4" t="s">
        <v>48</v>
      </c>
      <c r="C811" s="4" t="s">
        <v>50</v>
      </c>
      <c r="D811" s="4" t="s">
        <v>160</v>
      </c>
      <c r="E811" s="4"/>
      <c r="F811" s="37">
        <f>F812</f>
        <v>491500</v>
      </c>
      <c r="G811" s="37">
        <f>G812</f>
        <v>491500</v>
      </c>
    </row>
    <row r="812" spans="1:7" ht="154.5">
      <c r="A812" s="168" t="s">
        <v>161</v>
      </c>
      <c r="B812" s="4" t="s">
        <v>48</v>
      </c>
      <c r="C812" s="4" t="s">
        <v>50</v>
      </c>
      <c r="D812" s="4" t="s">
        <v>162</v>
      </c>
      <c r="E812" s="4"/>
      <c r="F812" s="37">
        <f>F813</f>
        <v>491500</v>
      </c>
      <c r="G812" s="37">
        <f>G813</f>
        <v>491500</v>
      </c>
    </row>
    <row r="813" spans="1:7" ht="30.75">
      <c r="A813" s="3" t="s">
        <v>565</v>
      </c>
      <c r="B813" s="4" t="s">
        <v>48</v>
      </c>
      <c r="C813" s="4" t="s">
        <v>50</v>
      </c>
      <c r="D813" s="4" t="s">
        <v>162</v>
      </c>
      <c r="E813" s="4" t="s">
        <v>566</v>
      </c>
      <c r="F813" s="37">
        <f>прил7!G843</f>
        <v>491500</v>
      </c>
      <c r="G813" s="37">
        <f>F813</f>
        <v>491500</v>
      </c>
    </row>
    <row r="814" spans="1:7" ht="77.25">
      <c r="A814" s="168" t="s">
        <v>163</v>
      </c>
      <c r="B814" s="4" t="s">
        <v>48</v>
      </c>
      <c r="C814" s="4" t="s">
        <v>50</v>
      </c>
      <c r="D814" s="4" t="s">
        <v>164</v>
      </c>
      <c r="E814" s="4"/>
      <c r="F814" s="37">
        <f>F815</f>
        <v>34180300</v>
      </c>
      <c r="G814" s="37">
        <f>G815</f>
        <v>34180300</v>
      </c>
    </row>
    <row r="815" spans="1:7" ht="77.25">
      <c r="A815" s="168" t="s">
        <v>165</v>
      </c>
      <c r="B815" s="4" t="s">
        <v>48</v>
      </c>
      <c r="C815" s="4" t="s">
        <v>50</v>
      </c>
      <c r="D815" s="4" t="s">
        <v>166</v>
      </c>
      <c r="E815" s="4"/>
      <c r="F815" s="37">
        <f>F816+F817</f>
        <v>34180300</v>
      </c>
      <c r="G815" s="37">
        <f>G816+G817</f>
        <v>34180300</v>
      </c>
    </row>
    <row r="816" spans="1:7" ht="46.5" hidden="1">
      <c r="A816" s="3" t="s">
        <v>701</v>
      </c>
      <c r="B816" s="4" t="s">
        <v>48</v>
      </c>
      <c r="C816" s="4" t="s">
        <v>50</v>
      </c>
      <c r="D816" s="4" t="s">
        <v>166</v>
      </c>
      <c r="E816" s="4" t="s">
        <v>605</v>
      </c>
      <c r="F816" s="37">
        <f>прил7!G846</f>
        <v>0</v>
      </c>
      <c r="G816" s="37">
        <f>F816</f>
        <v>0</v>
      </c>
    </row>
    <row r="817" spans="1:7" ht="30.75">
      <c r="A817" s="3" t="s">
        <v>565</v>
      </c>
      <c r="B817" s="4" t="s">
        <v>48</v>
      </c>
      <c r="C817" s="4" t="s">
        <v>50</v>
      </c>
      <c r="D817" s="4" t="s">
        <v>166</v>
      </c>
      <c r="E817" s="4" t="s">
        <v>566</v>
      </c>
      <c r="F817" s="37">
        <f>прил7!G847</f>
        <v>34180300</v>
      </c>
      <c r="G817" s="37">
        <f>F817</f>
        <v>34180300</v>
      </c>
    </row>
    <row r="818" spans="1:7" ht="61.5">
      <c r="A818" s="27" t="s">
        <v>104</v>
      </c>
      <c r="B818" s="4" t="s">
        <v>48</v>
      </c>
      <c r="C818" s="4" t="s">
        <v>50</v>
      </c>
      <c r="D818" s="4" t="s">
        <v>705</v>
      </c>
      <c r="E818" s="4"/>
      <c r="F818" s="29">
        <f>F819</f>
        <v>1369800</v>
      </c>
      <c r="G818" s="29">
        <f>G819</f>
        <v>1369800</v>
      </c>
    </row>
    <row r="819" spans="1:7" ht="46.5">
      <c r="A819" s="27" t="s">
        <v>96</v>
      </c>
      <c r="B819" s="4" t="s">
        <v>48</v>
      </c>
      <c r="C819" s="4" t="s">
        <v>50</v>
      </c>
      <c r="D819" s="4" t="s">
        <v>717</v>
      </c>
      <c r="E819" s="4"/>
      <c r="F819" s="29">
        <f>F820+F824</f>
        <v>1369800</v>
      </c>
      <c r="G819" s="29">
        <f>G820+G824</f>
        <v>1369800</v>
      </c>
    </row>
    <row r="820" spans="1:7" ht="61.5">
      <c r="A820" s="59" t="s">
        <v>444</v>
      </c>
      <c r="B820" s="4" t="s">
        <v>48</v>
      </c>
      <c r="C820" s="4" t="s">
        <v>50</v>
      </c>
      <c r="D820" s="4" t="s">
        <v>323</v>
      </c>
      <c r="E820" s="4"/>
      <c r="F820" s="29">
        <f>F821</f>
        <v>1233400</v>
      </c>
      <c r="G820" s="29">
        <f>G821</f>
        <v>1233400</v>
      </c>
    </row>
    <row r="821" spans="1:7" ht="77.25">
      <c r="A821" s="59" t="s">
        <v>614</v>
      </c>
      <c r="B821" s="4" t="s">
        <v>48</v>
      </c>
      <c r="C821" s="4" t="s">
        <v>50</v>
      </c>
      <c r="D821" s="4" t="s">
        <v>615</v>
      </c>
      <c r="E821" s="4"/>
      <c r="F821" s="29">
        <f>F822+F823</f>
        <v>1233400</v>
      </c>
      <c r="G821" s="29">
        <f>G822+G823</f>
        <v>1233400</v>
      </c>
    </row>
    <row r="822" spans="1:7" ht="123.75">
      <c r="A822" s="3" t="s">
        <v>92</v>
      </c>
      <c r="B822" s="4" t="s">
        <v>48</v>
      </c>
      <c r="C822" s="4" t="s">
        <v>50</v>
      </c>
      <c r="D822" s="4" t="s">
        <v>615</v>
      </c>
      <c r="E822" s="4" t="s">
        <v>604</v>
      </c>
      <c r="F822" s="29">
        <f>прил7!G266</f>
        <v>1094586.29</v>
      </c>
      <c r="G822" s="29">
        <v>1081469.03</v>
      </c>
    </row>
    <row r="823" spans="1:7" ht="46.5">
      <c r="A823" s="3" t="s">
        <v>701</v>
      </c>
      <c r="B823" s="4" t="s">
        <v>48</v>
      </c>
      <c r="C823" s="4" t="s">
        <v>50</v>
      </c>
      <c r="D823" s="4" t="s">
        <v>615</v>
      </c>
      <c r="E823" s="4" t="s">
        <v>605</v>
      </c>
      <c r="F823" s="29">
        <f>прил7!G267</f>
        <v>138813.71</v>
      </c>
      <c r="G823" s="29">
        <v>151930.97</v>
      </c>
    </row>
    <row r="824" spans="1:7" ht="154.5">
      <c r="A824" s="3" t="s">
        <v>532</v>
      </c>
      <c r="B824" s="4" t="s">
        <v>48</v>
      </c>
      <c r="C824" s="4" t="s">
        <v>50</v>
      </c>
      <c r="D824" s="4" t="s">
        <v>322</v>
      </c>
      <c r="E824" s="4"/>
      <c r="F824" s="29">
        <f>F825</f>
        <v>136400</v>
      </c>
      <c r="G824" s="29">
        <f>G825</f>
        <v>136400</v>
      </c>
    </row>
    <row r="825" spans="1:7" ht="170.25">
      <c r="A825" s="3" t="s">
        <v>616</v>
      </c>
      <c r="B825" s="4" t="s">
        <v>48</v>
      </c>
      <c r="C825" s="4" t="s">
        <v>50</v>
      </c>
      <c r="D825" s="4" t="s">
        <v>617</v>
      </c>
      <c r="E825" s="4"/>
      <c r="F825" s="29">
        <f>F826+F827</f>
        <v>136400</v>
      </c>
      <c r="G825" s="29">
        <f>G826+G827</f>
        <v>136400</v>
      </c>
    </row>
    <row r="826" spans="1:7" ht="123.75">
      <c r="A826" s="3" t="s">
        <v>92</v>
      </c>
      <c r="B826" s="4" t="s">
        <v>48</v>
      </c>
      <c r="C826" s="4" t="s">
        <v>50</v>
      </c>
      <c r="D826" s="4" t="s">
        <v>617</v>
      </c>
      <c r="E826" s="4" t="s">
        <v>604</v>
      </c>
      <c r="F826" s="29">
        <f>прил7!G270</f>
        <v>130400</v>
      </c>
      <c r="G826" s="29">
        <f>F826</f>
        <v>130400</v>
      </c>
    </row>
    <row r="827" spans="1:7" ht="46.5">
      <c r="A827" s="3" t="s">
        <v>701</v>
      </c>
      <c r="B827" s="4" t="s">
        <v>48</v>
      </c>
      <c r="C827" s="4" t="s">
        <v>50</v>
      </c>
      <c r="D827" s="4" t="s">
        <v>617</v>
      </c>
      <c r="E827" s="4" t="s">
        <v>605</v>
      </c>
      <c r="F827" s="29">
        <f>прил7!G271</f>
        <v>6000</v>
      </c>
      <c r="G827" s="29">
        <f>F827</f>
        <v>6000</v>
      </c>
    </row>
    <row r="828" spans="1:7" ht="15.75">
      <c r="A828" s="39" t="s">
        <v>142</v>
      </c>
      <c r="B828" s="5" t="s">
        <v>144</v>
      </c>
      <c r="C828" s="5" t="s">
        <v>742</v>
      </c>
      <c r="D828" s="23"/>
      <c r="E828" s="23"/>
      <c r="F828" s="32">
        <f>F829</f>
        <v>1400050</v>
      </c>
      <c r="G828" s="28"/>
    </row>
    <row r="829" spans="1:7" ht="15">
      <c r="A829" s="50" t="s">
        <v>595</v>
      </c>
      <c r="B829" s="2" t="s">
        <v>144</v>
      </c>
      <c r="C829" s="2" t="s">
        <v>917</v>
      </c>
      <c r="D829" s="4"/>
      <c r="E829" s="4"/>
      <c r="F829" s="33">
        <f>F830</f>
        <v>1400050</v>
      </c>
      <c r="G829" s="33"/>
    </row>
    <row r="830" spans="1:7" ht="77.25">
      <c r="A830" s="27" t="s">
        <v>106</v>
      </c>
      <c r="B830" s="4" t="s">
        <v>144</v>
      </c>
      <c r="C830" s="4" t="s">
        <v>917</v>
      </c>
      <c r="D830" s="4" t="s">
        <v>725</v>
      </c>
      <c r="E830" s="38"/>
      <c r="F830" s="29">
        <f>F831</f>
        <v>1400050</v>
      </c>
      <c r="G830" s="29"/>
    </row>
    <row r="831" spans="1:7" ht="30.75">
      <c r="A831" s="27" t="s">
        <v>528</v>
      </c>
      <c r="B831" s="4" t="s">
        <v>144</v>
      </c>
      <c r="C831" s="4" t="s">
        <v>917</v>
      </c>
      <c r="D831" s="4" t="s">
        <v>437</v>
      </c>
      <c r="E831" s="38"/>
      <c r="F831" s="29">
        <f>F832+F836</f>
        <v>1400050</v>
      </c>
      <c r="G831" s="29"/>
    </row>
    <row r="832" spans="1:7" ht="77.25">
      <c r="A832" s="27" t="s">
        <v>438</v>
      </c>
      <c r="B832" s="4" t="s">
        <v>144</v>
      </c>
      <c r="C832" s="4" t="s">
        <v>917</v>
      </c>
      <c r="D832" s="4" t="s">
        <v>439</v>
      </c>
      <c r="E832" s="38"/>
      <c r="F832" s="29">
        <f>F833</f>
        <v>871197</v>
      </c>
      <c r="G832" s="29"/>
    </row>
    <row r="833" spans="1:7" ht="30.75">
      <c r="A833" s="27" t="s">
        <v>523</v>
      </c>
      <c r="B833" s="4" t="s">
        <v>144</v>
      </c>
      <c r="C833" s="4" t="s">
        <v>917</v>
      </c>
      <c r="D833" s="4" t="s">
        <v>440</v>
      </c>
      <c r="E833" s="38"/>
      <c r="F833" s="29">
        <f>F835+F834</f>
        <v>871197</v>
      </c>
      <c r="G833" s="29"/>
    </row>
    <row r="834" spans="1:7" ht="123.75">
      <c r="A834" s="27" t="s">
        <v>92</v>
      </c>
      <c r="B834" s="4" t="s">
        <v>144</v>
      </c>
      <c r="C834" s="4" t="s">
        <v>917</v>
      </c>
      <c r="D834" s="4" t="s">
        <v>440</v>
      </c>
      <c r="E834" s="38" t="s">
        <v>604</v>
      </c>
      <c r="F834" s="29">
        <f>прил7!G1029</f>
        <v>470000</v>
      </c>
      <c r="G834" s="29"/>
    </row>
    <row r="835" spans="1:7" ht="46.5">
      <c r="A835" s="3" t="s">
        <v>701</v>
      </c>
      <c r="B835" s="4" t="s">
        <v>144</v>
      </c>
      <c r="C835" s="4" t="s">
        <v>917</v>
      </c>
      <c r="D835" s="4" t="s">
        <v>440</v>
      </c>
      <c r="E835" s="4" t="s">
        <v>605</v>
      </c>
      <c r="F835" s="29">
        <f>прил7!G1030</f>
        <v>401197</v>
      </c>
      <c r="G835" s="29"/>
    </row>
    <row r="836" spans="1:7" ht="108">
      <c r="A836" s="3" t="s">
        <v>495</v>
      </c>
      <c r="B836" s="4" t="s">
        <v>144</v>
      </c>
      <c r="C836" s="4" t="s">
        <v>917</v>
      </c>
      <c r="D836" s="4" t="s">
        <v>441</v>
      </c>
      <c r="E836" s="4"/>
      <c r="F836" s="29">
        <f>F837</f>
        <v>528853</v>
      </c>
      <c r="G836" s="29"/>
    </row>
    <row r="837" spans="1:7" ht="30.75">
      <c r="A837" s="27" t="s">
        <v>523</v>
      </c>
      <c r="B837" s="4" t="s">
        <v>144</v>
      </c>
      <c r="C837" s="4" t="s">
        <v>917</v>
      </c>
      <c r="D837" s="4" t="s">
        <v>442</v>
      </c>
      <c r="E837" s="38"/>
      <c r="F837" s="29">
        <f>F839+F838</f>
        <v>528853</v>
      </c>
      <c r="G837" s="29"/>
    </row>
    <row r="838" spans="1:7" ht="123.75">
      <c r="A838" s="27" t="s">
        <v>92</v>
      </c>
      <c r="B838" s="4" t="s">
        <v>144</v>
      </c>
      <c r="C838" s="4" t="s">
        <v>917</v>
      </c>
      <c r="D838" s="4" t="s">
        <v>442</v>
      </c>
      <c r="E838" s="38" t="s">
        <v>604</v>
      </c>
      <c r="F838" s="29">
        <f>прил7!G1033</f>
        <v>200000</v>
      </c>
      <c r="G838" s="29"/>
    </row>
    <row r="839" spans="1:7" ht="46.5">
      <c r="A839" s="6" t="s">
        <v>701</v>
      </c>
      <c r="B839" s="7" t="s">
        <v>144</v>
      </c>
      <c r="C839" s="7" t="s">
        <v>917</v>
      </c>
      <c r="D839" s="7" t="s">
        <v>442</v>
      </c>
      <c r="E839" s="7" t="s">
        <v>605</v>
      </c>
      <c r="F839" s="31">
        <f>прил7!G1034</f>
        <v>328853</v>
      </c>
      <c r="G839" s="29"/>
    </row>
    <row r="840" spans="1:7" ht="15">
      <c r="A840" s="13" t="s">
        <v>596</v>
      </c>
      <c r="B840" s="5" t="s">
        <v>600</v>
      </c>
      <c r="C840" s="5" t="s">
        <v>742</v>
      </c>
      <c r="D840" s="5"/>
      <c r="E840" s="5"/>
      <c r="F840" s="28">
        <f aca="true" t="shared" si="4" ref="F840:F845">F841</f>
        <v>1425000</v>
      </c>
      <c r="G840" s="28"/>
    </row>
    <row r="841" spans="1:7" ht="30.75">
      <c r="A841" s="3" t="s">
        <v>141</v>
      </c>
      <c r="B841" s="4" t="s">
        <v>600</v>
      </c>
      <c r="C841" s="4" t="s">
        <v>45</v>
      </c>
      <c r="D841" s="4"/>
      <c r="E841" s="4"/>
      <c r="F841" s="29">
        <f t="shared" si="4"/>
        <v>1425000</v>
      </c>
      <c r="G841" s="29"/>
    </row>
    <row r="842" spans="1:7" ht="46.5">
      <c r="A842" s="3" t="s">
        <v>1034</v>
      </c>
      <c r="B842" s="4" t="s">
        <v>600</v>
      </c>
      <c r="C842" s="4" t="s">
        <v>45</v>
      </c>
      <c r="D842" s="4" t="s">
        <v>712</v>
      </c>
      <c r="E842" s="4"/>
      <c r="F842" s="29">
        <f t="shared" si="4"/>
        <v>1425000</v>
      </c>
      <c r="G842" s="29"/>
    </row>
    <row r="843" spans="1:7" ht="108">
      <c r="A843" s="3" t="s">
        <v>120</v>
      </c>
      <c r="B843" s="4" t="s">
        <v>600</v>
      </c>
      <c r="C843" s="4" t="s">
        <v>45</v>
      </c>
      <c r="D843" s="4" t="s">
        <v>618</v>
      </c>
      <c r="E843" s="4"/>
      <c r="F843" s="29">
        <f>F844+F847</f>
        <v>1425000</v>
      </c>
      <c r="G843" s="29"/>
    </row>
    <row r="844" spans="1:7" ht="61.5">
      <c r="A844" s="3" t="s">
        <v>619</v>
      </c>
      <c r="B844" s="4" t="s">
        <v>600</v>
      </c>
      <c r="C844" s="4" t="s">
        <v>45</v>
      </c>
      <c r="D844" s="4" t="s">
        <v>1183</v>
      </c>
      <c r="E844" s="4"/>
      <c r="F844" s="29">
        <f t="shared" si="4"/>
        <v>712500</v>
      </c>
      <c r="G844" s="29"/>
    </row>
    <row r="845" spans="1:7" ht="46.5">
      <c r="A845" s="3" t="s">
        <v>620</v>
      </c>
      <c r="B845" s="4" t="s">
        <v>600</v>
      </c>
      <c r="C845" s="4" t="s">
        <v>45</v>
      </c>
      <c r="D845" s="4" t="s">
        <v>1184</v>
      </c>
      <c r="E845" s="4"/>
      <c r="F845" s="29">
        <f t="shared" si="4"/>
        <v>712500</v>
      </c>
      <c r="G845" s="29"/>
    </row>
    <row r="846" spans="1:7" ht="15">
      <c r="A846" s="3" t="s">
        <v>1040</v>
      </c>
      <c r="B846" s="4" t="s">
        <v>600</v>
      </c>
      <c r="C846" s="4" t="s">
        <v>45</v>
      </c>
      <c r="D846" s="4" t="s">
        <v>1184</v>
      </c>
      <c r="E846" s="4" t="s">
        <v>608</v>
      </c>
      <c r="F846" s="29">
        <f>прил7!G278</f>
        <v>712500</v>
      </c>
      <c r="G846" s="29"/>
    </row>
    <row r="847" spans="1:7" ht="93">
      <c r="A847" s="3" t="s">
        <v>1185</v>
      </c>
      <c r="B847" s="4" t="s">
        <v>600</v>
      </c>
      <c r="C847" s="4" t="s">
        <v>45</v>
      </c>
      <c r="D847" s="4" t="s">
        <v>1186</v>
      </c>
      <c r="E847" s="4"/>
      <c r="F847" s="29">
        <f>F848</f>
        <v>712500</v>
      </c>
      <c r="G847" s="29"/>
    </row>
    <row r="848" spans="1:7" ht="30.75">
      <c r="A848" s="3" t="s">
        <v>523</v>
      </c>
      <c r="B848" s="4" t="s">
        <v>600</v>
      </c>
      <c r="C848" s="4" t="s">
        <v>45</v>
      </c>
      <c r="D848" s="4" t="s">
        <v>1187</v>
      </c>
      <c r="E848" s="4"/>
      <c r="F848" s="29">
        <f>F849</f>
        <v>712500</v>
      </c>
      <c r="G848" s="29"/>
    </row>
    <row r="849" spans="1:7" ht="46.5">
      <c r="A849" s="3" t="s">
        <v>701</v>
      </c>
      <c r="B849" s="4" t="s">
        <v>600</v>
      </c>
      <c r="C849" s="4" t="s">
        <v>45</v>
      </c>
      <c r="D849" s="4" t="s">
        <v>1187</v>
      </c>
      <c r="E849" s="4" t="s">
        <v>605</v>
      </c>
      <c r="F849" s="29">
        <f>прил7!G281</f>
        <v>712500</v>
      </c>
      <c r="G849" s="29"/>
    </row>
    <row r="850" spans="1:7" ht="30.75">
      <c r="A850" s="213" t="s">
        <v>143</v>
      </c>
      <c r="B850" s="5" t="s">
        <v>602</v>
      </c>
      <c r="C850" s="5"/>
      <c r="D850" s="5"/>
      <c r="E850" s="5"/>
      <c r="F850" s="28">
        <f aca="true" t="shared" si="5" ref="F850:F855">F851</f>
        <v>11035199.97</v>
      </c>
      <c r="G850" s="110"/>
    </row>
    <row r="851" spans="1:7" ht="46.5">
      <c r="A851" s="78" t="s">
        <v>126</v>
      </c>
      <c r="B851" s="2" t="s">
        <v>602</v>
      </c>
      <c r="C851" s="2" t="s">
        <v>917</v>
      </c>
      <c r="D851" s="4"/>
      <c r="E851" s="4"/>
      <c r="F851" s="33">
        <f t="shared" si="5"/>
        <v>11035199.97</v>
      </c>
      <c r="G851" s="29"/>
    </row>
    <row r="852" spans="1:7" ht="108">
      <c r="A852" s="59" t="s">
        <v>103</v>
      </c>
      <c r="B852" s="4" t="s">
        <v>602</v>
      </c>
      <c r="C852" s="4" t="s">
        <v>917</v>
      </c>
      <c r="D852" s="4" t="s">
        <v>1042</v>
      </c>
      <c r="E852" s="4"/>
      <c r="F852" s="29">
        <f t="shared" si="5"/>
        <v>11035199.97</v>
      </c>
      <c r="G852" s="29"/>
    </row>
    <row r="853" spans="1:7" ht="46.5">
      <c r="A853" s="59" t="s">
        <v>127</v>
      </c>
      <c r="B853" s="4" t="s">
        <v>602</v>
      </c>
      <c r="C853" s="4" t="s">
        <v>917</v>
      </c>
      <c r="D853" s="4" t="s">
        <v>1051</v>
      </c>
      <c r="E853" s="4"/>
      <c r="F853" s="29">
        <f t="shared" si="5"/>
        <v>11035199.97</v>
      </c>
      <c r="G853" s="29"/>
    </row>
    <row r="854" spans="1:7" ht="61.5">
      <c r="A854" s="59" t="s">
        <v>1052</v>
      </c>
      <c r="B854" s="4" t="s">
        <v>602</v>
      </c>
      <c r="C854" s="4" t="s">
        <v>917</v>
      </c>
      <c r="D854" s="4" t="s">
        <v>1053</v>
      </c>
      <c r="E854" s="4"/>
      <c r="F854" s="29">
        <f t="shared" si="5"/>
        <v>11035199.97</v>
      </c>
      <c r="G854" s="29"/>
    </row>
    <row r="855" spans="1:7" ht="30.75">
      <c r="A855" s="59" t="s">
        <v>128</v>
      </c>
      <c r="B855" s="4" t="s">
        <v>602</v>
      </c>
      <c r="C855" s="4" t="s">
        <v>917</v>
      </c>
      <c r="D855" s="4" t="s">
        <v>1054</v>
      </c>
      <c r="E855" s="4"/>
      <c r="F855" s="29">
        <f t="shared" si="5"/>
        <v>11035199.97</v>
      </c>
      <c r="G855" s="29"/>
    </row>
    <row r="856" spans="1:7" ht="30.75">
      <c r="A856" s="59" t="s">
        <v>117</v>
      </c>
      <c r="B856" s="4" t="s">
        <v>602</v>
      </c>
      <c r="C856" s="4" t="s">
        <v>917</v>
      </c>
      <c r="D856" s="4" t="s">
        <v>1054</v>
      </c>
      <c r="E856" s="4" t="s">
        <v>607</v>
      </c>
      <c r="F856" s="29">
        <f>прил7!G634</f>
        <v>11035199.97</v>
      </c>
      <c r="G856" s="29"/>
    </row>
    <row r="857" spans="1:7" ht="15">
      <c r="A857" s="53" t="s">
        <v>531</v>
      </c>
      <c r="B857" s="55"/>
      <c r="C857" s="55"/>
      <c r="D857" s="55"/>
      <c r="E857" s="55"/>
      <c r="F857" s="57">
        <f>F9+F251+F281+F388+F470+F482+F648+F739+F828+F850+F840</f>
        <v>2171749099.1699996</v>
      </c>
      <c r="G857" s="57">
        <f>G9+G251+G281+G388+G470+G482+G648+G739+G828+G850+G840</f>
        <v>778306432.79</v>
      </c>
    </row>
    <row r="858" spans="1:7" ht="15">
      <c r="A858" s="17"/>
      <c r="B858" s="18"/>
      <c r="C858" s="18"/>
      <c r="D858" s="18"/>
      <c r="E858" s="18"/>
      <c r="F858" s="44"/>
      <c r="G858" s="44"/>
    </row>
    <row r="859" spans="1:7" ht="24" customHeight="1" hidden="1">
      <c r="A859" s="17"/>
      <c r="B859" s="18"/>
      <c r="C859" s="18"/>
      <c r="D859" s="18"/>
      <c r="E859" s="18"/>
      <c r="F859" s="44">
        <f>прил7!G1067</f>
        <v>2150432763.17</v>
      </c>
      <c r="G859" s="44">
        <f>прил7!H1067</f>
        <v>756990096.79</v>
      </c>
    </row>
    <row r="860" spans="1:7" ht="15" hidden="1">
      <c r="A860" s="17"/>
      <c r="B860" s="18"/>
      <c r="C860" s="18"/>
      <c r="D860" s="18"/>
      <c r="E860" s="18"/>
      <c r="F860" s="44"/>
      <c r="G860" s="44"/>
    </row>
    <row r="861" spans="1:7" ht="15" hidden="1">
      <c r="A861" s="17"/>
      <c r="B861" s="18"/>
      <c r="C861" s="18"/>
      <c r="D861" s="18"/>
      <c r="E861" s="18"/>
      <c r="F861" s="44">
        <f>F857-F859</f>
        <v>21316335.999999523</v>
      </c>
      <c r="G861" s="44">
        <f>G857-G859</f>
        <v>21316336</v>
      </c>
    </row>
    <row r="862" spans="1:10" ht="15" hidden="1">
      <c r="A862" s="17"/>
      <c r="B862" s="18"/>
      <c r="C862" s="18"/>
      <c r="D862" s="18"/>
      <c r="E862" s="18"/>
      <c r="F862" s="44"/>
      <c r="G862" s="44"/>
      <c r="H862" s="44"/>
      <c r="I862" s="44"/>
      <c r="J862" s="44"/>
    </row>
    <row r="863" spans="1:7" ht="15" hidden="1">
      <c r="A863" s="17"/>
      <c r="B863" s="18"/>
      <c r="C863" s="18"/>
      <c r="D863" s="18"/>
      <c r="E863" s="18"/>
      <c r="F863" s="44">
        <f>прил7!G1073</f>
        <v>20865660</v>
      </c>
      <c r="G863" s="44">
        <f>прил7!H1073</f>
        <v>20865660</v>
      </c>
    </row>
    <row r="864" spans="1:13" ht="15" hidden="1">
      <c r="A864" s="17"/>
      <c r="B864" s="18"/>
      <c r="C864" s="18"/>
      <c r="D864" s="18"/>
      <c r="E864" s="18"/>
      <c r="F864" s="44"/>
      <c r="G864" s="44"/>
      <c r="H864" s="44"/>
      <c r="I864" s="44"/>
      <c r="J864" s="44"/>
      <c r="K864" s="44"/>
      <c r="L864" s="44"/>
      <c r="M864" s="44"/>
    </row>
    <row r="865" spans="1:7" ht="15" hidden="1">
      <c r="A865" s="17"/>
      <c r="B865" s="18"/>
      <c r="C865" s="18"/>
      <c r="D865" s="18"/>
      <c r="E865" s="18"/>
      <c r="F865" s="44">
        <f>F863-F861</f>
        <v>-450675.99999952316</v>
      </c>
      <c r="G865" s="44">
        <f>G863-G861</f>
        <v>-450676</v>
      </c>
    </row>
    <row r="866" spans="1:7" ht="15" hidden="1">
      <c r="A866" s="17"/>
      <c r="B866" s="18"/>
      <c r="C866" s="18"/>
      <c r="D866" s="18"/>
      <c r="E866" s="18"/>
      <c r="F866" s="44"/>
      <c r="G866" s="44"/>
    </row>
    <row r="867" spans="1:7" ht="15">
      <c r="A867" s="17"/>
      <c r="B867" s="18"/>
      <c r="C867" s="18"/>
      <c r="D867" s="18"/>
      <c r="E867" s="18"/>
      <c r="F867" s="44">
        <f>прил7!G1078</f>
        <v>2171298423.17</v>
      </c>
      <c r="G867" s="44">
        <f>прил7!H1078</f>
        <v>777855756.79</v>
      </c>
    </row>
    <row r="868" spans="1:7" ht="15">
      <c r="A868" s="17"/>
      <c r="B868" s="18"/>
      <c r="C868" s="18"/>
      <c r="D868" s="18"/>
      <c r="E868" s="18"/>
      <c r="F868" s="44">
        <f>F857-F867</f>
        <v>450675.99999952316</v>
      </c>
      <c r="G868" s="44">
        <f>G857-G867</f>
        <v>450676</v>
      </c>
    </row>
    <row r="869" spans="1:7" ht="15">
      <c r="A869" s="17"/>
      <c r="B869" s="18"/>
      <c r="C869" s="18"/>
      <c r="D869" s="18"/>
      <c r="E869" s="18"/>
      <c r="F869" s="44"/>
      <c r="G869" s="44"/>
    </row>
    <row r="870" spans="1:7" ht="15">
      <c r="A870" s="17"/>
      <c r="B870" s="18"/>
      <c r="C870" s="18"/>
      <c r="D870" s="18"/>
      <c r="E870" s="18"/>
      <c r="F870" s="44"/>
      <c r="G870" s="44"/>
    </row>
    <row r="871" spans="1:7" ht="15">
      <c r="A871" s="17"/>
      <c r="B871" s="18"/>
      <c r="C871" s="18"/>
      <c r="D871" s="18"/>
      <c r="E871" s="18"/>
      <c r="F871" s="44"/>
      <c r="G871" s="44"/>
    </row>
    <row r="872" spans="1:7" ht="15">
      <c r="A872" s="17"/>
      <c r="B872" s="18"/>
      <c r="C872" s="18"/>
      <c r="D872" s="18"/>
      <c r="E872" s="18"/>
      <c r="F872" s="44"/>
      <c r="G872" s="44"/>
    </row>
    <row r="873" spans="1:7" ht="15">
      <c r="A873" s="17"/>
      <c r="B873" s="18"/>
      <c r="C873" s="18"/>
      <c r="D873" s="18"/>
      <c r="E873" s="18"/>
      <c r="F873" s="44"/>
      <c r="G873" s="44"/>
    </row>
    <row r="874" spans="1:7" ht="15">
      <c r="A874" s="17"/>
      <c r="B874" s="18"/>
      <c r="C874" s="18"/>
      <c r="D874" s="18"/>
      <c r="E874" s="18"/>
      <c r="F874" s="44"/>
      <c r="G874" s="44"/>
    </row>
    <row r="875" spans="1:7" ht="15">
      <c r="A875" s="17"/>
      <c r="B875" s="18"/>
      <c r="C875" s="18"/>
      <c r="D875" s="18"/>
      <c r="E875" s="18"/>
      <c r="F875" s="44"/>
      <c r="G875" s="44"/>
    </row>
    <row r="876" spans="1:7" ht="15">
      <c r="A876" s="17"/>
      <c r="B876" s="18"/>
      <c r="C876" s="18"/>
      <c r="D876" s="18"/>
      <c r="E876" s="18"/>
      <c r="F876" s="44"/>
      <c r="G876" s="44"/>
    </row>
    <row r="877" spans="1:7" ht="15">
      <c r="A877" s="17"/>
      <c r="B877" s="18"/>
      <c r="C877" s="18"/>
      <c r="D877" s="18"/>
      <c r="E877" s="18"/>
      <c r="F877" s="44"/>
      <c r="G877" s="44"/>
    </row>
    <row r="878" spans="1:7" ht="15">
      <c r="A878" s="17"/>
      <c r="B878" s="18"/>
      <c r="C878" s="18"/>
      <c r="D878" s="18"/>
      <c r="E878" s="18"/>
      <c r="F878" s="44"/>
      <c r="G878" s="44"/>
    </row>
    <row r="879" spans="1:7" ht="15">
      <c r="A879" s="17"/>
      <c r="B879" s="18"/>
      <c r="C879" s="18"/>
      <c r="D879" s="18"/>
      <c r="E879" s="18"/>
      <c r="F879" s="44"/>
      <c r="G879" s="44"/>
    </row>
    <row r="880" spans="1:7" ht="15">
      <c r="A880" s="17"/>
      <c r="B880" s="18"/>
      <c r="C880" s="18"/>
      <c r="D880" s="18"/>
      <c r="E880" s="18"/>
      <c r="F880" s="44"/>
      <c r="G880" s="44"/>
    </row>
    <row r="881" spans="1:7" ht="15">
      <c r="A881" s="17"/>
      <c r="B881" s="18"/>
      <c r="C881" s="18"/>
      <c r="D881" s="18"/>
      <c r="E881" s="18"/>
      <c r="F881" s="44"/>
      <c r="G881" s="44"/>
    </row>
    <row r="882" spans="1:7" ht="15">
      <c r="A882" s="17"/>
      <c r="B882" s="18"/>
      <c r="C882" s="18"/>
      <c r="D882" s="18"/>
      <c r="E882" s="18"/>
      <c r="F882" s="44"/>
      <c r="G882" s="44"/>
    </row>
    <row r="883" spans="1:7" ht="15">
      <c r="A883" s="17"/>
      <c r="B883" s="18"/>
      <c r="C883" s="18"/>
      <c r="D883" s="18"/>
      <c r="E883" s="18"/>
      <c r="F883" s="44"/>
      <c r="G883" s="44"/>
    </row>
    <row r="884" spans="1:7" ht="15">
      <c r="A884" s="17"/>
      <c r="B884" s="18"/>
      <c r="C884" s="18"/>
      <c r="D884" s="18"/>
      <c r="E884" s="18"/>
      <c r="F884" s="44"/>
      <c r="G884" s="44"/>
    </row>
    <row r="885" spans="1:7" ht="15">
      <c r="A885" s="17"/>
      <c r="B885" s="18"/>
      <c r="C885" s="18"/>
      <c r="D885" s="18"/>
      <c r="E885" s="18"/>
      <c r="F885" s="44"/>
      <c r="G885" s="44"/>
    </row>
    <row r="886" spans="1:7" ht="15">
      <c r="A886" s="17"/>
      <c r="B886" s="18"/>
      <c r="C886" s="18"/>
      <c r="D886" s="18"/>
      <c r="E886" s="18"/>
      <c r="F886" s="44"/>
      <c r="G886" s="44"/>
    </row>
    <row r="887" spans="1:7" ht="15">
      <c r="A887" s="17"/>
      <c r="B887" s="18"/>
      <c r="C887" s="18"/>
      <c r="D887" s="18"/>
      <c r="E887" s="18"/>
      <c r="F887" s="44"/>
      <c r="G887" s="44"/>
    </row>
    <row r="888" spans="1:7" ht="15">
      <c r="A888" s="17"/>
      <c r="B888" s="18"/>
      <c r="C888" s="18"/>
      <c r="D888" s="18"/>
      <c r="E888" s="18"/>
      <c r="F888" s="44"/>
      <c r="G888" s="44"/>
    </row>
    <row r="889" spans="1:7" ht="15">
      <c r="A889" s="17"/>
      <c r="B889" s="18"/>
      <c r="C889" s="18"/>
      <c r="D889" s="18"/>
      <c r="E889" s="18"/>
      <c r="F889" s="44"/>
      <c r="G889" s="44"/>
    </row>
    <row r="890" spans="1:7" ht="15">
      <c r="A890" s="17"/>
      <c r="B890" s="18"/>
      <c r="C890" s="18"/>
      <c r="D890" s="18"/>
      <c r="E890" s="18"/>
      <c r="F890" s="44"/>
      <c r="G890" s="44"/>
    </row>
    <row r="891" spans="1:7" ht="15">
      <c r="A891" s="17"/>
      <c r="B891" s="18"/>
      <c r="C891" s="18"/>
      <c r="D891" s="18"/>
      <c r="E891" s="18"/>
      <c r="F891" s="44"/>
      <c r="G891" s="44"/>
    </row>
    <row r="892" spans="1:7" ht="15">
      <c r="A892" s="17"/>
      <c r="B892" s="18"/>
      <c r="C892" s="18"/>
      <c r="D892" s="18"/>
      <c r="E892" s="18"/>
      <c r="F892" s="44"/>
      <c r="G892" s="44"/>
    </row>
    <row r="893" spans="1:7" ht="15">
      <c r="A893" s="17"/>
      <c r="B893" s="18"/>
      <c r="C893" s="18"/>
      <c r="D893" s="18"/>
      <c r="E893" s="18"/>
      <c r="F893" s="44"/>
      <c r="G893" s="44"/>
    </row>
    <row r="894" spans="1:7" ht="15">
      <c r="A894" s="17"/>
      <c r="B894" s="18"/>
      <c r="C894" s="18"/>
      <c r="D894" s="18"/>
      <c r="E894" s="18"/>
      <c r="F894" s="44"/>
      <c r="G894" s="44"/>
    </row>
    <row r="895" spans="1:7" ht="15">
      <c r="A895" s="17"/>
      <c r="B895" s="18"/>
      <c r="C895" s="18"/>
      <c r="D895" s="18"/>
      <c r="E895" s="18"/>
      <c r="F895" s="44"/>
      <c r="G895" s="44"/>
    </row>
    <row r="896" spans="1:7" ht="15">
      <c r="A896" s="17"/>
      <c r="B896" s="18"/>
      <c r="C896" s="18"/>
      <c r="D896" s="18"/>
      <c r="E896" s="18"/>
      <c r="F896" s="44"/>
      <c r="G896" s="44"/>
    </row>
    <row r="897" spans="1:7" ht="15">
      <c r="A897" s="17"/>
      <c r="B897" s="18"/>
      <c r="C897" s="18"/>
      <c r="D897" s="18"/>
      <c r="E897" s="18"/>
      <c r="F897" s="44"/>
      <c r="G897" s="44"/>
    </row>
    <row r="898" spans="1:7" ht="15">
      <c r="A898" s="17"/>
      <c r="B898" s="18"/>
      <c r="C898" s="18"/>
      <c r="D898" s="18"/>
      <c r="E898" s="18"/>
      <c r="F898" s="44"/>
      <c r="G898" s="44"/>
    </row>
    <row r="899" spans="1:7" ht="15">
      <c r="A899" s="17"/>
      <c r="B899" s="18"/>
      <c r="C899" s="18"/>
      <c r="D899" s="18"/>
      <c r="E899" s="18"/>
      <c r="F899" s="44"/>
      <c r="G899" s="44"/>
    </row>
    <row r="900" spans="1:7" ht="15">
      <c r="A900" s="17"/>
      <c r="B900" s="18"/>
      <c r="C900" s="18"/>
      <c r="D900" s="18"/>
      <c r="E900" s="18"/>
      <c r="F900" s="44"/>
      <c r="G900" s="44"/>
    </row>
    <row r="901" spans="1:7" ht="15">
      <c r="A901" s="17"/>
      <c r="B901" s="18"/>
      <c r="C901" s="18"/>
      <c r="D901" s="18"/>
      <c r="E901" s="18"/>
      <c r="F901" s="44"/>
      <c r="G901" s="44"/>
    </row>
    <row r="902" spans="1:7" ht="15">
      <c r="A902" s="17"/>
      <c r="B902" s="18"/>
      <c r="C902" s="18"/>
      <c r="D902" s="18"/>
      <c r="E902" s="18"/>
      <c r="F902" s="44"/>
      <c r="G902" s="44"/>
    </row>
    <row r="903" spans="1:7" ht="15">
      <c r="A903" s="17"/>
      <c r="B903" s="18"/>
      <c r="C903" s="18"/>
      <c r="D903" s="18"/>
      <c r="E903" s="18"/>
      <c r="F903" s="44"/>
      <c r="G903" s="44"/>
    </row>
    <row r="904" spans="1:7" ht="15">
      <c r="A904" s="17"/>
      <c r="B904" s="18"/>
      <c r="C904" s="18"/>
      <c r="D904" s="18"/>
      <c r="E904" s="18"/>
      <c r="F904" s="44"/>
      <c r="G904" s="44"/>
    </row>
    <row r="905" spans="1:7" ht="15">
      <c r="A905" s="17"/>
      <c r="B905" s="18"/>
      <c r="C905" s="18"/>
      <c r="D905" s="18"/>
      <c r="E905" s="18"/>
      <c r="F905" s="44"/>
      <c r="G905" s="44"/>
    </row>
    <row r="906" spans="1:7" ht="15">
      <c r="A906" s="17"/>
      <c r="B906" s="18"/>
      <c r="C906" s="18"/>
      <c r="D906" s="18"/>
      <c r="E906" s="18"/>
      <c r="F906" s="44"/>
      <c r="G906" s="44"/>
    </row>
    <row r="907" spans="1:7" ht="15">
      <c r="A907" s="17"/>
      <c r="B907" s="18"/>
      <c r="C907" s="18"/>
      <c r="D907" s="18"/>
      <c r="E907" s="18"/>
      <c r="F907" s="44"/>
      <c r="G907" s="44"/>
    </row>
    <row r="908" spans="1:7" ht="15">
      <c r="A908" s="17"/>
      <c r="B908" s="18"/>
      <c r="C908" s="18"/>
      <c r="D908" s="18"/>
      <c r="E908" s="18"/>
      <c r="F908" s="44"/>
      <c r="G908" s="44"/>
    </row>
    <row r="909" spans="1:7" ht="15">
      <c r="A909" s="17"/>
      <c r="B909" s="18"/>
      <c r="C909" s="18"/>
      <c r="D909" s="18"/>
      <c r="E909" s="18"/>
      <c r="F909" s="44"/>
      <c r="G909" s="44"/>
    </row>
    <row r="910" spans="1:7" ht="15">
      <c r="A910" s="17"/>
      <c r="B910" s="18"/>
      <c r="C910" s="18"/>
      <c r="D910" s="18"/>
      <c r="E910" s="18"/>
      <c r="F910" s="44"/>
      <c r="G910" s="44"/>
    </row>
    <row r="911" spans="1:7" ht="15">
      <c r="A911" s="17"/>
      <c r="B911" s="18"/>
      <c r="C911" s="18"/>
      <c r="D911" s="18"/>
      <c r="E911" s="18"/>
      <c r="F911" s="44"/>
      <c r="G911" s="44"/>
    </row>
    <row r="912" spans="1:7" ht="15">
      <c r="A912" s="17"/>
      <c r="B912" s="18"/>
      <c r="C912" s="18"/>
      <c r="D912" s="18"/>
      <c r="E912" s="18"/>
      <c r="F912" s="44"/>
      <c r="G912" s="44"/>
    </row>
    <row r="913" spans="1:7" ht="15">
      <c r="A913" s="17"/>
      <c r="B913" s="18"/>
      <c r="C913" s="18"/>
      <c r="D913" s="18"/>
      <c r="E913" s="18"/>
      <c r="F913" s="44"/>
      <c r="G913" s="44"/>
    </row>
    <row r="914" spans="1:7" ht="15">
      <c r="A914" s="17"/>
      <c r="B914" s="18"/>
      <c r="C914" s="18"/>
      <c r="D914" s="18"/>
      <c r="E914" s="18"/>
      <c r="F914" s="44"/>
      <c r="G914" s="44"/>
    </row>
    <row r="915" spans="1:7" ht="15">
      <c r="A915" s="17"/>
      <c r="B915" s="18"/>
      <c r="C915" s="18"/>
      <c r="D915" s="18"/>
      <c r="E915" s="18"/>
      <c r="F915" s="44"/>
      <c r="G915" s="44"/>
    </row>
    <row r="916" spans="1:7" ht="15">
      <c r="A916" s="17"/>
      <c r="B916" s="18"/>
      <c r="C916" s="18"/>
      <c r="D916" s="18"/>
      <c r="E916" s="18"/>
      <c r="F916" s="44"/>
      <c r="G916" s="44"/>
    </row>
    <row r="917" spans="1:7" ht="15">
      <c r="A917" s="17"/>
      <c r="B917" s="18"/>
      <c r="C917" s="18"/>
      <c r="D917" s="18"/>
      <c r="E917" s="18"/>
      <c r="F917" s="44"/>
      <c r="G917" s="44"/>
    </row>
    <row r="918" spans="1:7" ht="15">
      <c r="A918" s="17"/>
      <c r="B918" s="18"/>
      <c r="C918" s="18"/>
      <c r="D918" s="18"/>
      <c r="E918" s="18"/>
      <c r="F918" s="44"/>
      <c r="G918" s="44"/>
    </row>
    <row r="919" spans="1:7" ht="15">
      <c r="A919" s="17"/>
      <c r="B919" s="18"/>
      <c r="C919" s="18"/>
      <c r="D919" s="18"/>
      <c r="E919" s="18"/>
      <c r="F919" s="44"/>
      <c r="G919" s="44"/>
    </row>
    <row r="920" spans="1:7" ht="15">
      <c r="A920" s="17"/>
      <c r="B920" s="18"/>
      <c r="C920" s="18"/>
      <c r="D920" s="18"/>
      <c r="E920" s="18"/>
      <c r="F920" s="44"/>
      <c r="G920" s="44"/>
    </row>
    <row r="921" spans="1:7" ht="15">
      <c r="A921" s="17"/>
      <c r="B921" s="18"/>
      <c r="C921" s="18"/>
      <c r="D921" s="18"/>
      <c r="E921" s="18"/>
      <c r="F921" s="44"/>
      <c r="G921" s="44"/>
    </row>
    <row r="922" spans="1:7" ht="15">
      <c r="A922" s="17"/>
      <c r="B922" s="18"/>
      <c r="C922" s="18"/>
      <c r="D922" s="18"/>
      <c r="E922" s="18"/>
      <c r="F922" s="44"/>
      <c r="G922" s="44"/>
    </row>
    <row r="923" spans="1:7" ht="15">
      <c r="A923" s="17"/>
      <c r="B923" s="18"/>
      <c r="C923" s="18"/>
      <c r="D923" s="18"/>
      <c r="E923" s="18"/>
      <c r="F923" s="44"/>
      <c r="G923" s="44"/>
    </row>
    <row r="924" spans="1:7" ht="15">
      <c r="A924" s="17"/>
      <c r="B924" s="18"/>
      <c r="C924" s="18"/>
      <c r="D924" s="18"/>
      <c r="E924" s="18"/>
      <c r="F924" s="44"/>
      <c r="G924" s="44"/>
    </row>
    <row r="925" spans="1:7" ht="15">
      <c r="A925" s="17"/>
      <c r="B925" s="18"/>
      <c r="C925" s="18"/>
      <c r="D925" s="18"/>
      <c r="E925" s="18"/>
      <c r="F925" s="44"/>
      <c r="G925" s="44"/>
    </row>
    <row r="926" spans="1:7" ht="15">
      <c r="A926" s="17"/>
      <c r="B926" s="18"/>
      <c r="C926" s="18"/>
      <c r="D926" s="18"/>
      <c r="E926" s="18"/>
      <c r="F926" s="44"/>
      <c r="G926" s="44"/>
    </row>
    <row r="927" spans="1:7" ht="15">
      <c r="A927" s="17"/>
      <c r="B927" s="18"/>
      <c r="C927" s="18"/>
      <c r="D927" s="18"/>
      <c r="E927" s="18"/>
      <c r="F927" s="44"/>
      <c r="G927" s="44"/>
    </row>
    <row r="928" spans="1:7" ht="15">
      <c r="A928" s="17"/>
      <c r="B928" s="18"/>
      <c r="C928" s="18"/>
      <c r="D928" s="18"/>
      <c r="E928" s="18"/>
      <c r="F928" s="44"/>
      <c r="G928" s="44"/>
    </row>
    <row r="929" spans="1:7" ht="15">
      <c r="A929" s="17"/>
      <c r="B929" s="18"/>
      <c r="C929" s="18"/>
      <c r="D929" s="18"/>
      <c r="E929" s="18"/>
      <c r="F929" s="44"/>
      <c r="G929" s="44"/>
    </row>
    <row r="930" spans="1:7" ht="15">
      <c r="A930" s="17"/>
      <c r="B930" s="18"/>
      <c r="C930" s="18"/>
      <c r="D930" s="18"/>
      <c r="E930" s="18"/>
      <c r="F930" s="44"/>
      <c r="G930" s="44"/>
    </row>
    <row r="931" spans="1:7" ht="15">
      <c r="A931" s="17"/>
      <c r="B931" s="18"/>
      <c r="C931" s="18"/>
      <c r="D931" s="18"/>
      <c r="E931" s="18"/>
      <c r="F931" s="44"/>
      <c r="G931" s="44"/>
    </row>
    <row r="932" spans="1:7" ht="15">
      <c r="A932" s="17"/>
      <c r="B932" s="18"/>
      <c r="C932" s="18"/>
      <c r="D932" s="18"/>
      <c r="E932" s="18"/>
      <c r="F932" s="44"/>
      <c r="G932" s="44"/>
    </row>
    <row r="933" spans="1:7" ht="15">
      <c r="A933" s="17"/>
      <c r="B933" s="18"/>
      <c r="C933" s="18"/>
      <c r="D933" s="18"/>
      <c r="E933" s="18"/>
      <c r="F933" s="44"/>
      <c r="G933" s="44"/>
    </row>
    <row r="934" spans="1:7" ht="15">
      <c r="A934" s="17"/>
      <c r="B934" s="18"/>
      <c r="C934" s="18"/>
      <c r="D934" s="18"/>
      <c r="E934" s="18"/>
      <c r="F934" s="44"/>
      <c r="G934" s="44"/>
    </row>
    <row r="935" spans="1:7" ht="15">
      <c r="A935" s="17"/>
      <c r="B935" s="18"/>
      <c r="C935" s="18"/>
      <c r="D935" s="18"/>
      <c r="E935" s="18"/>
      <c r="F935" s="44"/>
      <c r="G935" s="44"/>
    </row>
    <row r="936" spans="1:7" ht="15">
      <c r="A936" s="17"/>
      <c r="B936" s="18"/>
      <c r="C936" s="18"/>
      <c r="D936" s="18"/>
      <c r="E936" s="18"/>
      <c r="F936" s="44"/>
      <c r="G936" s="44"/>
    </row>
    <row r="937" spans="1:7" ht="15">
      <c r="A937" s="17"/>
      <c r="B937" s="18"/>
      <c r="C937" s="18"/>
      <c r="D937" s="18"/>
      <c r="E937" s="18"/>
      <c r="F937" s="44"/>
      <c r="G937" s="44"/>
    </row>
    <row r="938" spans="1:7" ht="15">
      <c r="A938" s="17"/>
      <c r="B938" s="18"/>
      <c r="C938" s="18"/>
      <c r="D938" s="18"/>
      <c r="E938" s="18"/>
      <c r="F938" s="44"/>
      <c r="G938" s="44"/>
    </row>
    <row r="939" spans="1:7" ht="15">
      <c r="A939" s="17"/>
      <c r="B939" s="18"/>
      <c r="C939" s="18"/>
      <c r="D939" s="18"/>
      <c r="E939" s="18"/>
      <c r="F939" s="44"/>
      <c r="G939" s="44"/>
    </row>
    <row r="940" spans="1:7" ht="15">
      <c r="A940" s="17"/>
      <c r="B940" s="18"/>
      <c r="C940" s="18"/>
      <c r="D940" s="18"/>
      <c r="E940" s="18"/>
      <c r="F940" s="44"/>
      <c r="G940" s="44"/>
    </row>
    <row r="941" spans="1:7" ht="15">
      <c r="A941" s="17"/>
      <c r="B941" s="18"/>
      <c r="C941" s="18"/>
      <c r="D941" s="18"/>
      <c r="E941" s="18"/>
      <c r="F941" s="44"/>
      <c r="G941" s="44"/>
    </row>
    <row r="942" spans="1:7" ht="15">
      <c r="A942" s="17"/>
      <c r="B942" s="18"/>
      <c r="C942" s="18"/>
      <c r="D942" s="18"/>
      <c r="E942" s="18"/>
      <c r="F942" s="44"/>
      <c r="G942" s="44"/>
    </row>
    <row r="943" spans="1:7" ht="15">
      <c r="A943" s="17"/>
      <c r="B943" s="18"/>
      <c r="C943" s="18"/>
      <c r="D943" s="18"/>
      <c r="E943" s="18"/>
      <c r="F943" s="44"/>
      <c r="G943" s="44"/>
    </row>
    <row r="944" spans="1:7" ht="15">
      <c r="A944" s="17"/>
      <c r="B944" s="18"/>
      <c r="C944" s="18"/>
      <c r="D944" s="18"/>
      <c r="E944" s="18"/>
      <c r="F944" s="44"/>
      <c r="G944" s="44"/>
    </row>
    <row r="945" spans="1:7" ht="15">
      <c r="A945" s="17"/>
      <c r="B945" s="18"/>
      <c r="C945" s="18"/>
      <c r="D945" s="18"/>
      <c r="E945" s="18"/>
      <c r="F945" s="44"/>
      <c r="G945" s="44"/>
    </row>
    <row r="946" spans="1:7" ht="15">
      <c r="A946" s="17"/>
      <c r="B946" s="18"/>
      <c r="C946" s="18"/>
      <c r="D946" s="18"/>
      <c r="E946" s="18"/>
      <c r="F946" s="44"/>
      <c r="G946" s="44"/>
    </row>
    <row r="947" spans="1:7" ht="15">
      <c r="A947" s="17"/>
      <c r="B947" s="18"/>
      <c r="C947" s="18"/>
      <c r="D947" s="18"/>
      <c r="E947" s="18"/>
      <c r="F947" s="44"/>
      <c r="G947" s="44"/>
    </row>
    <row r="948" spans="1:7" ht="15">
      <c r="A948" s="17"/>
      <c r="B948" s="18"/>
      <c r="C948" s="18"/>
      <c r="D948" s="18"/>
      <c r="E948" s="18"/>
      <c r="F948" s="44"/>
      <c r="G948" s="44"/>
    </row>
    <row r="949" spans="1:7" ht="15">
      <c r="A949" s="17"/>
      <c r="B949" s="18"/>
      <c r="C949" s="18"/>
      <c r="D949" s="18"/>
      <c r="E949" s="18"/>
      <c r="F949" s="44"/>
      <c r="G949" s="44"/>
    </row>
    <row r="950" spans="1:7" ht="15">
      <c r="A950" s="17"/>
      <c r="B950" s="18"/>
      <c r="C950" s="18"/>
      <c r="D950" s="18"/>
      <c r="E950" s="18"/>
      <c r="F950" s="44"/>
      <c r="G950" s="44"/>
    </row>
    <row r="951" spans="1:7" ht="15">
      <c r="A951" s="17"/>
      <c r="B951" s="18"/>
      <c r="C951" s="18"/>
      <c r="D951" s="18"/>
      <c r="E951" s="18"/>
      <c r="F951" s="44"/>
      <c r="G951" s="44"/>
    </row>
    <row r="952" spans="1:7" ht="15">
      <c r="A952" s="17"/>
      <c r="B952" s="18"/>
      <c r="C952" s="18"/>
      <c r="D952" s="18"/>
      <c r="E952" s="18"/>
      <c r="F952" s="44"/>
      <c r="G952" s="44"/>
    </row>
    <row r="953" spans="1:7" ht="15">
      <c r="A953" s="17"/>
      <c r="B953" s="18"/>
      <c r="C953" s="18"/>
      <c r="D953" s="18"/>
      <c r="E953" s="18"/>
      <c r="F953" s="44"/>
      <c r="G953" s="44"/>
    </row>
    <row r="954" spans="1:7" ht="15">
      <c r="A954" s="17"/>
      <c r="B954" s="18"/>
      <c r="C954" s="18"/>
      <c r="D954" s="18"/>
      <c r="E954" s="18"/>
      <c r="F954" s="44"/>
      <c r="G954" s="44"/>
    </row>
    <row r="955" spans="1:7" ht="15">
      <c r="A955" s="17"/>
      <c r="B955" s="18"/>
      <c r="C955" s="18"/>
      <c r="D955" s="18"/>
      <c r="E955" s="18"/>
      <c r="F955" s="44"/>
      <c r="G955" s="44"/>
    </row>
    <row r="956" spans="1:7" ht="15">
      <c r="A956" s="17"/>
      <c r="B956" s="18"/>
      <c r="C956" s="18"/>
      <c r="D956" s="18"/>
      <c r="E956" s="18"/>
      <c r="F956" s="44"/>
      <c r="G956" s="44"/>
    </row>
    <row r="957" spans="1:7" ht="15">
      <c r="A957" s="17"/>
      <c r="B957" s="18"/>
      <c r="C957" s="18"/>
      <c r="D957" s="18"/>
      <c r="E957" s="18"/>
      <c r="F957" s="44"/>
      <c r="G957" s="44"/>
    </row>
    <row r="958" spans="1:7" ht="15">
      <c r="A958" s="17"/>
      <c r="B958" s="18"/>
      <c r="C958" s="18"/>
      <c r="D958" s="18"/>
      <c r="E958" s="18"/>
      <c r="F958" s="44"/>
      <c r="G958" s="44"/>
    </row>
    <row r="959" spans="1:7" ht="15">
      <c r="A959" s="17"/>
      <c r="B959" s="18"/>
      <c r="C959" s="18"/>
      <c r="D959" s="18"/>
      <c r="E959" s="18"/>
      <c r="F959" s="44"/>
      <c r="G959" s="44"/>
    </row>
    <row r="960" spans="1:7" ht="15">
      <c r="A960" s="17"/>
      <c r="B960" s="18"/>
      <c r="C960" s="18"/>
      <c r="D960" s="18"/>
      <c r="E960" s="18"/>
      <c r="F960" s="44"/>
      <c r="G960" s="44"/>
    </row>
    <row r="961" spans="1:7" ht="15">
      <c r="A961" s="17"/>
      <c r="B961" s="18"/>
      <c r="C961" s="18"/>
      <c r="D961" s="18"/>
      <c r="E961" s="18"/>
      <c r="F961" s="44"/>
      <c r="G961" s="44"/>
    </row>
    <row r="962" spans="1:7" ht="15">
      <c r="A962" s="17"/>
      <c r="B962" s="18"/>
      <c r="C962" s="18"/>
      <c r="D962" s="18"/>
      <c r="E962" s="18"/>
      <c r="F962" s="44"/>
      <c r="G962" s="44"/>
    </row>
    <row r="963" spans="1:7" ht="15">
      <c r="A963" s="17"/>
      <c r="B963" s="18"/>
      <c r="C963" s="18"/>
      <c r="D963" s="18"/>
      <c r="E963" s="18"/>
      <c r="F963" s="44"/>
      <c r="G963" s="44"/>
    </row>
    <row r="964" spans="1:7" ht="15">
      <c r="A964" s="17"/>
      <c r="B964" s="18"/>
      <c r="C964" s="18"/>
      <c r="D964" s="18"/>
      <c r="E964" s="18"/>
      <c r="F964" s="44"/>
      <c r="G964" s="44"/>
    </row>
    <row r="965" spans="1:7" ht="15">
      <c r="A965" s="17"/>
      <c r="B965" s="18"/>
      <c r="C965" s="18"/>
      <c r="D965" s="18"/>
      <c r="E965" s="18"/>
      <c r="F965" s="44"/>
      <c r="G965" s="44"/>
    </row>
    <row r="966" spans="1:7" ht="15">
      <c r="A966" s="17"/>
      <c r="B966" s="18"/>
      <c r="C966" s="18"/>
      <c r="D966" s="18"/>
      <c r="E966" s="18"/>
      <c r="F966" s="44"/>
      <c r="G966" s="44"/>
    </row>
    <row r="967" spans="1:7" ht="15">
      <c r="A967" s="17"/>
      <c r="B967" s="18"/>
      <c r="C967" s="18"/>
      <c r="D967" s="18"/>
      <c r="E967" s="18"/>
      <c r="F967" s="44"/>
      <c r="G967" s="44"/>
    </row>
    <row r="968" spans="1:7" ht="15">
      <c r="A968" s="17"/>
      <c r="B968" s="18"/>
      <c r="C968" s="18"/>
      <c r="D968" s="18"/>
      <c r="E968" s="18"/>
      <c r="F968" s="44"/>
      <c r="G968" s="44"/>
    </row>
    <row r="969" spans="1:7" ht="15">
      <c r="A969" s="17"/>
      <c r="B969" s="18"/>
      <c r="C969" s="18"/>
      <c r="D969" s="18"/>
      <c r="E969" s="18"/>
      <c r="F969" s="44"/>
      <c r="G969" s="44"/>
    </row>
    <row r="970" spans="1:7" ht="15">
      <c r="A970" s="17"/>
      <c r="B970" s="18"/>
      <c r="C970" s="18"/>
      <c r="D970" s="18"/>
      <c r="E970" s="18"/>
      <c r="F970" s="44"/>
      <c r="G970" s="44"/>
    </row>
    <row r="971" spans="1:7" ht="15">
      <c r="A971" s="17"/>
      <c r="B971" s="18"/>
      <c r="C971" s="18"/>
      <c r="D971" s="18"/>
      <c r="E971" s="18"/>
      <c r="F971" s="44"/>
      <c r="G971" s="44"/>
    </row>
    <row r="972" spans="1:7" ht="15">
      <c r="A972" s="17"/>
      <c r="B972" s="18"/>
      <c r="C972" s="18"/>
      <c r="D972" s="18"/>
      <c r="E972" s="18"/>
      <c r="F972" s="44"/>
      <c r="G972" s="44"/>
    </row>
    <row r="973" spans="1:7" ht="15">
      <c r="A973" s="17"/>
      <c r="B973" s="18"/>
      <c r="C973" s="18"/>
      <c r="D973" s="18"/>
      <c r="E973" s="18"/>
      <c r="F973" s="44"/>
      <c r="G973" s="44"/>
    </row>
    <row r="974" spans="1:7" ht="15">
      <c r="A974" s="17"/>
      <c r="B974" s="18"/>
      <c r="C974" s="18"/>
      <c r="D974" s="18"/>
      <c r="E974" s="18"/>
      <c r="F974" s="44"/>
      <c r="G974" s="44"/>
    </row>
    <row r="975" spans="1:7" ht="15">
      <c r="A975" s="17"/>
      <c r="B975" s="18"/>
      <c r="C975" s="18"/>
      <c r="D975" s="18"/>
      <c r="E975" s="18"/>
      <c r="F975" s="44"/>
      <c r="G975" s="44"/>
    </row>
    <row r="976" spans="1:7" ht="15">
      <c r="A976" s="17"/>
      <c r="B976" s="18"/>
      <c r="C976" s="18"/>
      <c r="D976" s="18"/>
      <c r="E976" s="18"/>
      <c r="F976" s="44"/>
      <c r="G976" s="44"/>
    </row>
    <row r="977" spans="1:7" ht="15">
      <c r="A977" s="17"/>
      <c r="B977" s="18"/>
      <c r="C977" s="18"/>
      <c r="D977" s="18"/>
      <c r="E977" s="18"/>
      <c r="F977" s="44"/>
      <c r="G977" s="44"/>
    </row>
    <row r="978" spans="1:7" ht="15">
      <c r="A978" s="17"/>
      <c r="B978" s="18"/>
      <c r="C978" s="18"/>
      <c r="D978" s="18"/>
      <c r="E978" s="18"/>
      <c r="F978" s="44"/>
      <c r="G978" s="44"/>
    </row>
    <row r="979" spans="1:7" ht="15">
      <c r="A979" s="17"/>
      <c r="B979" s="18"/>
      <c r="C979" s="18"/>
      <c r="D979" s="18"/>
      <c r="E979" s="18"/>
      <c r="F979" s="44"/>
      <c r="G979" s="44"/>
    </row>
    <row r="980" spans="1:7" ht="15">
      <c r="A980" s="17"/>
      <c r="B980" s="18"/>
      <c r="C980" s="18"/>
      <c r="D980" s="18"/>
      <c r="E980" s="18"/>
      <c r="F980" s="44"/>
      <c r="G980" s="44"/>
    </row>
    <row r="981" spans="1:7" ht="15">
      <c r="A981" s="17"/>
      <c r="B981" s="18"/>
      <c r="C981" s="18"/>
      <c r="D981" s="18"/>
      <c r="E981" s="18"/>
      <c r="F981" s="44"/>
      <c r="G981" s="44"/>
    </row>
    <row r="982" spans="1:7" ht="15">
      <c r="A982" s="17"/>
      <c r="B982" s="18"/>
      <c r="C982" s="18"/>
      <c r="D982" s="18"/>
      <c r="E982" s="18"/>
      <c r="F982" s="44"/>
      <c r="G982" s="44"/>
    </row>
    <row r="983" spans="1:7" ht="15">
      <c r="A983" s="17"/>
      <c r="B983" s="18"/>
      <c r="C983" s="18"/>
      <c r="D983" s="18"/>
      <c r="E983" s="18"/>
      <c r="F983" s="44"/>
      <c r="G983" s="44"/>
    </row>
    <row r="984" spans="1:7" ht="15">
      <c r="A984" s="17"/>
      <c r="B984" s="18"/>
      <c r="C984" s="18"/>
      <c r="D984" s="18"/>
      <c r="E984" s="18"/>
      <c r="F984" s="44"/>
      <c r="G984" s="44"/>
    </row>
    <row r="985" spans="1:7" ht="15">
      <c r="A985" s="17"/>
      <c r="B985" s="18"/>
      <c r="C985" s="18"/>
      <c r="D985" s="18"/>
      <c r="E985" s="18"/>
      <c r="F985" s="44"/>
      <c r="G985" s="44"/>
    </row>
    <row r="986" spans="1:7" ht="15">
      <c r="A986" s="17"/>
      <c r="B986" s="18"/>
      <c r="C986" s="18"/>
      <c r="D986" s="18"/>
      <c r="E986" s="18"/>
      <c r="F986" s="44"/>
      <c r="G986" s="44"/>
    </row>
    <row r="987" spans="1:7" ht="15">
      <c r="A987" s="17"/>
      <c r="B987" s="18"/>
      <c r="C987" s="18"/>
      <c r="D987" s="18"/>
      <c r="E987" s="18"/>
      <c r="F987" s="44"/>
      <c r="G987" s="44"/>
    </row>
    <row r="988" spans="1:7" ht="15">
      <c r="A988" s="17"/>
      <c r="B988" s="18"/>
      <c r="C988" s="18"/>
      <c r="D988" s="18"/>
      <c r="E988" s="18"/>
      <c r="F988" s="44"/>
      <c r="G988" s="44"/>
    </row>
    <row r="989" spans="1:7" ht="15">
      <c r="A989" s="17"/>
      <c r="B989" s="18"/>
      <c r="C989" s="18"/>
      <c r="D989" s="18"/>
      <c r="E989" s="18"/>
      <c r="F989" s="44"/>
      <c r="G989" s="44"/>
    </row>
    <row r="990" spans="1:7" ht="15">
      <c r="A990" s="17"/>
      <c r="B990" s="18"/>
      <c r="C990" s="18"/>
      <c r="D990" s="18"/>
      <c r="E990" s="18"/>
      <c r="F990" s="44"/>
      <c r="G990" s="44"/>
    </row>
    <row r="991" spans="1:7" ht="15">
      <c r="A991" s="17"/>
      <c r="B991" s="18"/>
      <c r="C991" s="18"/>
      <c r="D991" s="18"/>
      <c r="E991" s="18"/>
      <c r="F991" s="44"/>
      <c r="G991" s="44"/>
    </row>
    <row r="992" spans="1:7" ht="15">
      <c r="A992" s="17"/>
      <c r="B992" s="18"/>
      <c r="C992" s="18"/>
      <c r="D992" s="18"/>
      <c r="E992" s="18"/>
      <c r="F992" s="44"/>
      <c r="G992" s="44"/>
    </row>
    <row r="993" spans="1:7" ht="15">
      <c r="A993" s="17"/>
      <c r="B993" s="18"/>
      <c r="C993" s="18"/>
      <c r="D993" s="18"/>
      <c r="E993" s="18"/>
      <c r="F993" s="44"/>
      <c r="G993" s="44"/>
    </row>
    <row r="994" spans="1:7" ht="15">
      <c r="A994" s="17"/>
      <c r="B994" s="18"/>
      <c r="C994" s="18"/>
      <c r="D994" s="18"/>
      <c r="E994" s="18"/>
      <c r="F994" s="44"/>
      <c r="G994" s="44"/>
    </row>
    <row r="995" spans="1:7" ht="15">
      <c r="A995" s="17"/>
      <c r="B995" s="18"/>
      <c r="C995" s="18"/>
      <c r="D995" s="18"/>
      <c r="E995" s="18"/>
      <c r="F995" s="44"/>
      <c r="G995" s="44"/>
    </row>
    <row r="996" spans="1:7" ht="15">
      <c r="A996" s="17"/>
      <c r="B996" s="18"/>
      <c r="C996" s="18"/>
      <c r="D996" s="18"/>
      <c r="E996" s="18"/>
      <c r="F996" s="44"/>
      <c r="G996" s="44"/>
    </row>
    <row r="997" spans="1:7" ht="15">
      <c r="A997" s="17"/>
      <c r="B997" s="18"/>
      <c r="C997" s="18"/>
      <c r="D997" s="18"/>
      <c r="E997" s="18"/>
      <c r="F997" s="44"/>
      <c r="G997" s="44"/>
    </row>
    <row r="998" spans="1:7" ht="15">
      <c r="A998" s="17"/>
      <c r="B998" s="18"/>
      <c r="C998" s="18"/>
      <c r="D998" s="18"/>
      <c r="E998" s="18"/>
      <c r="F998" s="44"/>
      <c r="G998" s="44"/>
    </row>
    <row r="999" spans="1:7" ht="15">
      <c r="A999" s="17"/>
      <c r="B999" s="18"/>
      <c r="C999" s="18"/>
      <c r="D999" s="18"/>
      <c r="E999" s="18"/>
      <c r="F999" s="44"/>
      <c r="G999" s="44"/>
    </row>
    <row r="1000" spans="1:7" ht="15">
      <c r="A1000" s="17"/>
      <c r="B1000" s="18"/>
      <c r="C1000" s="18"/>
      <c r="D1000" s="18"/>
      <c r="E1000" s="18"/>
      <c r="F1000" s="44"/>
      <c r="G1000" s="44"/>
    </row>
    <row r="1001" spans="1:7" ht="15">
      <c r="A1001" s="17"/>
      <c r="B1001" s="18"/>
      <c r="C1001" s="18"/>
      <c r="D1001" s="18"/>
      <c r="E1001" s="18"/>
      <c r="F1001" s="44"/>
      <c r="G1001" s="44"/>
    </row>
    <row r="1002" spans="1:7" ht="15">
      <c r="A1002" s="17"/>
      <c r="B1002" s="18"/>
      <c r="C1002" s="18"/>
      <c r="D1002" s="18"/>
      <c r="E1002" s="18"/>
      <c r="F1002" s="44"/>
      <c r="G1002" s="44"/>
    </row>
    <row r="1003" spans="1:7" ht="15">
      <c r="A1003" s="17"/>
      <c r="B1003" s="18"/>
      <c r="C1003" s="18"/>
      <c r="D1003" s="18"/>
      <c r="E1003" s="18"/>
      <c r="F1003" s="44"/>
      <c r="G1003" s="44"/>
    </row>
    <row r="1004" spans="1:7" ht="15">
      <c r="A1004" s="17"/>
      <c r="B1004" s="18"/>
      <c r="C1004" s="18"/>
      <c r="D1004" s="18"/>
      <c r="E1004" s="18"/>
      <c r="F1004" s="44"/>
      <c r="G1004" s="44"/>
    </row>
    <row r="1005" spans="1:7" ht="15">
      <c r="A1005" s="17"/>
      <c r="B1005" s="18"/>
      <c r="C1005" s="18"/>
      <c r="D1005" s="18"/>
      <c r="E1005" s="18"/>
      <c r="F1005" s="44"/>
      <c r="G1005" s="44"/>
    </row>
    <row r="1006" spans="1:7" ht="15">
      <c r="A1006" s="17"/>
      <c r="B1006" s="18"/>
      <c r="C1006" s="18"/>
      <c r="D1006" s="18"/>
      <c r="E1006" s="18"/>
      <c r="F1006" s="44"/>
      <c r="G1006" s="44"/>
    </row>
    <row r="1007" spans="1:7" ht="15">
      <c r="A1007" s="17"/>
      <c r="B1007" s="18"/>
      <c r="C1007" s="18"/>
      <c r="D1007" s="18"/>
      <c r="E1007" s="18"/>
      <c r="F1007" s="44"/>
      <c r="G1007" s="44"/>
    </row>
    <row r="1008" spans="1:7" ht="15">
      <c r="A1008" s="17"/>
      <c r="B1008" s="18"/>
      <c r="C1008" s="18"/>
      <c r="D1008" s="18"/>
      <c r="E1008" s="18"/>
      <c r="F1008" s="44"/>
      <c r="G1008" s="44"/>
    </row>
    <row r="1009" spans="1:7" ht="15">
      <c r="A1009" s="17"/>
      <c r="B1009" s="18"/>
      <c r="C1009" s="18"/>
      <c r="D1009" s="18"/>
      <c r="E1009" s="18"/>
      <c r="F1009" s="44"/>
      <c r="G1009" s="44"/>
    </row>
    <row r="1010" spans="1:7" ht="15">
      <c r="A1010" s="17"/>
      <c r="B1010" s="18"/>
      <c r="C1010" s="18"/>
      <c r="D1010" s="18"/>
      <c r="E1010" s="18"/>
      <c r="F1010" s="44"/>
      <c r="G1010" s="44"/>
    </row>
    <row r="1011" spans="1:7" ht="15">
      <c r="A1011" s="17"/>
      <c r="B1011" s="18"/>
      <c r="C1011" s="18"/>
      <c r="D1011" s="18"/>
      <c r="E1011" s="18"/>
      <c r="F1011" s="44"/>
      <c r="G1011" s="44"/>
    </row>
    <row r="1012" spans="1:7" ht="15">
      <c r="A1012" s="17"/>
      <c r="B1012" s="18"/>
      <c r="C1012" s="18"/>
      <c r="D1012" s="18"/>
      <c r="E1012" s="18"/>
      <c r="F1012" s="44"/>
      <c r="G1012" s="44"/>
    </row>
    <row r="1013" spans="1:7" ht="15">
      <c r="A1013" s="17"/>
      <c r="B1013" s="18"/>
      <c r="C1013" s="18"/>
      <c r="D1013" s="18"/>
      <c r="E1013" s="18"/>
      <c r="F1013" s="44"/>
      <c r="G1013" s="44"/>
    </row>
    <row r="1014" spans="1:7" ht="15">
      <c r="A1014" s="17"/>
      <c r="B1014" s="18"/>
      <c r="C1014" s="18"/>
      <c r="D1014" s="18"/>
      <c r="E1014" s="18"/>
      <c r="F1014" s="44"/>
      <c r="G1014" s="44"/>
    </row>
    <row r="1015" spans="1:7" ht="15">
      <c r="A1015" s="17"/>
      <c r="B1015" s="18"/>
      <c r="C1015" s="18"/>
      <c r="D1015" s="18"/>
      <c r="E1015" s="18"/>
      <c r="F1015" s="44"/>
      <c r="G1015" s="44"/>
    </row>
    <row r="1016" spans="1:7" ht="15">
      <c r="A1016" s="17"/>
      <c r="B1016" s="18"/>
      <c r="C1016" s="18"/>
      <c r="D1016" s="18"/>
      <c r="E1016" s="18"/>
      <c r="F1016" s="44"/>
      <c r="G1016" s="44"/>
    </row>
    <row r="1017" spans="1:7" ht="15">
      <c r="A1017" s="17"/>
      <c r="B1017" s="18"/>
      <c r="C1017" s="18"/>
      <c r="D1017" s="18"/>
      <c r="E1017" s="18"/>
      <c r="F1017" s="44"/>
      <c r="G1017" s="44"/>
    </row>
    <row r="1018" spans="1:7" ht="15">
      <c r="A1018" s="17"/>
      <c r="B1018" s="18"/>
      <c r="C1018" s="18"/>
      <c r="D1018" s="18"/>
      <c r="E1018" s="18"/>
      <c r="F1018" s="44"/>
      <c r="G1018" s="44"/>
    </row>
    <row r="1019" spans="1:7" ht="15">
      <c r="A1019" s="17"/>
      <c r="B1019" s="18"/>
      <c r="C1019" s="18"/>
      <c r="D1019" s="18"/>
      <c r="E1019" s="18"/>
      <c r="F1019" s="44"/>
      <c r="G1019" s="44"/>
    </row>
    <row r="1020" spans="1:7" ht="15">
      <c r="A1020" s="17"/>
      <c r="B1020" s="18"/>
      <c r="C1020" s="18"/>
      <c r="D1020" s="18"/>
      <c r="E1020" s="18"/>
      <c r="F1020" s="44"/>
      <c r="G1020" s="44"/>
    </row>
    <row r="1021" spans="1:7" ht="15">
      <c r="A1021" s="17"/>
      <c r="B1021" s="18"/>
      <c r="C1021" s="18"/>
      <c r="D1021" s="18"/>
      <c r="E1021" s="18"/>
      <c r="F1021" s="44"/>
      <c r="G1021" s="44"/>
    </row>
    <row r="1022" spans="2:5" ht="15">
      <c r="B1022" s="19"/>
      <c r="C1022" s="19"/>
      <c r="D1022" s="19"/>
      <c r="E1022" s="19"/>
    </row>
    <row r="1023" spans="2:5" ht="15">
      <c r="B1023" s="19"/>
      <c r="C1023" s="19"/>
      <c r="D1023" s="19"/>
      <c r="E1023" s="19"/>
    </row>
    <row r="1024" spans="2:5" ht="15">
      <c r="B1024" s="19"/>
      <c r="C1024" s="19"/>
      <c r="D1024" s="19"/>
      <c r="E1024" s="19"/>
    </row>
    <row r="1025" spans="2:5" ht="15">
      <c r="B1025" s="19"/>
      <c r="C1025" s="19"/>
      <c r="D1025" s="19"/>
      <c r="E1025" s="19"/>
    </row>
    <row r="1026" spans="2:5" ht="15">
      <c r="B1026" s="19"/>
      <c r="C1026" s="19"/>
      <c r="D1026" s="19"/>
      <c r="E1026" s="19"/>
    </row>
    <row r="1027" spans="2:5" ht="15">
      <c r="B1027" s="19"/>
      <c r="C1027" s="19"/>
      <c r="D1027" s="19"/>
      <c r="E1027" s="19"/>
    </row>
    <row r="1028" spans="2:5" ht="15">
      <c r="B1028" s="19"/>
      <c r="C1028" s="19"/>
      <c r="D1028" s="19"/>
      <c r="E1028" s="19"/>
    </row>
    <row r="1029" spans="2:5" ht="15">
      <c r="B1029" s="19"/>
      <c r="C1029" s="19"/>
      <c r="D1029" s="19"/>
      <c r="E1029" s="19"/>
    </row>
    <row r="1030" spans="2:5" ht="15">
      <c r="B1030" s="19"/>
      <c r="C1030" s="19"/>
      <c r="D1030" s="19"/>
      <c r="E1030" s="19"/>
    </row>
    <row r="1031" spans="2:5" ht="15">
      <c r="B1031" s="19"/>
      <c r="C1031" s="19"/>
      <c r="D1031" s="19"/>
      <c r="E1031" s="19"/>
    </row>
    <row r="1032" spans="2:5" ht="15">
      <c r="B1032" s="19"/>
      <c r="C1032" s="19"/>
      <c r="D1032" s="19"/>
      <c r="E1032" s="19"/>
    </row>
    <row r="1033" spans="2:5" ht="15">
      <c r="B1033" s="19"/>
      <c r="C1033" s="19"/>
      <c r="D1033" s="19"/>
      <c r="E1033" s="19"/>
    </row>
    <row r="1034" spans="2:5" ht="15">
      <c r="B1034" s="19"/>
      <c r="C1034" s="19"/>
      <c r="D1034" s="19"/>
      <c r="E1034" s="19"/>
    </row>
    <row r="1035" spans="2:5" ht="15">
      <c r="B1035" s="19"/>
      <c r="C1035" s="19"/>
      <c r="D1035" s="19"/>
      <c r="E1035" s="19"/>
    </row>
    <row r="1036" spans="2:5" ht="15">
      <c r="B1036" s="19"/>
      <c r="C1036" s="19"/>
      <c r="D1036" s="19"/>
      <c r="E1036" s="19"/>
    </row>
    <row r="1037" spans="2:5" ht="15">
      <c r="B1037" s="19"/>
      <c r="C1037" s="19"/>
      <c r="D1037" s="19"/>
      <c r="E1037" s="19"/>
    </row>
    <row r="1038" spans="2:5" ht="15">
      <c r="B1038" s="19"/>
      <c r="C1038" s="19"/>
      <c r="D1038" s="19"/>
      <c r="E1038" s="19"/>
    </row>
    <row r="1039" spans="2:5" ht="15">
      <c r="B1039" s="19"/>
      <c r="C1039" s="19"/>
      <c r="D1039" s="19"/>
      <c r="E1039" s="19"/>
    </row>
    <row r="1040" spans="2:5" ht="15">
      <c r="B1040" s="19"/>
      <c r="C1040" s="19"/>
      <c r="D1040" s="19"/>
      <c r="E1040" s="19"/>
    </row>
    <row r="1041" spans="2:5" ht="15">
      <c r="B1041" s="19"/>
      <c r="C1041" s="19"/>
      <c r="D1041" s="19"/>
      <c r="E1041" s="19"/>
    </row>
    <row r="1042" spans="2:5" ht="15">
      <c r="B1042" s="19"/>
      <c r="C1042" s="19"/>
      <c r="D1042" s="19"/>
      <c r="E1042" s="19"/>
    </row>
    <row r="1043" spans="2:5" ht="15">
      <c r="B1043" s="19"/>
      <c r="C1043" s="19"/>
      <c r="D1043" s="19"/>
      <c r="E1043" s="19"/>
    </row>
    <row r="1044" spans="2:5" ht="15">
      <c r="B1044" s="19"/>
      <c r="C1044" s="19"/>
      <c r="D1044" s="19"/>
      <c r="E1044" s="19"/>
    </row>
    <row r="1045" spans="2:5" ht="15">
      <c r="B1045" s="19"/>
      <c r="C1045" s="19"/>
      <c r="D1045" s="19"/>
      <c r="E1045" s="19"/>
    </row>
    <row r="1046" spans="2:5" ht="15">
      <c r="B1046" s="19"/>
      <c r="C1046" s="19"/>
      <c r="D1046" s="19"/>
      <c r="E1046" s="19"/>
    </row>
    <row r="1047" spans="2:5" ht="15">
      <c r="B1047" s="19"/>
      <c r="C1047" s="19"/>
      <c r="D1047" s="19"/>
      <c r="E1047" s="19"/>
    </row>
    <row r="1048" spans="2:5" ht="15">
      <c r="B1048" s="19"/>
      <c r="C1048" s="19"/>
      <c r="D1048" s="19"/>
      <c r="E1048" s="19"/>
    </row>
    <row r="1049" spans="2:5" ht="15">
      <c r="B1049" s="19"/>
      <c r="C1049" s="19"/>
      <c r="D1049" s="19"/>
      <c r="E1049" s="19"/>
    </row>
    <row r="1050" spans="2:5" ht="15">
      <c r="B1050" s="19"/>
      <c r="C1050" s="19"/>
      <c r="D1050" s="19"/>
      <c r="E1050" s="19"/>
    </row>
    <row r="1051" spans="2:5" ht="15">
      <c r="B1051" s="19"/>
      <c r="C1051" s="19"/>
      <c r="D1051" s="19"/>
      <c r="E1051" s="19"/>
    </row>
    <row r="1052" spans="2:5" ht="15">
      <c r="B1052" s="19"/>
      <c r="C1052" s="19"/>
      <c r="D1052" s="19"/>
      <c r="E1052" s="19"/>
    </row>
    <row r="1053" spans="2:5" ht="15">
      <c r="B1053" s="19"/>
      <c r="C1053" s="19"/>
      <c r="D1053" s="19"/>
      <c r="E1053" s="19"/>
    </row>
    <row r="1054" spans="2:5" ht="15">
      <c r="B1054" s="19"/>
      <c r="C1054" s="19"/>
      <c r="D1054" s="19"/>
      <c r="E1054" s="19"/>
    </row>
    <row r="1055" spans="2:5" ht="15">
      <c r="B1055" s="19"/>
      <c r="C1055" s="19"/>
      <c r="D1055" s="19"/>
      <c r="E1055" s="19"/>
    </row>
    <row r="1056" spans="2:5" ht="15">
      <c r="B1056" s="19"/>
      <c r="C1056" s="19"/>
      <c r="D1056" s="19"/>
      <c r="E1056" s="19"/>
    </row>
    <row r="1057" spans="2:5" ht="15">
      <c r="B1057" s="19"/>
      <c r="C1057" s="19"/>
      <c r="D1057" s="19"/>
      <c r="E1057" s="19"/>
    </row>
    <row r="1058" spans="2:5" ht="15">
      <c r="B1058" s="19"/>
      <c r="C1058" s="19"/>
      <c r="D1058" s="19"/>
      <c r="E1058" s="19"/>
    </row>
    <row r="1059" spans="2:5" ht="15">
      <c r="B1059" s="19"/>
      <c r="C1059" s="19"/>
      <c r="D1059" s="19"/>
      <c r="E1059" s="19"/>
    </row>
    <row r="1060" spans="2:5" ht="15">
      <c r="B1060" s="19"/>
      <c r="C1060" s="19"/>
      <c r="D1060" s="19"/>
      <c r="E1060" s="19"/>
    </row>
    <row r="1061" spans="2:5" ht="15">
      <c r="B1061" s="19"/>
      <c r="C1061" s="19"/>
      <c r="D1061" s="19"/>
      <c r="E1061" s="19"/>
    </row>
    <row r="1062" spans="2:5" ht="15">
      <c r="B1062" s="19"/>
      <c r="C1062" s="19"/>
      <c r="D1062" s="19"/>
      <c r="E1062" s="19"/>
    </row>
    <row r="1063" spans="2:5" ht="15">
      <c r="B1063" s="19"/>
      <c r="C1063" s="19"/>
      <c r="D1063" s="19"/>
      <c r="E1063" s="19"/>
    </row>
    <row r="1064" spans="2:5" ht="15">
      <c r="B1064" s="19"/>
      <c r="C1064" s="19"/>
      <c r="D1064" s="19"/>
      <c r="E1064" s="19"/>
    </row>
    <row r="1065" spans="2:5" ht="15">
      <c r="B1065" s="19"/>
      <c r="C1065" s="19"/>
      <c r="D1065" s="19"/>
      <c r="E1065" s="19"/>
    </row>
    <row r="1066" spans="2:5" ht="15">
      <c r="B1066" s="19"/>
      <c r="C1066" s="19"/>
      <c r="D1066" s="19"/>
      <c r="E1066" s="19"/>
    </row>
    <row r="1067" spans="2:5" ht="15">
      <c r="B1067" s="19"/>
      <c r="C1067" s="19"/>
      <c r="D1067" s="19"/>
      <c r="E1067" s="19"/>
    </row>
    <row r="1068" spans="2:5" ht="15">
      <c r="B1068" s="19"/>
      <c r="C1068" s="19"/>
      <c r="D1068" s="19"/>
      <c r="E1068" s="19"/>
    </row>
    <row r="1069" spans="2:5" ht="15">
      <c r="B1069" s="19"/>
      <c r="C1069" s="19"/>
      <c r="D1069" s="19"/>
      <c r="E1069" s="19"/>
    </row>
    <row r="1070" spans="2:5" ht="15">
      <c r="B1070" s="19"/>
      <c r="C1070" s="19"/>
      <c r="D1070" s="19"/>
      <c r="E1070" s="19"/>
    </row>
    <row r="1071" spans="2:5" ht="15">
      <c r="B1071" s="19"/>
      <c r="C1071" s="19"/>
      <c r="D1071" s="19"/>
      <c r="E1071" s="19"/>
    </row>
    <row r="1072" spans="2:5" ht="15">
      <c r="B1072" s="19"/>
      <c r="C1072" s="19"/>
      <c r="D1072" s="19"/>
      <c r="E1072" s="19"/>
    </row>
    <row r="1073" spans="2:5" ht="15">
      <c r="B1073" s="19"/>
      <c r="C1073" s="19"/>
      <c r="D1073" s="19"/>
      <c r="E1073" s="19"/>
    </row>
    <row r="1074" spans="2:5" ht="15">
      <c r="B1074" s="19"/>
      <c r="C1074" s="19"/>
      <c r="D1074" s="19"/>
      <c r="E1074" s="19"/>
    </row>
    <row r="1075" spans="2:5" ht="15">
      <c r="B1075" s="19"/>
      <c r="C1075" s="19"/>
      <c r="D1075" s="19"/>
      <c r="E1075" s="19"/>
    </row>
    <row r="1076" spans="2:5" ht="15">
      <c r="B1076" s="19"/>
      <c r="C1076" s="19"/>
      <c r="D1076" s="19"/>
      <c r="E1076" s="19"/>
    </row>
    <row r="1077" spans="2:5" ht="15">
      <c r="B1077" s="19"/>
      <c r="C1077" s="19"/>
      <c r="D1077" s="19"/>
      <c r="E1077" s="19"/>
    </row>
    <row r="1078" spans="2:5" ht="15">
      <c r="B1078" s="19"/>
      <c r="C1078" s="19"/>
      <c r="D1078" s="19"/>
      <c r="E1078" s="19"/>
    </row>
    <row r="1079" spans="2:5" ht="15">
      <c r="B1079" s="19"/>
      <c r="C1079" s="19"/>
      <c r="D1079" s="19"/>
      <c r="E1079" s="19"/>
    </row>
    <row r="1080" spans="2:5" ht="15">
      <c r="B1080" s="19"/>
      <c r="C1080" s="19"/>
      <c r="D1080" s="19"/>
      <c r="E1080" s="19"/>
    </row>
    <row r="1081" spans="2:5" ht="15">
      <c r="B1081" s="19"/>
      <c r="C1081" s="19"/>
      <c r="D1081" s="19"/>
      <c r="E1081" s="19"/>
    </row>
    <row r="1082" spans="2:5" ht="15">
      <c r="B1082" s="19"/>
      <c r="C1082" s="19"/>
      <c r="D1082" s="19"/>
      <c r="E1082" s="19"/>
    </row>
    <row r="1083" spans="2:5" ht="15">
      <c r="B1083" s="19"/>
      <c r="C1083" s="19"/>
      <c r="D1083" s="19"/>
      <c r="E1083" s="19"/>
    </row>
    <row r="1084" spans="2:5" ht="15">
      <c r="B1084" s="19"/>
      <c r="C1084" s="19"/>
      <c r="D1084" s="19"/>
      <c r="E1084" s="19"/>
    </row>
    <row r="1085" spans="2:5" ht="15">
      <c r="B1085" s="19"/>
      <c r="C1085" s="19"/>
      <c r="D1085" s="19"/>
      <c r="E1085" s="19"/>
    </row>
    <row r="1086" spans="2:5" ht="15">
      <c r="B1086" s="19"/>
      <c r="C1086" s="19"/>
      <c r="D1086" s="19"/>
      <c r="E1086" s="19"/>
    </row>
    <row r="1087" spans="2:5" ht="15">
      <c r="B1087" s="19"/>
      <c r="C1087" s="19"/>
      <c r="D1087" s="19"/>
      <c r="E1087" s="19"/>
    </row>
    <row r="1088" spans="2:5" ht="15">
      <c r="B1088" s="19"/>
      <c r="C1088" s="19"/>
      <c r="D1088" s="19"/>
      <c r="E1088" s="19"/>
    </row>
  </sheetData>
  <sheetProtection/>
  <mergeCells count="59">
    <mergeCell ref="G41:G42"/>
    <mergeCell ref="F539:F540"/>
    <mergeCell ref="G539:G540"/>
    <mergeCell ref="E41:E42"/>
    <mergeCell ref="B41:B42"/>
    <mergeCell ref="C41:C42"/>
    <mergeCell ref="B539:B540"/>
    <mergeCell ref="C539:C540"/>
    <mergeCell ref="F41:F42"/>
    <mergeCell ref="F1:G1"/>
    <mergeCell ref="C2:G2"/>
    <mergeCell ref="C4:G4"/>
    <mergeCell ref="B759:B760"/>
    <mergeCell ref="C759:C760"/>
    <mergeCell ref="D759:D760"/>
    <mergeCell ref="E759:E760"/>
    <mergeCell ref="D539:D540"/>
    <mergeCell ref="E539:E540"/>
    <mergeCell ref="D41:D42"/>
    <mergeCell ref="D35:D36"/>
    <mergeCell ref="E35:E36"/>
    <mergeCell ref="F35:F36"/>
    <mergeCell ref="G35:G36"/>
    <mergeCell ref="A5:G5"/>
    <mergeCell ref="D3:G3"/>
    <mergeCell ref="B35:B36"/>
    <mergeCell ref="C35:C36"/>
    <mergeCell ref="B761:B762"/>
    <mergeCell ref="C761:C762"/>
    <mergeCell ref="B769:B770"/>
    <mergeCell ref="C769:C770"/>
    <mergeCell ref="B771:B772"/>
    <mergeCell ref="C771:C772"/>
    <mergeCell ref="D807:D808"/>
    <mergeCell ref="E807:E808"/>
    <mergeCell ref="B798:B799"/>
    <mergeCell ref="C798:C799"/>
    <mergeCell ref="D798:D799"/>
    <mergeCell ref="E798:E799"/>
    <mergeCell ref="B807:B808"/>
    <mergeCell ref="C807:C808"/>
    <mergeCell ref="D761:D762"/>
    <mergeCell ref="E761:E762"/>
    <mergeCell ref="F759:F760"/>
    <mergeCell ref="G759:G760"/>
    <mergeCell ref="F761:F762"/>
    <mergeCell ref="G761:G762"/>
    <mergeCell ref="D771:D772"/>
    <mergeCell ref="E771:E772"/>
    <mergeCell ref="F769:F770"/>
    <mergeCell ref="G769:G770"/>
    <mergeCell ref="D769:D770"/>
    <mergeCell ref="E769:E770"/>
    <mergeCell ref="F807:F808"/>
    <mergeCell ref="G807:G808"/>
    <mergeCell ref="F771:F772"/>
    <mergeCell ref="G771:G772"/>
    <mergeCell ref="F798:F799"/>
    <mergeCell ref="G798:G799"/>
  </mergeCells>
  <printOptions horizontalCentered="1"/>
  <pageMargins left="0.5905511811023623" right="0.3937007874015748" top="0.26" bottom="0.25" header="0.29" footer="0.27"/>
  <pageSetup fitToHeight="65" fitToWidth="1" horizontalDpi="600" verticalDpi="600" orientation="portrait" paperSize="9" scale="77" r:id="rId3"/>
  <headerFooter alignWithMargins="0">
    <oddFooter>&amp;CСтраница &amp;P&amp;R&amp;A</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1262"/>
  <sheetViews>
    <sheetView zoomScale="85" zoomScaleNormal="85" zoomScalePageLayoutView="0" workbookViewId="0" topLeftCell="A1">
      <selection activeCell="A5" sqref="A5:H5"/>
    </sheetView>
  </sheetViews>
  <sheetFormatPr defaultColWidth="9.125" defaultRowHeight="12.75"/>
  <cols>
    <col min="1" max="1" width="36.625" style="12" customWidth="1"/>
    <col min="2" max="2" width="8.25390625" style="12" customWidth="1"/>
    <col min="3" max="3" width="6.125" style="12" customWidth="1"/>
    <col min="4" max="4" width="8.75390625" style="12" customWidth="1"/>
    <col min="5" max="5" width="14.875" style="12" customWidth="1"/>
    <col min="6" max="6" width="10.00390625" style="12" customWidth="1"/>
    <col min="7" max="7" width="26.75390625" style="12" customWidth="1"/>
    <col min="8" max="8" width="20.125" style="12" customWidth="1"/>
    <col min="9" max="9" width="15.625" style="26" hidden="1" customWidth="1"/>
    <col min="10" max="10" width="23.75390625" style="12" hidden="1" customWidth="1"/>
    <col min="11" max="11" width="16.25390625" style="12" hidden="1" customWidth="1"/>
    <col min="12" max="12" width="0" style="12" hidden="1" customWidth="1"/>
    <col min="13" max="13" width="34.375" style="158" hidden="1" customWidth="1"/>
    <col min="14" max="14" width="25.00390625" style="12" hidden="1" customWidth="1"/>
    <col min="15" max="15" width="9.125" style="12" customWidth="1"/>
    <col min="16" max="16" width="15.125" style="12" bestFit="1" customWidth="1"/>
    <col min="17" max="16384" width="9.125" style="12" customWidth="1"/>
  </cols>
  <sheetData>
    <row r="1" spans="1:8" ht="15.75">
      <c r="A1" s="266" t="s">
        <v>913</v>
      </c>
      <c r="B1" s="266"/>
      <c r="C1" s="266"/>
      <c r="D1" s="266"/>
      <c r="E1" s="266"/>
      <c r="F1" s="266"/>
      <c r="G1" s="266"/>
      <c r="H1" s="266"/>
    </row>
    <row r="2" spans="2:8" ht="15.75" customHeight="1">
      <c r="B2" s="30"/>
      <c r="C2" s="30"/>
      <c r="D2" s="30"/>
      <c r="E2" s="266" t="s">
        <v>570</v>
      </c>
      <c r="F2" s="266"/>
      <c r="G2" s="266"/>
      <c r="H2" s="266"/>
    </row>
    <row r="3" spans="1:8" ht="15.75">
      <c r="A3" s="30"/>
      <c r="B3" s="30"/>
      <c r="C3" s="30"/>
      <c r="D3" s="30"/>
      <c r="E3" s="266" t="s">
        <v>918</v>
      </c>
      <c r="F3" s="266"/>
      <c r="G3" s="266"/>
      <c r="H3" s="266"/>
    </row>
    <row r="4" spans="3:8" ht="15.75">
      <c r="C4" s="52"/>
      <c r="D4" s="52"/>
      <c r="E4" s="266" t="s">
        <v>1244</v>
      </c>
      <c r="F4" s="266"/>
      <c r="G4" s="266"/>
      <c r="H4" s="266"/>
    </row>
    <row r="5" spans="1:8" ht="62.25" customHeight="1">
      <c r="A5" s="267" t="s">
        <v>733</v>
      </c>
      <c r="B5" s="267"/>
      <c r="C5" s="267"/>
      <c r="D5" s="267"/>
      <c r="E5" s="267"/>
      <c r="F5" s="267"/>
      <c r="G5" s="267"/>
      <c r="H5" s="267"/>
    </row>
    <row r="6" spans="7:8" ht="15.75">
      <c r="G6" s="22"/>
      <c r="H6" s="22" t="s">
        <v>743</v>
      </c>
    </row>
    <row r="7" spans="1:8" ht="139.5" customHeight="1">
      <c r="A7" s="15" t="s">
        <v>915</v>
      </c>
      <c r="B7" s="15" t="s">
        <v>7</v>
      </c>
      <c r="C7" s="15" t="s">
        <v>745</v>
      </c>
      <c r="D7" s="15" t="s">
        <v>56</v>
      </c>
      <c r="E7" s="15" t="s">
        <v>58</v>
      </c>
      <c r="F7" s="15" t="s">
        <v>57</v>
      </c>
      <c r="G7" s="15" t="s">
        <v>916</v>
      </c>
      <c r="H7" s="15" t="s">
        <v>601</v>
      </c>
    </row>
    <row r="8" spans="1:8" ht="15.75">
      <c r="A8" s="15">
        <v>1</v>
      </c>
      <c r="B8" s="15">
        <v>2</v>
      </c>
      <c r="C8" s="15">
        <v>3</v>
      </c>
      <c r="D8" s="15">
        <v>4</v>
      </c>
      <c r="E8" s="15">
        <v>5</v>
      </c>
      <c r="F8" s="15">
        <v>6</v>
      </c>
      <c r="G8" s="15">
        <v>7</v>
      </c>
      <c r="H8" s="15">
        <v>8</v>
      </c>
    </row>
    <row r="9" spans="1:8" ht="135" customHeight="1">
      <c r="A9" s="10" t="s">
        <v>909</v>
      </c>
      <c r="B9" s="11" t="s">
        <v>8</v>
      </c>
      <c r="C9" s="11"/>
      <c r="D9" s="11"/>
      <c r="E9" s="11"/>
      <c r="F9" s="11"/>
      <c r="G9" s="33">
        <f>G10+G42</f>
        <v>7617014.49</v>
      </c>
      <c r="H9" s="35"/>
    </row>
    <row r="10" spans="1:8" ht="31.5">
      <c r="A10" s="1" t="s">
        <v>59</v>
      </c>
      <c r="B10" s="2" t="s">
        <v>8</v>
      </c>
      <c r="C10" s="2" t="s">
        <v>917</v>
      </c>
      <c r="D10" s="2"/>
      <c r="E10" s="9"/>
      <c r="F10" s="9"/>
      <c r="G10" s="33">
        <f>SUM(G11+G18+G25)</f>
        <v>7342456.49</v>
      </c>
      <c r="H10" s="36"/>
    </row>
    <row r="11" spans="1:10" ht="63">
      <c r="A11" s="1" t="s">
        <v>814</v>
      </c>
      <c r="B11" s="2" t="s">
        <v>8</v>
      </c>
      <c r="C11" s="2" t="s">
        <v>917</v>
      </c>
      <c r="D11" s="2" t="s">
        <v>45</v>
      </c>
      <c r="E11" s="2"/>
      <c r="F11" s="2"/>
      <c r="G11" s="33">
        <f>SUM(G12)</f>
        <v>2268855.47</v>
      </c>
      <c r="H11" s="33"/>
      <c r="J11" s="26"/>
    </row>
    <row r="12" spans="1:8" ht="20.25" customHeight="1">
      <c r="A12" s="27" t="s">
        <v>91</v>
      </c>
      <c r="B12" s="4" t="s">
        <v>8</v>
      </c>
      <c r="C12" s="4" t="s">
        <v>917</v>
      </c>
      <c r="D12" s="4" t="s">
        <v>45</v>
      </c>
      <c r="E12" s="4" t="s">
        <v>734</v>
      </c>
      <c r="F12" s="4"/>
      <c r="G12" s="29">
        <f>SUM(G13+G15)</f>
        <v>2268855.47</v>
      </c>
      <c r="H12" s="29"/>
    </row>
    <row r="13" spans="1:8" ht="47.25">
      <c r="A13" s="3" t="s">
        <v>586</v>
      </c>
      <c r="B13" s="4" t="s">
        <v>8</v>
      </c>
      <c r="C13" s="4" t="s">
        <v>917</v>
      </c>
      <c r="D13" s="4" t="s">
        <v>45</v>
      </c>
      <c r="E13" s="4" t="s">
        <v>735</v>
      </c>
      <c r="F13" s="4"/>
      <c r="G13" s="29">
        <f>SUM(G14:G14)</f>
        <v>2268855.47</v>
      </c>
      <c r="H13" s="29"/>
    </row>
    <row r="14" spans="1:10" ht="110.25">
      <c r="A14" s="3" t="s">
        <v>92</v>
      </c>
      <c r="B14" s="4" t="s">
        <v>8</v>
      </c>
      <c r="C14" s="4" t="s">
        <v>917</v>
      </c>
      <c r="D14" s="4" t="s">
        <v>45</v>
      </c>
      <c r="E14" s="4" t="s">
        <v>735</v>
      </c>
      <c r="F14" s="4" t="s">
        <v>604</v>
      </c>
      <c r="G14" s="29">
        <f>2173475+95380.47</f>
        <v>2268855.47</v>
      </c>
      <c r="H14" s="29"/>
      <c r="J14" s="26"/>
    </row>
    <row r="15" spans="1:10" ht="126" customHeight="1" hidden="1">
      <c r="A15" s="3" t="s">
        <v>587</v>
      </c>
      <c r="B15" s="4" t="s">
        <v>8</v>
      </c>
      <c r="C15" s="4" t="s">
        <v>917</v>
      </c>
      <c r="D15" s="4" t="s">
        <v>45</v>
      </c>
      <c r="E15" s="4" t="s">
        <v>702</v>
      </c>
      <c r="F15" s="4"/>
      <c r="G15" s="29">
        <f>SUM(G16:G16)</f>
        <v>0</v>
      </c>
      <c r="H15" s="29"/>
      <c r="J15" s="26"/>
    </row>
    <row r="16" spans="1:10" ht="137.25" customHeight="1" hidden="1">
      <c r="A16" s="3" t="s">
        <v>92</v>
      </c>
      <c r="B16" s="4" t="s">
        <v>8</v>
      </c>
      <c r="C16" s="4" t="s">
        <v>917</v>
      </c>
      <c r="D16" s="4" t="s">
        <v>45</v>
      </c>
      <c r="E16" s="4" t="s">
        <v>702</v>
      </c>
      <c r="F16" s="4" t="s">
        <v>604</v>
      </c>
      <c r="G16" s="29">
        <f>25000-25000</f>
        <v>0</v>
      </c>
      <c r="H16" s="29"/>
      <c r="J16" s="26"/>
    </row>
    <row r="17" spans="1:10" ht="78.75">
      <c r="A17" s="1" t="s">
        <v>610</v>
      </c>
      <c r="B17" s="2" t="s">
        <v>8</v>
      </c>
      <c r="C17" s="2" t="s">
        <v>917</v>
      </c>
      <c r="D17" s="2" t="s">
        <v>47</v>
      </c>
      <c r="E17" s="2"/>
      <c r="F17" s="2"/>
      <c r="G17" s="33">
        <f>G18</f>
        <v>4644342.53</v>
      </c>
      <c r="H17" s="33"/>
      <c r="J17" s="26"/>
    </row>
    <row r="18" spans="1:8" ht="15.75">
      <c r="A18" s="27" t="s">
        <v>91</v>
      </c>
      <c r="B18" s="4" t="s">
        <v>8</v>
      </c>
      <c r="C18" s="4" t="s">
        <v>917</v>
      </c>
      <c r="D18" s="4" t="s">
        <v>47</v>
      </c>
      <c r="E18" s="4" t="s">
        <v>734</v>
      </c>
      <c r="F18" s="4"/>
      <c r="G18" s="29">
        <f>SUM(G19+G21+G23)</f>
        <v>4644342.53</v>
      </c>
      <c r="H18" s="29"/>
    </row>
    <row r="19" spans="1:8" ht="63">
      <c r="A19" s="3" t="s">
        <v>588</v>
      </c>
      <c r="B19" s="4" t="s">
        <v>8</v>
      </c>
      <c r="C19" s="4" t="s">
        <v>917</v>
      </c>
      <c r="D19" s="4" t="s">
        <v>47</v>
      </c>
      <c r="E19" s="4" t="s">
        <v>703</v>
      </c>
      <c r="F19" s="4"/>
      <c r="G19" s="29">
        <f>SUM(G20)</f>
        <v>1656638.54</v>
      </c>
      <c r="H19" s="29"/>
    </row>
    <row r="20" spans="1:8" ht="110.25">
      <c r="A20" s="3" t="s">
        <v>92</v>
      </c>
      <c r="B20" s="4" t="s">
        <v>8</v>
      </c>
      <c r="C20" s="4" t="s">
        <v>917</v>
      </c>
      <c r="D20" s="4" t="s">
        <v>47</v>
      </c>
      <c r="E20" s="4" t="s">
        <v>703</v>
      </c>
      <c r="F20" s="4" t="s">
        <v>604</v>
      </c>
      <c r="G20" s="29">
        <f>1593645+62993.54</f>
        <v>1656638.54</v>
      </c>
      <c r="H20" s="29"/>
    </row>
    <row r="21" spans="1:13" s="25" customFormat="1" ht="47.25">
      <c r="A21" s="3" t="s">
        <v>589</v>
      </c>
      <c r="B21" s="4" t="s">
        <v>8</v>
      </c>
      <c r="C21" s="4" t="s">
        <v>917</v>
      </c>
      <c r="D21" s="4" t="s">
        <v>47</v>
      </c>
      <c r="E21" s="4" t="s">
        <v>704</v>
      </c>
      <c r="F21" s="4"/>
      <c r="G21" s="29">
        <f>SUM(G22)</f>
        <v>2987578</v>
      </c>
      <c r="H21" s="29"/>
      <c r="I21" s="47"/>
      <c r="M21" s="44"/>
    </row>
    <row r="22" spans="1:13" s="25" customFormat="1" ht="110.25">
      <c r="A22" s="3" t="s">
        <v>92</v>
      </c>
      <c r="B22" s="4" t="s">
        <v>8</v>
      </c>
      <c r="C22" s="4" t="s">
        <v>917</v>
      </c>
      <c r="D22" s="4" t="s">
        <v>47</v>
      </c>
      <c r="E22" s="4" t="s">
        <v>704</v>
      </c>
      <c r="F22" s="4" t="s">
        <v>604</v>
      </c>
      <c r="G22" s="29">
        <v>2987578</v>
      </c>
      <c r="H22" s="29"/>
      <c r="I22" s="47"/>
      <c r="M22" s="44"/>
    </row>
    <row r="23" spans="1:8" ht="126" customHeight="1">
      <c r="A23" s="3" t="s">
        <v>587</v>
      </c>
      <c r="B23" s="4" t="s">
        <v>8</v>
      </c>
      <c r="C23" s="4" t="s">
        <v>917</v>
      </c>
      <c r="D23" s="4" t="s">
        <v>47</v>
      </c>
      <c r="E23" s="4" t="s">
        <v>702</v>
      </c>
      <c r="F23" s="4"/>
      <c r="G23" s="29">
        <f>SUM(G24)</f>
        <v>125.98999999999069</v>
      </c>
      <c r="H23" s="29"/>
    </row>
    <row r="24" spans="1:8" ht="110.25">
      <c r="A24" s="3" t="s">
        <v>506</v>
      </c>
      <c r="B24" s="77" t="s">
        <v>8</v>
      </c>
      <c r="C24" s="4" t="s">
        <v>917</v>
      </c>
      <c r="D24" s="4" t="s">
        <v>47</v>
      </c>
      <c r="E24" s="4" t="s">
        <v>702</v>
      </c>
      <c r="F24" s="4" t="s">
        <v>604</v>
      </c>
      <c r="G24" s="29">
        <f>133500-133374.01</f>
        <v>125.98999999999069</v>
      </c>
      <c r="H24" s="29"/>
    </row>
    <row r="25" spans="1:8" ht="31.5">
      <c r="A25" s="1" t="s">
        <v>741</v>
      </c>
      <c r="B25" s="2" t="s">
        <v>8</v>
      </c>
      <c r="C25" s="2" t="s">
        <v>917</v>
      </c>
      <c r="D25" s="2" t="s">
        <v>602</v>
      </c>
      <c r="E25" s="2"/>
      <c r="F25" s="2"/>
      <c r="G25" s="33">
        <f>SUM(G26)</f>
        <v>429258.49000000005</v>
      </c>
      <c r="H25" s="33"/>
    </row>
    <row r="26" spans="1:10" ht="63">
      <c r="A26" s="27" t="s">
        <v>104</v>
      </c>
      <c r="B26" s="4" t="s">
        <v>8</v>
      </c>
      <c r="C26" s="4" t="s">
        <v>917</v>
      </c>
      <c r="D26" s="4" t="s">
        <v>602</v>
      </c>
      <c r="E26" s="4" t="s">
        <v>705</v>
      </c>
      <c r="F26" s="4"/>
      <c r="G26" s="29">
        <f>SUM(G27+G34)</f>
        <v>429258.49000000005</v>
      </c>
      <c r="H26" s="29"/>
      <c r="J26" s="26"/>
    </row>
    <row r="27" spans="1:8" ht="47.25">
      <c r="A27" s="3" t="s">
        <v>123</v>
      </c>
      <c r="B27" s="4" t="s">
        <v>8</v>
      </c>
      <c r="C27" s="4" t="s">
        <v>917</v>
      </c>
      <c r="D27" s="4" t="s">
        <v>602</v>
      </c>
      <c r="E27" s="4" t="s">
        <v>706</v>
      </c>
      <c r="F27" s="4"/>
      <c r="G27" s="29">
        <f>SUM(G31)+G28</f>
        <v>210900</v>
      </c>
      <c r="H27" s="29"/>
    </row>
    <row r="28" spans="1:8" ht="47.25">
      <c r="A28" s="3" t="s">
        <v>1099</v>
      </c>
      <c r="B28" s="4" t="s">
        <v>8</v>
      </c>
      <c r="C28" s="4" t="s">
        <v>917</v>
      </c>
      <c r="D28" s="4" t="s">
        <v>602</v>
      </c>
      <c r="E28" s="4" t="s">
        <v>215</v>
      </c>
      <c r="F28" s="4"/>
      <c r="G28" s="29">
        <f>G29</f>
        <v>210900</v>
      </c>
      <c r="H28" s="29"/>
    </row>
    <row r="29" spans="1:8" ht="31.5">
      <c r="A29" s="3" t="s">
        <v>523</v>
      </c>
      <c r="B29" s="4" t="s">
        <v>8</v>
      </c>
      <c r="C29" s="4" t="s">
        <v>917</v>
      </c>
      <c r="D29" s="4" t="s">
        <v>602</v>
      </c>
      <c r="E29" s="4" t="s">
        <v>1100</v>
      </c>
      <c r="F29" s="60"/>
      <c r="G29" s="29">
        <f>G30</f>
        <v>210900</v>
      </c>
      <c r="H29" s="29"/>
    </row>
    <row r="30" spans="1:8" ht="47.25">
      <c r="A30" s="3" t="s">
        <v>701</v>
      </c>
      <c r="B30" s="4" t="s">
        <v>8</v>
      </c>
      <c r="C30" s="4" t="s">
        <v>917</v>
      </c>
      <c r="D30" s="4" t="s">
        <v>602</v>
      </c>
      <c r="E30" s="4" t="s">
        <v>1100</v>
      </c>
      <c r="F30" s="60">
        <v>200</v>
      </c>
      <c r="G30" s="29">
        <f>210900</f>
        <v>210900</v>
      </c>
      <c r="H30" s="29"/>
    </row>
    <row r="31" spans="1:8" ht="61.5" hidden="1">
      <c r="A31" s="3" t="s">
        <v>709</v>
      </c>
      <c r="B31" s="4" t="s">
        <v>8</v>
      </c>
      <c r="C31" s="4" t="s">
        <v>917</v>
      </c>
      <c r="D31" s="4" t="s">
        <v>602</v>
      </c>
      <c r="E31" s="4" t="s">
        <v>710</v>
      </c>
      <c r="F31" s="4"/>
      <c r="G31" s="29">
        <f>SUM(G32)</f>
        <v>0</v>
      </c>
      <c r="H31" s="29"/>
    </row>
    <row r="32" spans="1:13" ht="30.75" hidden="1">
      <c r="A32" s="3" t="s">
        <v>523</v>
      </c>
      <c r="B32" s="4" t="s">
        <v>8</v>
      </c>
      <c r="C32" s="4" t="s">
        <v>917</v>
      </c>
      <c r="D32" s="4" t="s">
        <v>602</v>
      </c>
      <c r="E32" s="4" t="s">
        <v>707</v>
      </c>
      <c r="F32" s="60"/>
      <c r="G32" s="29">
        <f>SUM(G33)</f>
        <v>0</v>
      </c>
      <c r="H32" s="29"/>
      <c r="J32" s="26"/>
      <c r="M32" s="158" t="s">
        <v>834</v>
      </c>
    </row>
    <row r="33" spans="1:14" ht="51.75" customHeight="1" hidden="1">
      <c r="A33" s="3" t="s">
        <v>701</v>
      </c>
      <c r="B33" s="4" t="s">
        <v>8</v>
      </c>
      <c r="C33" s="4" t="s">
        <v>917</v>
      </c>
      <c r="D33" s="4" t="s">
        <v>602</v>
      </c>
      <c r="E33" s="4" t="s">
        <v>707</v>
      </c>
      <c r="F33" s="60">
        <v>200</v>
      </c>
      <c r="G33" s="29">
        <f>277400-66500-210900</f>
        <v>0</v>
      </c>
      <c r="H33" s="29"/>
      <c r="M33" s="158">
        <f>69900-43900</f>
        <v>26000</v>
      </c>
      <c r="N33" s="26"/>
    </row>
    <row r="34" spans="1:14" ht="54" customHeight="1">
      <c r="A34" s="3" t="s">
        <v>133</v>
      </c>
      <c r="B34" s="4" t="s">
        <v>8</v>
      </c>
      <c r="C34" s="4" t="s">
        <v>917</v>
      </c>
      <c r="D34" s="4" t="s">
        <v>602</v>
      </c>
      <c r="E34" s="4" t="s">
        <v>708</v>
      </c>
      <c r="F34" s="60"/>
      <c r="G34" s="29">
        <f>SUM(G35)+G39</f>
        <v>218358.49000000005</v>
      </c>
      <c r="H34" s="29"/>
      <c r="M34" s="158">
        <f>28028.95-54028.95</f>
        <v>-25999.999999999996</v>
      </c>
      <c r="N34" s="26"/>
    </row>
    <row r="35" spans="1:8" ht="78.75">
      <c r="A35" s="3" t="s">
        <v>711</v>
      </c>
      <c r="B35" s="4" t="s">
        <v>8</v>
      </c>
      <c r="C35" s="4" t="s">
        <v>917</v>
      </c>
      <c r="D35" s="4" t="s">
        <v>602</v>
      </c>
      <c r="E35" s="4" t="s">
        <v>673</v>
      </c>
      <c r="F35" s="60"/>
      <c r="G35" s="29">
        <f>SUM(G36)</f>
        <v>35385.16000000002</v>
      </c>
      <c r="H35" s="29"/>
    </row>
    <row r="36" spans="1:8" ht="63" customHeight="1">
      <c r="A36" s="3" t="s">
        <v>590</v>
      </c>
      <c r="B36" s="4" t="s">
        <v>8</v>
      </c>
      <c r="C36" s="4" t="s">
        <v>917</v>
      </c>
      <c r="D36" s="4" t="s">
        <v>602</v>
      </c>
      <c r="E36" s="4" t="s">
        <v>1111</v>
      </c>
      <c r="F36" s="60"/>
      <c r="G36" s="29">
        <f>SUM(G37+G38)</f>
        <v>35385.16000000002</v>
      </c>
      <c r="H36" s="29"/>
    </row>
    <row r="37" spans="1:13" s="16" customFormat="1" ht="137.25" customHeight="1">
      <c r="A37" s="3" t="s">
        <v>506</v>
      </c>
      <c r="B37" s="4" t="s">
        <v>8</v>
      </c>
      <c r="C37" s="4" t="s">
        <v>917</v>
      </c>
      <c r="D37" s="4" t="s">
        <v>602</v>
      </c>
      <c r="E37" s="4" t="s">
        <v>1111</v>
      </c>
      <c r="F37" s="60">
        <v>100</v>
      </c>
      <c r="G37" s="29">
        <f>114473.33+28500-97973.33-35000</f>
        <v>10000.000000000015</v>
      </c>
      <c r="H37" s="29"/>
      <c r="I37" s="48"/>
      <c r="M37" s="159"/>
    </row>
    <row r="38" spans="1:8" ht="47.25">
      <c r="A38" s="3" t="s">
        <v>701</v>
      </c>
      <c r="B38" s="4" t="s">
        <v>8</v>
      </c>
      <c r="C38" s="4" t="s">
        <v>917</v>
      </c>
      <c r="D38" s="4" t="s">
        <v>602</v>
      </c>
      <c r="E38" s="4" t="s">
        <v>1111</v>
      </c>
      <c r="F38" s="60">
        <v>200</v>
      </c>
      <c r="G38" s="29">
        <f>37385.16+38000-50000</f>
        <v>25385.160000000003</v>
      </c>
      <c r="H38" s="29"/>
    </row>
    <row r="39" spans="1:8" ht="63">
      <c r="A39" s="3" t="s">
        <v>219</v>
      </c>
      <c r="B39" s="4" t="s">
        <v>8</v>
      </c>
      <c r="C39" s="4" t="s">
        <v>917</v>
      </c>
      <c r="D39" s="4" t="s">
        <v>602</v>
      </c>
      <c r="E39" s="4" t="s">
        <v>220</v>
      </c>
      <c r="F39" s="60"/>
      <c r="G39" s="29">
        <f>G40</f>
        <v>182973.33000000002</v>
      </c>
      <c r="H39" s="29"/>
    </row>
    <row r="40" spans="1:8" ht="47.25">
      <c r="A40" s="3" t="s">
        <v>590</v>
      </c>
      <c r="B40" s="4" t="s">
        <v>8</v>
      </c>
      <c r="C40" s="4" t="s">
        <v>917</v>
      </c>
      <c r="D40" s="4" t="s">
        <v>602</v>
      </c>
      <c r="E40" s="4" t="s">
        <v>1110</v>
      </c>
      <c r="F40" s="60"/>
      <c r="G40" s="29">
        <f>G41</f>
        <v>182973.33000000002</v>
      </c>
      <c r="H40" s="29"/>
    </row>
    <row r="41" spans="1:8" ht="110.25">
      <c r="A41" s="3" t="s">
        <v>506</v>
      </c>
      <c r="B41" s="4" t="s">
        <v>8</v>
      </c>
      <c r="C41" s="4" t="s">
        <v>917</v>
      </c>
      <c r="D41" s="4" t="s">
        <v>602</v>
      </c>
      <c r="E41" s="4" t="s">
        <v>1110</v>
      </c>
      <c r="F41" s="60">
        <v>100</v>
      </c>
      <c r="G41" s="29">
        <f>97973.33+85000</f>
        <v>182973.33000000002</v>
      </c>
      <c r="H41" s="29"/>
    </row>
    <row r="42" spans="1:8" ht="15.75">
      <c r="A42" s="1" t="s">
        <v>61</v>
      </c>
      <c r="B42" s="2" t="s">
        <v>8</v>
      </c>
      <c r="C42" s="2" t="s">
        <v>50</v>
      </c>
      <c r="D42" s="2"/>
      <c r="E42" s="2"/>
      <c r="F42" s="2"/>
      <c r="G42" s="33">
        <f aca="true" t="shared" si="0" ref="G42:G47">SUM(G43)</f>
        <v>274558</v>
      </c>
      <c r="H42" s="33"/>
    </row>
    <row r="43" spans="1:8" ht="15.75">
      <c r="A43" s="3" t="s">
        <v>597</v>
      </c>
      <c r="B43" s="4" t="s">
        <v>8</v>
      </c>
      <c r="C43" s="4" t="s">
        <v>50</v>
      </c>
      <c r="D43" s="4" t="s">
        <v>48</v>
      </c>
      <c r="E43" s="4"/>
      <c r="F43" s="4"/>
      <c r="G43" s="33">
        <f t="shared" si="0"/>
        <v>274558</v>
      </c>
      <c r="H43" s="29"/>
    </row>
    <row r="44" spans="1:8" ht="47.25">
      <c r="A44" s="3" t="s">
        <v>1034</v>
      </c>
      <c r="B44" s="4" t="s">
        <v>8</v>
      </c>
      <c r="C44" s="4" t="s">
        <v>50</v>
      </c>
      <c r="D44" s="4" t="s">
        <v>48</v>
      </c>
      <c r="E44" s="4" t="s">
        <v>712</v>
      </c>
      <c r="F44" s="4"/>
      <c r="G44" s="29">
        <f t="shared" si="0"/>
        <v>274558</v>
      </c>
      <c r="H44" s="29"/>
    </row>
    <row r="45" spans="1:8" ht="63">
      <c r="A45" s="3" t="s">
        <v>94</v>
      </c>
      <c r="B45" s="4" t="s">
        <v>8</v>
      </c>
      <c r="C45" s="4" t="s">
        <v>50</v>
      </c>
      <c r="D45" s="4" t="s">
        <v>48</v>
      </c>
      <c r="E45" s="4" t="s">
        <v>713</v>
      </c>
      <c r="F45" s="4"/>
      <c r="G45" s="29">
        <f>G49</f>
        <v>274558</v>
      </c>
      <c r="H45" s="29"/>
    </row>
    <row r="46" spans="1:8" ht="46.5" hidden="1">
      <c r="A46" s="3" t="s">
        <v>714</v>
      </c>
      <c r="B46" s="4" t="s">
        <v>8</v>
      </c>
      <c r="C46" s="4" t="s">
        <v>50</v>
      </c>
      <c r="D46" s="4" t="s">
        <v>48</v>
      </c>
      <c r="E46" s="4" t="s">
        <v>715</v>
      </c>
      <c r="F46" s="4"/>
      <c r="G46" s="29">
        <f t="shared" si="0"/>
        <v>0</v>
      </c>
      <c r="H46" s="29"/>
    </row>
    <row r="47" spans="1:8" ht="30.75" hidden="1">
      <c r="A47" s="3" t="s">
        <v>95</v>
      </c>
      <c r="B47" s="4" t="s">
        <v>8</v>
      </c>
      <c r="C47" s="4" t="s">
        <v>50</v>
      </c>
      <c r="D47" s="4" t="s">
        <v>48</v>
      </c>
      <c r="E47" s="4" t="s">
        <v>716</v>
      </c>
      <c r="F47" s="4"/>
      <c r="G47" s="29">
        <f t="shared" si="0"/>
        <v>0</v>
      </c>
      <c r="H47" s="29"/>
    </row>
    <row r="48" spans="1:8" ht="46.5" hidden="1">
      <c r="A48" s="6" t="s">
        <v>701</v>
      </c>
      <c r="B48" s="7" t="s">
        <v>8</v>
      </c>
      <c r="C48" s="7" t="s">
        <v>50</v>
      </c>
      <c r="D48" s="7" t="s">
        <v>48</v>
      </c>
      <c r="E48" s="7" t="s">
        <v>716</v>
      </c>
      <c r="F48" s="7" t="s">
        <v>605</v>
      </c>
      <c r="G48" s="31">
        <f>274558-274558</f>
        <v>0</v>
      </c>
      <c r="H48" s="31"/>
    </row>
    <row r="49" spans="1:8" ht="47.25">
      <c r="A49" s="3" t="s">
        <v>299</v>
      </c>
      <c r="B49" s="4" t="s">
        <v>8</v>
      </c>
      <c r="C49" s="4" t="s">
        <v>50</v>
      </c>
      <c r="D49" s="4" t="s">
        <v>48</v>
      </c>
      <c r="E49" s="4" t="s">
        <v>300</v>
      </c>
      <c r="F49" s="4"/>
      <c r="G49" s="29">
        <f>G50</f>
        <v>274558</v>
      </c>
      <c r="H49" s="29"/>
    </row>
    <row r="50" spans="1:8" ht="31.5">
      <c r="A50" s="3" t="s">
        <v>523</v>
      </c>
      <c r="B50" s="4" t="s">
        <v>8</v>
      </c>
      <c r="C50" s="4" t="s">
        <v>50</v>
      </c>
      <c r="D50" s="4" t="s">
        <v>48</v>
      </c>
      <c r="E50" s="4" t="s">
        <v>301</v>
      </c>
      <c r="F50" s="4"/>
      <c r="G50" s="29">
        <f>G51</f>
        <v>274558</v>
      </c>
      <c r="H50" s="29"/>
    </row>
    <row r="51" spans="1:8" ht="47.25">
      <c r="A51" s="3" t="s">
        <v>701</v>
      </c>
      <c r="B51" s="4" t="s">
        <v>8</v>
      </c>
      <c r="C51" s="4" t="s">
        <v>50</v>
      </c>
      <c r="D51" s="4" t="s">
        <v>48</v>
      </c>
      <c r="E51" s="4" t="s">
        <v>301</v>
      </c>
      <c r="F51" s="60">
        <v>200</v>
      </c>
      <c r="G51" s="29">
        <f>268258+6300</f>
        <v>274558</v>
      </c>
      <c r="H51" s="29"/>
    </row>
    <row r="52" spans="1:14" ht="144" customHeight="1">
      <c r="A52" s="10" t="s">
        <v>910</v>
      </c>
      <c r="B52" s="11" t="s">
        <v>9</v>
      </c>
      <c r="C52" s="11"/>
      <c r="D52" s="11"/>
      <c r="E52" s="11"/>
      <c r="F52" s="11"/>
      <c r="G52" s="35">
        <f>G53+G166+G190+G256+G272</f>
        <v>184385880.55</v>
      </c>
      <c r="H52" s="35">
        <f>H53+H166+H190+H256+H272</f>
        <v>5630900</v>
      </c>
      <c r="J52" s="26"/>
      <c r="M52" s="158">
        <f>176435799.7-176241599.7</f>
        <v>194200</v>
      </c>
      <c r="N52" s="26"/>
    </row>
    <row r="53" spans="1:14" ht="31.5">
      <c r="A53" s="1" t="s">
        <v>59</v>
      </c>
      <c r="B53" s="2" t="s">
        <v>9</v>
      </c>
      <c r="C53" s="2" t="s">
        <v>917</v>
      </c>
      <c r="D53" s="9"/>
      <c r="E53" s="9"/>
      <c r="F53" s="9"/>
      <c r="G53" s="36">
        <f>G54+G69+G77+G73</f>
        <v>92807585.05000001</v>
      </c>
      <c r="H53" s="36">
        <f>H54+H69+H77</f>
        <v>1510500</v>
      </c>
      <c r="J53" s="26"/>
      <c r="M53" s="158">
        <f>90634542.28-90685622.28</f>
        <v>-51080</v>
      </c>
      <c r="N53" s="26"/>
    </row>
    <row r="54" spans="1:10" ht="94.5">
      <c r="A54" s="1" t="s">
        <v>599</v>
      </c>
      <c r="B54" s="2" t="s">
        <v>9</v>
      </c>
      <c r="C54" s="2" t="s">
        <v>917</v>
      </c>
      <c r="D54" s="2" t="s">
        <v>50</v>
      </c>
      <c r="E54" s="2"/>
      <c r="F54" s="2"/>
      <c r="G54" s="33">
        <f>G55</f>
        <v>28091263</v>
      </c>
      <c r="H54" s="33"/>
      <c r="J54" s="26"/>
    </row>
    <row r="55" spans="1:10" ht="63">
      <c r="A55" s="27" t="s">
        <v>104</v>
      </c>
      <c r="B55" s="4" t="s">
        <v>9</v>
      </c>
      <c r="C55" s="4" t="s">
        <v>917</v>
      </c>
      <c r="D55" s="4" t="s">
        <v>50</v>
      </c>
      <c r="E55" s="4" t="s">
        <v>705</v>
      </c>
      <c r="F55" s="4"/>
      <c r="G55" s="29">
        <f>G56</f>
        <v>28091263</v>
      </c>
      <c r="H55" s="29"/>
      <c r="J55" s="26"/>
    </row>
    <row r="56" spans="1:10" ht="47.25">
      <c r="A56" s="27" t="s">
        <v>96</v>
      </c>
      <c r="B56" s="4" t="s">
        <v>9</v>
      </c>
      <c r="C56" s="4" t="s">
        <v>917</v>
      </c>
      <c r="D56" s="4" t="s">
        <v>50</v>
      </c>
      <c r="E56" s="4" t="s">
        <v>717</v>
      </c>
      <c r="F56" s="4"/>
      <c r="G56" s="29">
        <f>G57</f>
        <v>28091263</v>
      </c>
      <c r="H56" s="29"/>
      <c r="J56" s="26"/>
    </row>
    <row r="57" spans="1:10" ht="94.5">
      <c r="A57" s="27" t="s">
        <v>718</v>
      </c>
      <c r="B57" s="4" t="s">
        <v>9</v>
      </c>
      <c r="C57" s="4" t="s">
        <v>917</v>
      </c>
      <c r="D57" s="4" t="s">
        <v>50</v>
      </c>
      <c r="E57" s="4" t="s">
        <v>719</v>
      </c>
      <c r="F57" s="4"/>
      <c r="G57" s="29">
        <f>G58+G60+G63+G67+G65</f>
        <v>28091263</v>
      </c>
      <c r="H57" s="29"/>
      <c r="J57" s="26"/>
    </row>
    <row r="58" spans="1:10" ht="47.25">
      <c r="A58" s="27" t="s">
        <v>591</v>
      </c>
      <c r="B58" s="4" t="s">
        <v>9</v>
      </c>
      <c r="C58" s="4" t="s">
        <v>917</v>
      </c>
      <c r="D58" s="4" t="s">
        <v>50</v>
      </c>
      <c r="E58" s="4" t="s">
        <v>720</v>
      </c>
      <c r="F58" s="4"/>
      <c r="G58" s="29">
        <f>G59</f>
        <v>1940779</v>
      </c>
      <c r="H58" s="29"/>
      <c r="J58" s="26"/>
    </row>
    <row r="59" spans="1:10" ht="110.25">
      <c r="A59" s="27" t="s">
        <v>506</v>
      </c>
      <c r="B59" s="4" t="s">
        <v>9</v>
      </c>
      <c r="C59" s="4" t="s">
        <v>917</v>
      </c>
      <c r="D59" s="4" t="s">
        <v>50</v>
      </c>
      <c r="E59" s="4" t="s">
        <v>720</v>
      </c>
      <c r="F59" s="4" t="s">
        <v>604</v>
      </c>
      <c r="G59" s="29">
        <v>1940779</v>
      </c>
      <c r="H59" s="29"/>
      <c r="J59" s="26"/>
    </row>
    <row r="60" spans="1:10" ht="47.25">
      <c r="A60" s="27" t="s">
        <v>589</v>
      </c>
      <c r="B60" s="4" t="s">
        <v>9</v>
      </c>
      <c r="C60" s="4" t="s">
        <v>917</v>
      </c>
      <c r="D60" s="4" t="s">
        <v>50</v>
      </c>
      <c r="E60" s="4" t="s">
        <v>721</v>
      </c>
      <c r="F60" s="4"/>
      <c r="G60" s="29">
        <f>G61+G62</f>
        <v>25304641.02</v>
      </c>
      <c r="H60" s="29"/>
      <c r="J60" s="26"/>
    </row>
    <row r="61" spans="1:10" ht="110.25">
      <c r="A61" s="27" t="s">
        <v>506</v>
      </c>
      <c r="B61" s="4" t="s">
        <v>9</v>
      </c>
      <c r="C61" s="4" t="s">
        <v>917</v>
      </c>
      <c r="D61" s="4" t="s">
        <v>50</v>
      </c>
      <c r="E61" s="4" t="s">
        <v>721</v>
      </c>
      <c r="F61" s="4" t="s">
        <v>604</v>
      </c>
      <c r="G61" s="29">
        <f>25304641-221398.45-341655.13-103179.85+341655.15+103179.85</f>
        <v>25083242.57</v>
      </c>
      <c r="H61" s="29"/>
      <c r="J61" s="26"/>
    </row>
    <row r="62" spans="1:10" ht="31.5">
      <c r="A62" s="193" t="s">
        <v>565</v>
      </c>
      <c r="B62" s="4" t="s">
        <v>9</v>
      </c>
      <c r="C62" s="4" t="s">
        <v>917</v>
      </c>
      <c r="D62" s="4" t="s">
        <v>50</v>
      </c>
      <c r="E62" s="4" t="s">
        <v>721</v>
      </c>
      <c r="F62" s="4" t="s">
        <v>566</v>
      </c>
      <c r="G62" s="29">
        <f>221398.45</f>
        <v>221398.45</v>
      </c>
      <c r="H62" s="29"/>
      <c r="J62" s="26"/>
    </row>
    <row r="63" spans="1:10" ht="47.25">
      <c r="A63" s="27" t="s">
        <v>590</v>
      </c>
      <c r="B63" s="4" t="s">
        <v>9</v>
      </c>
      <c r="C63" s="4" t="s">
        <v>917</v>
      </c>
      <c r="D63" s="4" t="s">
        <v>50</v>
      </c>
      <c r="E63" s="4" t="s">
        <v>722</v>
      </c>
      <c r="F63" s="4"/>
      <c r="G63" s="29">
        <f>G64</f>
        <v>3360</v>
      </c>
      <c r="H63" s="29"/>
      <c r="J63" s="26"/>
    </row>
    <row r="64" spans="1:10" ht="110.25">
      <c r="A64" s="27" t="s">
        <v>506</v>
      </c>
      <c r="B64" s="4" t="s">
        <v>9</v>
      </c>
      <c r="C64" s="4" t="s">
        <v>917</v>
      </c>
      <c r="D64" s="4" t="s">
        <v>50</v>
      </c>
      <c r="E64" s="4" t="s">
        <v>722</v>
      </c>
      <c r="F64" s="4" t="s">
        <v>604</v>
      </c>
      <c r="G64" s="29">
        <v>3360</v>
      </c>
      <c r="H64" s="29"/>
      <c r="J64" s="26"/>
    </row>
    <row r="65" spans="1:10" ht="78.75">
      <c r="A65" s="27" t="s">
        <v>1178</v>
      </c>
      <c r="B65" s="4" t="s">
        <v>9</v>
      </c>
      <c r="C65" s="4" t="s">
        <v>917</v>
      </c>
      <c r="D65" s="4" t="s">
        <v>50</v>
      </c>
      <c r="E65" s="4" t="s">
        <v>1179</v>
      </c>
      <c r="F65" s="4"/>
      <c r="G65" s="29">
        <f>G66</f>
        <v>444834.98</v>
      </c>
      <c r="H65" s="29"/>
      <c r="J65" s="26"/>
    </row>
    <row r="66" spans="1:10" ht="110.25">
      <c r="A66" s="27" t="s">
        <v>506</v>
      </c>
      <c r="B66" s="4" t="s">
        <v>9</v>
      </c>
      <c r="C66" s="4" t="s">
        <v>917</v>
      </c>
      <c r="D66" s="4" t="s">
        <v>50</v>
      </c>
      <c r="E66" s="4" t="s">
        <v>1179</v>
      </c>
      <c r="F66" s="4" t="s">
        <v>604</v>
      </c>
      <c r="G66" s="29">
        <f>341655.13+103179.85</f>
        <v>444834.98</v>
      </c>
      <c r="H66" s="29"/>
      <c r="J66" s="26"/>
    </row>
    <row r="67" spans="1:10" ht="94.5">
      <c r="A67" s="27" t="s">
        <v>587</v>
      </c>
      <c r="B67" s="4" t="s">
        <v>9</v>
      </c>
      <c r="C67" s="4" t="s">
        <v>917</v>
      </c>
      <c r="D67" s="4" t="s">
        <v>50</v>
      </c>
      <c r="E67" s="4" t="s">
        <v>723</v>
      </c>
      <c r="F67" s="4"/>
      <c r="G67" s="29">
        <f>G68</f>
        <v>397648</v>
      </c>
      <c r="H67" s="29"/>
      <c r="J67" s="26"/>
    </row>
    <row r="68" spans="1:10" ht="110.25">
      <c r="A68" s="188" t="s">
        <v>506</v>
      </c>
      <c r="B68" s="7" t="s">
        <v>9</v>
      </c>
      <c r="C68" s="7" t="s">
        <v>917</v>
      </c>
      <c r="D68" s="7" t="s">
        <v>50</v>
      </c>
      <c r="E68" s="7" t="s">
        <v>723</v>
      </c>
      <c r="F68" s="7" t="s">
        <v>604</v>
      </c>
      <c r="G68" s="31">
        <v>397648</v>
      </c>
      <c r="H68" s="31"/>
      <c r="J68" s="26"/>
    </row>
    <row r="69" spans="1:8" ht="15.75">
      <c r="A69" s="50" t="s">
        <v>766</v>
      </c>
      <c r="B69" s="5" t="s">
        <v>9</v>
      </c>
      <c r="C69" s="5" t="s">
        <v>917</v>
      </c>
      <c r="D69" s="5" t="s">
        <v>42</v>
      </c>
      <c r="E69" s="4"/>
      <c r="F69" s="4"/>
      <c r="G69" s="33">
        <f>G71</f>
        <v>38000</v>
      </c>
      <c r="H69" s="33">
        <f>H70</f>
        <v>38000</v>
      </c>
    </row>
    <row r="70" spans="1:8" ht="15.75">
      <c r="A70" s="3" t="s">
        <v>91</v>
      </c>
      <c r="B70" s="4" t="s">
        <v>9</v>
      </c>
      <c r="C70" s="4" t="s">
        <v>917</v>
      </c>
      <c r="D70" s="4" t="s">
        <v>42</v>
      </c>
      <c r="E70" s="4" t="s">
        <v>734</v>
      </c>
      <c r="F70" s="4"/>
      <c r="G70" s="29">
        <f>G71</f>
        <v>38000</v>
      </c>
      <c r="H70" s="29">
        <f>H71</f>
        <v>38000</v>
      </c>
    </row>
    <row r="71" spans="1:8" ht="94.5">
      <c r="A71" s="3" t="s">
        <v>101</v>
      </c>
      <c r="B71" s="4" t="s">
        <v>9</v>
      </c>
      <c r="C71" s="4" t="s">
        <v>917</v>
      </c>
      <c r="D71" s="4" t="s">
        <v>42</v>
      </c>
      <c r="E71" s="4" t="s">
        <v>203</v>
      </c>
      <c r="F71" s="4"/>
      <c r="G71" s="29">
        <f>G72</f>
        <v>38000</v>
      </c>
      <c r="H71" s="29">
        <f>H72</f>
        <v>38000</v>
      </c>
    </row>
    <row r="72" spans="1:8" ht="47.25">
      <c r="A72" s="3" t="s">
        <v>701</v>
      </c>
      <c r="B72" s="4" t="s">
        <v>9</v>
      </c>
      <c r="C72" s="4" t="s">
        <v>917</v>
      </c>
      <c r="D72" s="4" t="s">
        <v>42</v>
      </c>
      <c r="E72" s="4" t="s">
        <v>203</v>
      </c>
      <c r="F72" s="4" t="s">
        <v>605</v>
      </c>
      <c r="G72" s="29">
        <v>38000</v>
      </c>
      <c r="H72" s="29">
        <v>38000</v>
      </c>
    </row>
    <row r="73" spans="1:8" ht="31.5">
      <c r="A73" s="13" t="s">
        <v>1068</v>
      </c>
      <c r="B73" s="5" t="s">
        <v>9</v>
      </c>
      <c r="C73" s="5" t="s">
        <v>917</v>
      </c>
      <c r="D73" s="5" t="s">
        <v>43</v>
      </c>
      <c r="E73" s="5"/>
      <c r="F73" s="5"/>
      <c r="G73" s="28">
        <f>G74</f>
        <v>562092</v>
      </c>
      <c r="H73" s="110"/>
    </row>
    <row r="74" spans="1:8" ht="15.75">
      <c r="A74" s="3" t="s">
        <v>91</v>
      </c>
      <c r="B74" s="4" t="s">
        <v>9</v>
      </c>
      <c r="C74" s="4" t="s">
        <v>917</v>
      </c>
      <c r="D74" s="4" t="s">
        <v>43</v>
      </c>
      <c r="E74" s="4" t="s">
        <v>734</v>
      </c>
      <c r="F74" s="4"/>
      <c r="G74" s="29">
        <f>G75</f>
        <v>562092</v>
      </c>
      <c r="H74" s="29"/>
    </row>
    <row r="75" spans="1:8" ht="47.25">
      <c r="A75" s="3" t="s">
        <v>1069</v>
      </c>
      <c r="B75" s="4" t="s">
        <v>9</v>
      </c>
      <c r="C75" s="4" t="s">
        <v>917</v>
      </c>
      <c r="D75" s="4" t="s">
        <v>43</v>
      </c>
      <c r="E75" s="4" t="s">
        <v>1070</v>
      </c>
      <c r="F75" s="4"/>
      <c r="G75" s="29">
        <f>G76</f>
        <v>562092</v>
      </c>
      <c r="H75" s="29"/>
    </row>
    <row r="76" spans="1:8" ht="47.25">
      <c r="A76" s="3" t="s">
        <v>701</v>
      </c>
      <c r="B76" s="4" t="s">
        <v>9</v>
      </c>
      <c r="C76" s="4" t="s">
        <v>917</v>
      </c>
      <c r="D76" s="4" t="s">
        <v>43</v>
      </c>
      <c r="E76" s="4" t="s">
        <v>1070</v>
      </c>
      <c r="F76" s="4" t="s">
        <v>605</v>
      </c>
      <c r="G76" s="29">
        <f>650000-87908</f>
        <v>562092</v>
      </c>
      <c r="H76" s="29"/>
    </row>
    <row r="77" spans="1:14" ht="31.5">
      <c r="A77" s="13" t="s">
        <v>741</v>
      </c>
      <c r="B77" s="5" t="s">
        <v>9</v>
      </c>
      <c r="C77" s="5" t="s">
        <v>917</v>
      </c>
      <c r="D77" s="5" t="s">
        <v>602</v>
      </c>
      <c r="E77" s="23"/>
      <c r="F77" s="23"/>
      <c r="G77" s="28">
        <f>G78+G102+G107+G158+G86+G91+G96</f>
        <v>64116230.050000004</v>
      </c>
      <c r="H77" s="28">
        <f>H78+H102+H107+H158+H86+H91+H96</f>
        <v>1472500</v>
      </c>
      <c r="M77" s="158">
        <f>60804578.03-60855658.03</f>
        <v>-51080</v>
      </c>
      <c r="N77" s="26"/>
    </row>
    <row r="78" spans="1:8" ht="78.75">
      <c r="A78" s="1" t="s">
        <v>105</v>
      </c>
      <c r="B78" s="2" t="s">
        <v>9</v>
      </c>
      <c r="C78" s="2" t="s">
        <v>917</v>
      </c>
      <c r="D78" s="2" t="s">
        <v>602</v>
      </c>
      <c r="E78" s="2" t="s">
        <v>724</v>
      </c>
      <c r="F78" s="2"/>
      <c r="G78" s="33">
        <f>G79+G83</f>
        <v>1463000</v>
      </c>
      <c r="H78" s="29"/>
    </row>
    <row r="79" spans="1:8" ht="31.5">
      <c r="A79" s="3" t="s">
        <v>204</v>
      </c>
      <c r="B79" s="4" t="s">
        <v>9</v>
      </c>
      <c r="C79" s="4" t="s">
        <v>917</v>
      </c>
      <c r="D79" s="4" t="s">
        <v>602</v>
      </c>
      <c r="E79" s="4" t="s">
        <v>205</v>
      </c>
      <c r="F79" s="4"/>
      <c r="G79" s="29">
        <f>G80</f>
        <v>1163000</v>
      </c>
      <c r="H79" s="29"/>
    </row>
    <row r="80" spans="1:8" ht="31.5">
      <c r="A80" s="3" t="s">
        <v>523</v>
      </c>
      <c r="B80" s="4" t="s">
        <v>9</v>
      </c>
      <c r="C80" s="4" t="s">
        <v>917</v>
      </c>
      <c r="D80" s="4" t="s">
        <v>602</v>
      </c>
      <c r="E80" s="4" t="s">
        <v>206</v>
      </c>
      <c r="F80" s="4"/>
      <c r="G80" s="29">
        <f>G81+G82</f>
        <v>1163000</v>
      </c>
      <c r="H80" s="29"/>
    </row>
    <row r="81" spans="1:8" ht="47.25">
      <c r="A81" s="3" t="s">
        <v>701</v>
      </c>
      <c r="B81" s="4" t="s">
        <v>9</v>
      </c>
      <c r="C81" s="4" t="s">
        <v>917</v>
      </c>
      <c r="D81" s="4" t="s">
        <v>602</v>
      </c>
      <c r="E81" s="4" t="s">
        <v>206</v>
      </c>
      <c r="F81" s="4" t="s">
        <v>605</v>
      </c>
      <c r="G81" s="29">
        <v>57000</v>
      </c>
      <c r="H81" s="29"/>
    </row>
    <row r="82" spans="1:10" ht="31.5">
      <c r="A82" s="3" t="s">
        <v>565</v>
      </c>
      <c r="B82" s="4" t="s">
        <v>9</v>
      </c>
      <c r="C82" s="4" t="s">
        <v>917</v>
      </c>
      <c r="D82" s="4" t="s">
        <v>602</v>
      </c>
      <c r="E82" s="4" t="s">
        <v>206</v>
      </c>
      <c r="F82" s="4" t="s">
        <v>566</v>
      </c>
      <c r="G82" s="29">
        <f>613000+493000</f>
        <v>1106000</v>
      </c>
      <c r="H82" s="29"/>
      <c r="J82" s="26"/>
    </row>
    <row r="83" spans="1:8" ht="78.75">
      <c r="A83" s="3" t="s">
        <v>207</v>
      </c>
      <c r="B83" s="4" t="s">
        <v>9</v>
      </c>
      <c r="C83" s="4" t="s">
        <v>917</v>
      </c>
      <c r="D83" s="4" t="s">
        <v>602</v>
      </c>
      <c r="E83" s="4" t="s">
        <v>208</v>
      </c>
      <c r="F83" s="4"/>
      <c r="G83" s="29">
        <f>G84</f>
        <v>300000</v>
      </c>
      <c r="H83" s="29"/>
    </row>
    <row r="84" spans="1:13" ht="47.25">
      <c r="A84" s="59" t="s">
        <v>209</v>
      </c>
      <c r="B84" s="4" t="s">
        <v>9</v>
      </c>
      <c r="C84" s="4" t="s">
        <v>917</v>
      </c>
      <c r="D84" s="4" t="s">
        <v>602</v>
      </c>
      <c r="E84" s="4" t="s">
        <v>210</v>
      </c>
      <c r="F84" s="4"/>
      <c r="G84" s="29">
        <f>G85</f>
        <v>300000</v>
      </c>
      <c r="H84" s="29"/>
      <c r="J84" s="26"/>
      <c r="M84" s="158">
        <f>43343.34</f>
        <v>43343.34</v>
      </c>
    </row>
    <row r="85" spans="1:10" ht="63">
      <c r="A85" s="3" t="s">
        <v>525</v>
      </c>
      <c r="B85" s="4" t="s">
        <v>9</v>
      </c>
      <c r="C85" s="4" t="s">
        <v>917</v>
      </c>
      <c r="D85" s="4" t="s">
        <v>602</v>
      </c>
      <c r="E85" s="4" t="s">
        <v>210</v>
      </c>
      <c r="F85" s="4" t="s">
        <v>609</v>
      </c>
      <c r="G85" s="29">
        <v>300000</v>
      </c>
      <c r="H85" s="29"/>
      <c r="J85" s="26"/>
    </row>
    <row r="86" spans="1:10" ht="78.75">
      <c r="A86" s="1" t="s">
        <v>108</v>
      </c>
      <c r="B86" s="2" t="s">
        <v>9</v>
      </c>
      <c r="C86" s="2" t="s">
        <v>917</v>
      </c>
      <c r="D86" s="2" t="s">
        <v>602</v>
      </c>
      <c r="E86" s="2" t="s">
        <v>630</v>
      </c>
      <c r="F86" s="2"/>
      <c r="G86" s="33">
        <f>G87</f>
        <v>199735</v>
      </c>
      <c r="H86" s="29"/>
      <c r="J86" s="26"/>
    </row>
    <row r="87" spans="1:10" ht="47.25">
      <c r="A87" s="3" t="s">
        <v>1125</v>
      </c>
      <c r="B87" s="4" t="s">
        <v>9</v>
      </c>
      <c r="C87" s="4" t="s">
        <v>917</v>
      </c>
      <c r="D87" s="4" t="s">
        <v>602</v>
      </c>
      <c r="E87" s="4" t="s">
        <v>1126</v>
      </c>
      <c r="F87" s="4"/>
      <c r="G87" s="29">
        <f>G88</f>
        <v>199735</v>
      </c>
      <c r="H87" s="29"/>
      <c r="J87" s="26"/>
    </row>
    <row r="88" spans="1:10" ht="63">
      <c r="A88" s="3" t="s">
        <v>1127</v>
      </c>
      <c r="B88" s="4" t="s">
        <v>9</v>
      </c>
      <c r="C88" s="4" t="s">
        <v>917</v>
      </c>
      <c r="D88" s="4" t="s">
        <v>602</v>
      </c>
      <c r="E88" s="4" t="s">
        <v>1128</v>
      </c>
      <c r="F88" s="4"/>
      <c r="G88" s="29">
        <f>G89</f>
        <v>199735</v>
      </c>
      <c r="H88" s="29"/>
      <c r="J88" s="26"/>
    </row>
    <row r="89" spans="1:10" ht="31.5">
      <c r="A89" s="3" t="s">
        <v>523</v>
      </c>
      <c r="B89" s="4" t="s">
        <v>9</v>
      </c>
      <c r="C89" s="4" t="s">
        <v>917</v>
      </c>
      <c r="D89" s="4" t="s">
        <v>602</v>
      </c>
      <c r="E89" s="4" t="s">
        <v>1129</v>
      </c>
      <c r="F89" s="4"/>
      <c r="G89" s="29">
        <f>G90</f>
        <v>199735</v>
      </c>
      <c r="H89" s="29"/>
      <c r="J89" s="26"/>
    </row>
    <row r="90" spans="1:10" ht="47.25">
      <c r="A90" s="3" t="s">
        <v>701</v>
      </c>
      <c r="B90" s="4" t="s">
        <v>9</v>
      </c>
      <c r="C90" s="4" t="s">
        <v>917</v>
      </c>
      <c r="D90" s="4" t="s">
        <v>602</v>
      </c>
      <c r="E90" s="4" t="s">
        <v>1129</v>
      </c>
      <c r="F90" s="4" t="s">
        <v>605</v>
      </c>
      <c r="G90" s="29">
        <f>199735</f>
        <v>199735</v>
      </c>
      <c r="H90" s="29"/>
      <c r="J90" s="26"/>
    </row>
    <row r="91" spans="1:10" ht="63">
      <c r="A91" s="1" t="s">
        <v>89</v>
      </c>
      <c r="B91" s="2" t="s">
        <v>9</v>
      </c>
      <c r="C91" s="2" t="s">
        <v>917</v>
      </c>
      <c r="D91" s="2" t="s">
        <v>602</v>
      </c>
      <c r="E91" s="2" t="s">
        <v>790</v>
      </c>
      <c r="F91" s="2"/>
      <c r="G91" s="33">
        <f>G92</f>
        <v>175000</v>
      </c>
      <c r="H91" s="33"/>
      <c r="J91" s="26"/>
    </row>
    <row r="92" spans="1:10" ht="78.75">
      <c r="A92" s="3" t="s">
        <v>1180</v>
      </c>
      <c r="B92" s="4" t="s">
        <v>9</v>
      </c>
      <c r="C92" s="4" t="s">
        <v>917</v>
      </c>
      <c r="D92" s="4" t="s">
        <v>602</v>
      </c>
      <c r="E92" s="4" t="s">
        <v>1176</v>
      </c>
      <c r="F92" s="4"/>
      <c r="G92" s="29">
        <f>G94</f>
        <v>175000</v>
      </c>
      <c r="H92" s="29"/>
      <c r="J92" s="26"/>
    </row>
    <row r="93" spans="1:10" ht="47.25">
      <c r="A93" s="3" t="s">
        <v>1175</v>
      </c>
      <c r="B93" s="4"/>
      <c r="C93" s="4"/>
      <c r="D93" s="4"/>
      <c r="E93" s="4"/>
      <c r="F93" s="4"/>
      <c r="G93" s="29"/>
      <c r="H93" s="29"/>
      <c r="J93" s="26"/>
    </row>
    <row r="94" spans="1:10" ht="31.5">
      <c r="A94" s="3" t="s">
        <v>523</v>
      </c>
      <c r="B94" s="4" t="s">
        <v>9</v>
      </c>
      <c r="C94" s="4" t="s">
        <v>917</v>
      </c>
      <c r="D94" s="4" t="s">
        <v>602</v>
      </c>
      <c r="E94" s="4" t="s">
        <v>1177</v>
      </c>
      <c r="F94" s="4"/>
      <c r="G94" s="29">
        <f>G95</f>
        <v>175000</v>
      </c>
      <c r="H94" s="29"/>
      <c r="J94" s="26"/>
    </row>
    <row r="95" spans="1:10" ht="47.25">
      <c r="A95" s="3" t="s">
        <v>701</v>
      </c>
      <c r="B95" s="4" t="s">
        <v>9</v>
      </c>
      <c r="C95" s="4" t="s">
        <v>917</v>
      </c>
      <c r="D95" s="4" t="s">
        <v>602</v>
      </c>
      <c r="E95" s="4" t="s">
        <v>1177</v>
      </c>
      <c r="F95" s="4" t="s">
        <v>605</v>
      </c>
      <c r="G95" s="29">
        <f>260000-85000</f>
        <v>175000</v>
      </c>
      <c r="H95" s="29"/>
      <c r="J95" s="26"/>
    </row>
    <row r="96" spans="1:10" ht="78.75">
      <c r="A96" s="1" t="s">
        <v>90</v>
      </c>
      <c r="B96" s="2" t="s">
        <v>9</v>
      </c>
      <c r="C96" s="2" t="s">
        <v>917</v>
      </c>
      <c r="D96" s="2" t="s">
        <v>602</v>
      </c>
      <c r="E96" s="2" t="s">
        <v>180</v>
      </c>
      <c r="F96" s="2"/>
      <c r="G96" s="33">
        <f>G97</f>
        <v>500000</v>
      </c>
      <c r="H96" s="33">
        <f>H97</f>
        <v>452500</v>
      </c>
      <c r="J96" s="26"/>
    </row>
    <row r="97" spans="1:10" ht="78.75">
      <c r="A97" s="3" t="s">
        <v>1214</v>
      </c>
      <c r="B97" s="4" t="s">
        <v>9</v>
      </c>
      <c r="C97" s="4" t="s">
        <v>917</v>
      </c>
      <c r="D97" s="4" t="s">
        <v>602</v>
      </c>
      <c r="E97" s="4" t="s">
        <v>223</v>
      </c>
      <c r="F97" s="4"/>
      <c r="G97" s="29">
        <f>G98+G100</f>
        <v>500000</v>
      </c>
      <c r="H97" s="29">
        <f>H98+H100</f>
        <v>452500</v>
      </c>
      <c r="J97" s="26"/>
    </row>
    <row r="98" spans="1:10" ht="96" customHeight="1">
      <c r="A98" s="3" t="s">
        <v>1226</v>
      </c>
      <c r="B98" s="4" t="s">
        <v>9</v>
      </c>
      <c r="C98" s="4" t="s">
        <v>917</v>
      </c>
      <c r="D98" s="4" t="s">
        <v>602</v>
      </c>
      <c r="E98" s="4" t="s">
        <v>1225</v>
      </c>
      <c r="F98" s="4"/>
      <c r="G98" s="29">
        <f>G99</f>
        <v>452500</v>
      </c>
      <c r="H98" s="29">
        <f>H99</f>
        <v>452500</v>
      </c>
      <c r="J98" s="26"/>
    </row>
    <row r="99" spans="1:10" ht="15.75">
      <c r="A99" s="3" t="s">
        <v>1040</v>
      </c>
      <c r="B99" s="4" t="s">
        <v>9</v>
      </c>
      <c r="C99" s="4" t="s">
        <v>917</v>
      </c>
      <c r="D99" s="4" t="s">
        <v>602</v>
      </c>
      <c r="E99" s="4" t="s">
        <v>1225</v>
      </c>
      <c r="F99" s="4" t="s">
        <v>608</v>
      </c>
      <c r="G99" s="29">
        <v>452500</v>
      </c>
      <c r="H99" s="29">
        <f>G99</f>
        <v>452500</v>
      </c>
      <c r="J99" s="26"/>
    </row>
    <row r="100" spans="1:10" ht="63">
      <c r="A100" s="3" t="s">
        <v>1226</v>
      </c>
      <c r="B100" s="4" t="s">
        <v>9</v>
      </c>
      <c r="C100" s="4" t="s">
        <v>917</v>
      </c>
      <c r="D100" s="4" t="s">
        <v>602</v>
      </c>
      <c r="E100" s="4" t="s">
        <v>1215</v>
      </c>
      <c r="F100" s="4"/>
      <c r="G100" s="29">
        <f>G101</f>
        <v>47500</v>
      </c>
      <c r="H100" s="29"/>
      <c r="J100" s="26"/>
    </row>
    <row r="101" spans="1:10" ht="15.75">
      <c r="A101" s="3" t="s">
        <v>1040</v>
      </c>
      <c r="B101" s="4" t="s">
        <v>9</v>
      </c>
      <c r="C101" s="4" t="s">
        <v>917</v>
      </c>
      <c r="D101" s="4" t="s">
        <v>602</v>
      </c>
      <c r="E101" s="4" t="s">
        <v>1215</v>
      </c>
      <c r="F101" s="4" t="s">
        <v>608</v>
      </c>
      <c r="G101" s="29">
        <v>47500</v>
      </c>
      <c r="H101" s="29"/>
      <c r="J101" s="26"/>
    </row>
    <row r="102" spans="1:8" ht="63">
      <c r="A102" s="1" t="s">
        <v>1034</v>
      </c>
      <c r="B102" s="2" t="s">
        <v>9</v>
      </c>
      <c r="C102" s="2" t="s">
        <v>917</v>
      </c>
      <c r="D102" s="2" t="s">
        <v>602</v>
      </c>
      <c r="E102" s="2" t="s">
        <v>712</v>
      </c>
      <c r="F102" s="2"/>
      <c r="G102" s="33">
        <f>G103</f>
        <v>20004742.5</v>
      </c>
      <c r="H102" s="29"/>
    </row>
    <row r="103" spans="1:8" ht="78.75">
      <c r="A103" s="59" t="s">
        <v>527</v>
      </c>
      <c r="B103" s="4" t="s">
        <v>9</v>
      </c>
      <c r="C103" s="4" t="s">
        <v>917</v>
      </c>
      <c r="D103" s="4" t="s">
        <v>602</v>
      </c>
      <c r="E103" s="4" t="s">
        <v>726</v>
      </c>
      <c r="F103" s="4"/>
      <c r="G103" s="29">
        <f>G104</f>
        <v>20004742.5</v>
      </c>
      <c r="H103" s="29"/>
    </row>
    <row r="104" spans="1:8" ht="47.25">
      <c r="A104" s="59" t="s">
        <v>727</v>
      </c>
      <c r="B104" s="4" t="s">
        <v>9</v>
      </c>
      <c r="C104" s="4" t="s">
        <v>917</v>
      </c>
      <c r="D104" s="4" t="s">
        <v>602</v>
      </c>
      <c r="E104" s="4" t="s">
        <v>1181</v>
      </c>
      <c r="F104" s="4"/>
      <c r="G104" s="29">
        <f>G105</f>
        <v>20004742.5</v>
      </c>
      <c r="H104" s="29"/>
    </row>
    <row r="105" spans="1:8" ht="94.5">
      <c r="A105" s="3" t="s">
        <v>749</v>
      </c>
      <c r="B105" s="4" t="s">
        <v>9</v>
      </c>
      <c r="C105" s="4" t="s">
        <v>917</v>
      </c>
      <c r="D105" s="4" t="s">
        <v>602</v>
      </c>
      <c r="E105" s="4" t="s">
        <v>1182</v>
      </c>
      <c r="F105" s="4"/>
      <c r="G105" s="29">
        <f>G106</f>
        <v>20004742.5</v>
      </c>
      <c r="H105" s="29"/>
    </row>
    <row r="106" spans="1:8" ht="63">
      <c r="A106" s="3" t="s">
        <v>525</v>
      </c>
      <c r="B106" s="4" t="s">
        <v>9</v>
      </c>
      <c r="C106" s="4" t="s">
        <v>917</v>
      </c>
      <c r="D106" s="4" t="s">
        <v>602</v>
      </c>
      <c r="E106" s="4" t="s">
        <v>1182</v>
      </c>
      <c r="F106" s="4" t="s">
        <v>609</v>
      </c>
      <c r="G106" s="29">
        <f>19815186+96096+93460.5</f>
        <v>20004742.5</v>
      </c>
      <c r="H106" s="29"/>
    </row>
    <row r="107" spans="1:8" ht="63">
      <c r="A107" s="27" t="s">
        <v>104</v>
      </c>
      <c r="B107" s="4" t="s">
        <v>9</v>
      </c>
      <c r="C107" s="4" t="s">
        <v>917</v>
      </c>
      <c r="D107" s="4" t="s">
        <v>602</v>
      </c>
      <c r="E107" s="4" t="s">
        <v>705</v>
      </c>
      <c r="F107" s="4"/>
      <c r="G107" s="29">
        <f>G108+G115+G122+G146</f>
        <v>40752683.35</v>
      </c>
      <c r="H107" s="29">
        <f>H108</f>
        <v>1020000</v>
      </c>
    </row>
    <row r="108" spans="1:8" ht="47.25">
      <c r="A108" s="27" t="s">
        <v>96</v>
      </c>
      <c r="B108" s="4" t="s">
        <v>9</v>
      </c>
      <c r="C108" s="4" t="s">
        <v>917</v>
      </c>
      <c r="D108" s="4" t="s">
        <v>602</v>
      </c>
      <c r="E108" s="4" t="s">
        <v>717</v>
      </c>
      <c r="F108" s="4"/>
      <c r="G108" s="29">
        <f>G109</f>
        <v>1020000</v>
      </c>
      <c r="H108" s="29">
        <f>H109</f>
        <v>1020000</v>
      </c>
    </row>
    <row r="109" spans="1:8" ht="47.25">
      <c r="A109" s="3" t="s">
        <v>728</v>
      </c>
      <c r="B109" s="4" t="s">
        <v>9</v>
      </c>
      <c r="C109" s="4" t="s">
        <v>917</v>
      </c>
      <c r="D109" s="4" t="s">
        <v>602</v>
      </c>
      <c r="E109" s="4" t="s">
        <v>729</v>
      </c>
      <c r="F109" s="4"/>
      <c r="G109" s="29">
        <f>G110+G112</f>
        <v>1020000</v>
      </c>
      <c r="H109" s="29">
        <f>H110+H112</f>
        <v>1020000</v>
      </c>
    </row>
    <row r="110" spans="1:8" ht="189">
      <c r="A110" s="3" t="s">
        <v>0</v>
      </c>
      <c r="B110" s="4" t="s">
        <v>9</v>
      </c>
      <c r="C110" s="4" t="s">
        <v>917</v>
      </c>
      <c r="D110" s="4" t="s">
        <v>602</v>
      </c>
      <c r="E110" s="4" t="s">
        <v>730</v>
      </c>
      <c r="F110" s="4"/>
      <c r="G110" s="29">
        <f>G111</f>
        <v>6000</v>
      </c>
      <c r="H110" s="29">
        <f>H111</f>
        <v>6000</v>
      </c>
    </row>
    <row r="111" spans="1:13" ht="47.25">
      <c r="A111" s="3" t="s">
        <v>701</v>
      </c>
      <c r="B111" s="4" t="s">
        <v>9</v>
      </c>
      <c r="C111" s="4" t="s">
        <v>917</v>
      </c>
      <c r="D111" s="4" t="s">
        <v>602</v>
      </c>
      <c r="E111" s="4" t="s">
        <v>730</v>
      </c>
      <c r="F111" s="4" t="s">
        <v>605</v>
      </c>
      <c r="G111" s="29">
        <v>6000</v>
      </c>
      <c r="H111" s="29">
        <v>6000</v>
      </c>
      <c r="M111" s="158">
        <f>-43343.34</f>
        <v>-43343.34</v>
      </c>
    </row>
    <row r="112" spans="1:8" ht="47.25">
      <c r="A112" s="3" t="s">
        <v>731</v>
      </c>
      <c r="B112" s="4" t="s">
        <v>9</v>
      </c>
      <c r="C112" s="4" t="s">
        <v>917</v>
      </c>
      <c r="D112" s="4" t="s">
        <v>602</v>
      </c>
      <c r="E112" s="4" t="s">
        <v>732</v>
      </c>
      <c r="F112" s="4"/>
      <c r="G112" s="29">
        <f>G113+G114</f>
        <v>1014000</v>
      </c>
      <c r="H112" s="29">
        <f>H113+H114</f>
        <v>1014000</v>
      </c>
    </row>
    <row r="113" spans="1:8" ht="110.25">
      <c r="A113" s="3" t="s">
        <v>92</v>
      </c>
      <c r="B113" s="4" t="s">
        <v>9</v>
      </c>
      <c r="C113" s="4" t="s">
        <v>917</v>
      </c>
      <c r="D113" s="4" t="s">
        <v>602</v>
      </c>
      <c r="E113" s="4" t="s">
        <v>732</v>
      </c>
      <c r="F113" s="4" t="s">
        <v>604</v>
      </c>
      <c r="G113" s="29">
        <v>849376.4</v>
      </c>
      <c r="H113" s="29">
        <v>849376.4</v>
      </c>
    </row>
    <row r="114" spans="1:8" ht="47.25">
      <c r="A114" s="3" t="s">
        <v>701</v>
      </c>
      <c r="B114" s="4" t="s">
        <v>9</v>
      </c>
      <c r="C114" s="4" t="s">
        <v>917</v>
      </c>
      <c r="D114" s="4" t="s">
        <v>602</v>
      </c>
      <c r="E114" s="4" t="s">
        <v>732</v>
      </c>
      <c r="F114" s="4" t="s">
        <v>605</v>
      </c>
      <c r="G114" s="29">
        <v>164623.6</v>
      </c>
      <c r="H114" s="29">
        <v>164623.6</v>
      </c>
    </row>
    <row r="115" spans="1:8" ht="31.5">
      <c r="A115" s="3" t="s">
        <v>122</v>
      </c>
      <c r="B115" s="4" t="s">
        <v>9</v>
      </c>
      <c r="C115" s="4" t="s">
        <v>917</v>
      </c>
      <c r="D115" s="4" t="s">
        <v>602</v>
      </c>
      <c r="E115" s="4" t="s">
        <v>664</v>
      </c>
      <c r="F115" s="4"/>
      <c r="G115" s="29">
        <f>G116</f>
        <v>7486865</v>
      </c>
      <c r="H115" s="29"/>
    </row>
    <row r="116" spans="1:8" ht="47.25">
      <c r="A116" s="3" t="s">
        <v>665</v>
      </c>
      <c r="B116" s="4" t="s">
        <v>9</v>
      </c>
      <c r="C116" s="4" t="s">
        <v>917</v>
      </c>
      <c r="D116" s="4" t="s">
        <v>602</v>
      </c>
      <c r="E116" s="4" t="s">
        <v>666</v>
      </c>
      <c r="F116" s="4"/>
      <c r="G116" s="29">
        <f>G117+G120</f>
        <v>7486865</v>
      </c>
      <c r="H116" s="29"/>
    </row>
    <row r="117" spans="1:8" ht="94.5">
      <c r="A117" s="3" t="s">
        <v>749</v>
      </c>
      <c r="B117" s="4" t="s">
        <v>9</v>
      </c>
      <c r="C117" s="4" t="s">
        <v>917</v>
      </c>
      <c r="D117" s="4" t="s">
        <v>602</v>
      </c>
      <c r="E117" s="4" t="s">
        <v>667</v>
      </c>
      <c r="F117" s="4"/>
      <c r="G117" s="29">
        <f>G118+G119</f>
        <v>7364819</v>
      </c>
      <c r="H117" s="29"/>
    </row>
    <row r="118" spans="1:16" ht="110.25">
      <c r="A118" s="3" t="s">
        <v>92</v>
      </c>
      <c r="B118" s="4" t="s">
        <v>9</v>
      </c>
      <c r="C118" s="4" t="s">
        <v>917</v>
      </c>
      <c r="D118" s="4" t="s">
        <v>602</v>
      </c>
      <c r="E118" s="4" t="s">
        <v>667</v>
      </c>
      <c r="F118" s="4" t="s">
        <v>604</v>
      </c>
      <c r="G118" s="29">
        <f>5159339.18+1800+890125-44645</f>
        <v>6006619.18</v>
      </c>
      <c r="H118" s="29"/>
      <c r="J118" s="26"/>
      <c r="P118" s="26"/>
    </row>
    <row r="119" spans="1:10" ht="47.25">
      <c r="A119" s="3" t="s">
        <v>701</v>
      </c>
      <c r="B119" s="4" t="s">
        <v>9</v>
      </c>
      <c r="C119" s="4" t="s">
        <v>917</v>
      </c>
      <c r="D119" s="4" t="s">
        <v>602</v>
      </c>
      <c r="E119" s="4" t="s">
        <v>667</v>
      </c>
      <c r="F119" s="4" t="s">
        <v>605</v>
      </c>
      <c r="G119" s="29">
        <f>1267304.82+90895</f>
        <v>1358199.82</v>
      </c>
      <c r="H119" s="29"/>
      <c r="J119" s="26"/>
    </row>
    <row r="120" spans="1:8" ht="94.5">
      <c r="A120" s="3" t="s">
        <v>587</v>
      </c>
      <c r="B120" s="4" t="s">
        <v>9</v>
      </c>
      <c r="C120" s="4" t="s">
        <v>917</v>
      </c>
      <c r="D120" s="4" t="s">
        <v>602</v>
      </c>
      <c r="E120" s="4" t="s">
        <v>668</v>
      </c>
      <c r="F120" s="4"/>
      <c r="G120" s="29">
        <f>G121</f>
        <v>122046</v>
      </c>
      <c r="H120" s="29"/>
    </row>
    <row r="121" spans="1:8" ht="110.25">
      <c r="A121" s="3" t="s">
        <v>506</v>
      </c>
      <c r="B121" s="4" t="s">
        <v>9</v>
      </c>
      <c r="C121" s="4" t="s">
        <v>917</v>
      </c>
      <c r="D121" s="4" t="s">
        <v>602</v>
      </c>
      <c r="E121" s="4" t="s">
        <v>668</v>
      </c>
      <c r="F121" s="4" t="s">
        <v>604</v>
      </c>
      <c r="G121" s="29">
        <f>94910+27136</f>
        <v>122046</v>
      </c>
      <c r="H121" s="29"/>
    </row>
    <row r="122" spans="1:8" ht="47.25">
      <c r="A122" s="3" t="s">
        <v>123</v>
      </c>
      <c r="B122" s="4" t="s">
        <v>9</v>
      </c>
      <c r="C122" s="4" t="s">
        <v>917</v>
      </c>
      <c r="D122" s="4" t="s">
        <v>602</v>
      </c>
      <c r="E122" s="4" t="s">
        <v>706</v>
      </c>
      <c r="F122" s="4"/>
      <c r="G122" s="29">
        <f>G123+G130+G137+G143</f>
        <v>31423508.35</v>
      </c>
      <c r="H122" s="29"/>
    </row>
    <row r="123" spans="1:8" ht="47.25">
      <c r="A123" s="3" t="s">
        <v>669</v>
      </c>
      <c r="B123" s="4" t="s">
        <v>9</v>
      </c>
      <c r="C123" s="4" t="s">
        <v>917</v>
      </c>
      <c r="D123" s="4" t="s">
        <v>602</v>
      </c>
      <c r="E123" s="4" t="s">
        <v>670</v>
      </c>
      <c r="F123" s="4"/>
      <c r="G123" s="29">
        <f>G124+G128</f>
        <v>9299204.16</v>
      </c>
      <c r="H123" s="29"/>
    </row>
    <row r="124" spans="1:8" ht="94.5">
      <c r="A124" s="3" t="s">
        <v>749</v>
      </c>
      <c r="B124" s="4" t="s">
        <v>9</v>
      </c>
      <c r="C124" s="4" t="s">
        <v>917</v>
      </c>
      <c r="D124" s="4" t="s">
        <v>602</v>
      </c>
      <c r="E124" s="4" t="s">
        <v>671</v>
      </c>
      <c r="F124" s="4"/>
      <c r="G124" s="29">
        <f>G125+G126+G127</f>
        <v>9216704.16</v>
      </c>
      <c r="H124" s="29"/>
    </row>
    <row r="125" spans="1:8" ht="110.25">
      <c r="A125" s="3" t="s">
        <v>92</v>
      </c>
      <c r="B125" s="4" t="s">
        <v>9</v>
      </c>
      <c r="C125" s="4" t="s">
        <v>917</v>
      </c>
      <c r="D125" s="4" t="s">
        <v>602</v>
      </c>
      <c r="E125" s="4" t="s">
        <v>671</v>
      </c>
      <c r="F125" s="4" t="s">
        <v>604</v>
      </c>
      <c r="G125" s="29">
        <f>6334496.89</f>
        <v>6334496.89</v>
      </c>
      <c r="H125" s="29"/>
    </row>
    <row r="126" spans="1:8" ht="47.25">
      <c r="A126" s="3" t="s">
        <v>701</v>
      </c>
      <c r="B126" s="4" t="s">
        <v>9</v>
      </c>
      <c r="C126" s="4" t="s">
        <v>917</v>
      </c>
      <c r="D126" s="4" t="s">
        <v>602</v>
      </c>
      <c r="E126" s="4" t="s">
        <v>671</v>
      </c>
      <c r="F126" s="4" t="s">
        <v>605</v>
      </c>
      <c r="G126" s="29">
        <f>26400+2744470-5043.28+72581.55</f>
        <v>2838408.27</v>
      </c>
      <c r="H126" s="29"/>
    </row>
    <row r="127" spans="1:8" ht="15.75">
      <c r="A127" s="3" t="s">
        <v>1040</v>
      </c>
      <c r="B127" s="4" t="s">
        <v>9</v>
      </c>
      <c r="C127" s="4" t="s">
        <v>917</v>
      </c>
      <c r="D127" s="4" t="s">
        <v>602</v>
      </c>
      <c r="E127" s="4" t="s">
        <v>671</v>
      </c>
      <c r="F127" s="60">
        <v>800</v>
      </c>
      <c r="G127" s="29">
        <v>43799</v>
      </c>
      <c r="H127" s="29"/>
    </row>
    <row r="128" spans="1:8" ht="94.5">
      <c r="A128" s="3" t="s">
        <v>587</v>
      </c>
      <c r="B128" s="4" t="s">
        <v>9</v>
      </c>
      <c r="C128" s="4" t="s">
        <v>917</v>
      </c>
      <c r="D128" s="4" t="s">
        <v>602</v>
      </c>
      <c r="E128" s="4" t="s">
        <v>211</v>
      </c>
      <c r="F128" s="4"/>
      <c r="G128" s="29">
        <f>G129</f>
        <v>82500</v>
      </c>
      <c r="H128" s="29"/>
    </row>
    <row r="129" spans="1:8" ht="110.25">
      <c r="A129" s="3" t="s">
        <v>506</v>
      </c>
      <c r="B129" s="4" t="s">
        <v>9</v>
      </c>
      <c r="C129" s="4" t="s">
        <v>917</v>
      </c>
      <c r="D129" s="4" t="s">
        <v>602</v>
      </c>
      <c r="E129" s="4" t="s">
        <v>211</v>
      </c>
      <c r="F129" s="4" t="s">
        <v>604</v>
      </c>
      <c r="G129" s="29">
        <v>82500</v>
      </c>
      <c r="H129" s="29"/>
    </row>
    <row r="130" spans="1:8" ht="63">
      <c r="A130" s="3" t="s">
        <v>212</v>
      </c>
      <c r="B130" s="4" t="s">
        <v>9</v>
      </c>
      <c r="C130" s="4" t="s">
        <v>917</v>
      </c>
      <c r="D130" s="4" t="s">
        <v>602</v>
      </c>
      <c r="E130" s="4" t="s">
        <v>213</v>
      </c>
      <c r="F130" s="4"/>
      <c r="G130" s="29">
        <f>G131+G135</f>
        <v>19447859.740000002</v>
      </c>
      <c r="H130" s="29"/>
    </row>
    <row r="131" spans="1:14" ht="94.5">
      <c r="A131" s="3" t="s">
        <v>749</v>
      </c>
      <c r="B131" s="4" t="s">
        <v>9</v>
      </c>
      <c r="C131" s="4" t="s">
        <v>917</v>
      </c>
      <c r="D131" s="4" t="s">
        <v>602</v>
      </c>
      <c r="E131" s="4" t="s">
        <v>214</v>
      </c>
      <c r="F131" s="4"/>
      <c r="G131" s="29">
        <f>G132+G133+G134</f>
        <v>19280359.740000002</v>
      </c>
      <c r="H131" s="29"/>
      <c r="I131" s="161"/>
      <c r="J131" s="26"/>
      <c r="M131" s="158">
        <f>-100000+214088.83+14868.39</f>
        <v>128957.21999999999</v>
      </c>
      <c r="N131" s="26"/>
    </row>
    <row r="132" spans="1:14" ht="110.25">
      <c r="A132" s="3" t="s">
        <v>92</v>
      </c>
      <c r="B132" s="4" t="s">
        <v>9</v>
      </c>
      <c r="C132" s="4" t="s">
        <v>917</v>
      </c>
      <c r="D132" s="4" t="s">
        <v>602</v>
      </c>
      <c r="E132" s="4" t="s">
        <v>214</v>
      </c>
      <c r="F132" s="4" t="s">
        <v>604</v>
      </c>
      <c r="G132" s="29">
        <f>9866082.53+9420+254972.64+76708-260000</f>
        <v>9947183.17</v>
      </c>
      <c r="H132" s="29"/>
      <c r="M132" s="158">
        <f>174717.5-74717.5</f>
        <v>100000</v>
      </c>
      <c r="N132" s="26"/>
    </row>
    <row r="133" spans="1:8" ht="47.25">
      <c r="A133" s="3" t="s">
        <v>701</v>
      </c>
      <c r="B133" s="4" t="s">
        <v>9</v>
      </c>
      <c r="C133" s="4" t="s">
        <v>917</v>
      </c>
      <c r="D133" s="4" t="s">
        <v>602</v>
      </c>
      <c r="E133" s="4" t="s">
        <v>214</v>
      </c>
      <c r="F133" s="4" t="s">
        <v>605</v>
      </c>
      <c r="G133" s="29">
        <f>92950+9597781.97-79501.65-267560.2-1900-37581.55</f>
        <v>9304188.57</v>
      </c>
      <c r="H133" s="29"/>
    </row>
    <row r="134" spans="1:8" ht="15.75">
      <c r="A134" s="3" t="s">
        <v>1040</v>
      </c>
      <c r="B134" s="4" t="s">
        <v>9</v>
      </c>
      <c r="C134" s="4" t="s">
        <v>917</v>
      </c>
      <c r="D134" s="4" t="s">
        <v>602</v>
      </c>
      <c r="E134" s="4" t="s">
        <v>214</v>
      </c>
      <c r="F134" s="60">
        <v>800</v>
      </c>
      <c r="G134" s="29">
        <f>27088+1900</f>
        <v>28988</v>
      </c>
      <c r="H134" s="29"/>
    </row>
    <row r="135" spans="1:8" ht="94.5">
      <c r="A135" s="3" t="s">
        <v>587</v>
      </c>
      <c r="B135" s="4" t="s">
        <v>9</v>
      </c>
      <c r="C135" s="4" t="s">
        <v>917</v>
      </c>
      <c r="D135" s="4" t="s">
        <v>602</v>
      </c>
      <c r="E135" s="4" t="s">
        <v>672</v>
      </c>
      <c r="F135" s="4"/>
      <c r="G135" s="29">
        <f>G136</f>
        <v>167500</v>
      </c>
      <c r="H135" s="29"/>
    </row>
    <row r="136" spans="1:8" ht="110.25">
      <c r="A136" s="3" t="s">
        <v>506</v>
      </c>
      <c r="B136" s="4" t="s">
        <v>9</v>
      </c>
      <c r="C136" s="4" t="s">
        <v>917</v>
      </c>
      <c r="D136" s="4" t="s">
        <v>602</v>
      </c>
      <c r="E136" s="4" t="s">
        <v>672</v>
      </c>
      <c r="F136" s="4" t="s">
        <v>604</v>
      </c>
      <c r="G136" s="29">
        <v>167500</v>
      </c>
      <c r="H136" s="29"/>
    </row>
    <row r="137" spans="1:8" ht="78.75" customHeight="1">
      <c r="A137" s="3" t="s">
        <v>1099</v>
      </c>
      <c r="B137" s="4" t="s">
        <v>9</v>
      </c>
      <c r="C137" s="4" t="s">
        <v>917</v>
      </c>
      <c r="D137" s="4" t="s">
        <v>602</v>
      </c>
      <c r="E137" s="4" t="s">
        <v>215</v>
      </c>
      <c r="F137" s="4"/>
      <c r="G137" s="29">
        <f>G138+G141</f>
        <v>2676444.45</v>
      </c>
      <c r="H137" s="29"/>
    </row>
    <row r="138" spans="1:8" ht="94.5">
      <c r="A138" s="3" t="s">
        <v>749</v>
      </c>
      <c r="B138" s="4" t="s">
        <v>9</v>
      </c>
      <c r="C138" s="4" t="s">
        <v>917</v>
      </c>
      <c r="D138" s="4" t="s">
        <v>602</v>
      </c>
      <c r="E138" s="4" t="s">
        <v>216</v>
      </c>
      <c r="F138" s="4"/>
      <c r="G138" s="29">
        <f>G139+G140</f>
        <v>2188020.31</v>
      </c>
      <c r="H138" s="29"/>
    </row>
    <row r="139" spans="1:8" ht="110.25">
      <c r="A139" s="3" t="s">
        <v>92</v>
      </c>
      <c r="B139" s="4" t="s">
        <v>9</v>
      </c>
      <c r="C139" s="4" t="s">
        <v>917</v>
      </c>
      <c r="D139" s="4" t="s">
        <v>602</v>
      </c>
      <c r="E139" s="4" t="s">
        <v>216</v>
      </c>
      <c r="F139" s="4" t="s">
        <v>604</v>
      </c>
      <c r="G139" s="29">
        <v>1346590.31</v>
      </c>
      <c r="H139" s="29"/>
    </row>
    <row r="140" spans="1:8" ht="47.25">
      <c r="A140" s="3" t="s">
        <v>701</v>
      </c>
      <c r="B140" s="4" t="s">
        <v>9</v>
      </c>
      <c r="C140" s="4" t="s">
        <v>917</v>
      </c>
      <c r="D140" s="4" t="s">
        <v>602</v>
      </c>
      <c r="E140" s="4" t="s">
        <v>216</v>
      </c>
      <c r="F140" s="4" t="s">
        <v>605</v>
      </c>
      <c r="G140" s="29">
        <f>791430+50000</f>
        <v>841430</v>
      </c>
      <c r="H140" s="29"/>
    </row>
    <row r="141" spans="1:8" ht="31.5">
      <c r="A141" s="3" t="s">
        <v>523</v>
      </c>
      <c r="B141" s="4" t="s">
        <v>9</v>
      </c>
      <c r="C141" s="4" t="s">
        <v>917</v>
      </c>
      <c r="D141" s="4" t="s">
        <v>602</v>
      </c>
      <c r="E141" s="4" t="s">
        <v>1100</v>
      </c>
      <c r="F141" s="4"/>
      <c r="G141" s="29">
        <f>G142</f>
        <v>488424.14</v>
      </c>
      <c r="H141" s="29"/>
    </row>
    <row r="142" spans="1:8" ht="47.25">
      <c r="A142" s="3" t="s">
        <v>701</v>
      </c>
      <c r="B142" s="4" t="s">
        <v>9</v>
      </c>
      <c r="C142" s="4" t="s">
        <v>917</v>
      </c>
      <c r="D142" s="4" t="s">
        <v>602</v>
      </c>
      <c r="E142" s="4" t="s">
        <v>1100</v>
      </c>
      <c r="F142" s="4" t="s">
        <v>605</v>
      </c>
      <c r="G142" s="29">
        <f>547501.3-59077.16</f>
        <v>488424.14</v>
      </c>
      <c r="H142" s="29"/>
    </row>
    <row r="143" spans="1:8" ht="61.5" hidden="1">
      <c r="A143" s="3" t="s">
        <v>709</v>
      </c>
      <c r="B143" s="4" t="s">
        <v>9</v>
      </c>
      <c r="C143" s="4" t="s">
        <v>917</v>
      </c>
      <c r="D143" s="4" t="s">
        <v>602</v>
      </c>
      <c r="E143" s="4" t="s">
        <v>710</v>
      </c>
      <c r="F143" s="4"/>
      <c r="G143" s="29">
        <f>G145</f>
        <v>0</v>
      </c>
      <c r="H143" s="29"/>
    </row>
    <row r="144" spans="1:8" ht="30.75" hidden="1">
      <c r="A144" s="3" t="s">
        <v>523</v>
      </c>
      <c r="B144" s="4" t="s">
        <v>9</v>
      </c>
      <c r="C144" s="4" t="s">
        <v>917</v>
      </c>
      <c r="D144" s="4" t="s">
        <v>602</v>
      </c>
      <c r="E144" s="4" t="s">
        <v>707</v>
      </c>
      <c r="F144" s="4"/>
      <c r="G144" s="29">
        <f>G145</f>
        <v>0</v>
      </c>
      <c r="H144" s="29"/>
    </row>
    <row r="145" spans="1:8" ht="46.5" hidden="1">
      <c r="A145" s="3" t="s">
        <v>701</v>
      </c>
      <c r="B145" s="4" t="s">
        <v>9</v>
      </c>
      <c r="C145" s="4" t="s">
        <v>917</v>
      </c>
      <c r="D145" s="4" t="s">
        <v>602</v>
      </c>
      <c r="E145" s="4" t="s">
        <v>707</v>
      </c>
      <c r="F145" s="4" t="s">
        <v>605</v>
      </c>
      <c r="G145" s="29">
        <f>547501.3-547501.3</f>
        <v>0</v>
      </c>
      <c r="H145" s="29"/>
    </row>
    <row r="146" spans="1:8" ht="47.25">
      <c r="A146" s="3" t="s">
        <v>133</v>
      </c>
      <c r="B146" s="4" t="s">
        <v>9</v>
      </c>
      <c r="C146" s="4" t="s">
        <v>917</v>
      </c>
      <c r="D146" s="4" t="s">
        <v>602</v>
      </c>
      <c r="E146" s="4" t="s">
        <v>708</v>
      </c>
      <c r="F146" s="60"/>
      <c r="G146" s="29">
        <f>G147+G151+G154</f>
        <v>822310</v>
      </c>
      <c r="H146" s="29"/>
    </row>
    <row r="147" spans="1:14" ht="78.75">
      <c r="A147" s="3" t="s">
        <v>711</v>
      </c>
      <c r="B147" s="4" t="s">
        <v>9</v>
      </c>
      <c r="C147" s="4" t="s">
        <v>917</v>
      </c>
      <c r="D147" s="4" t="s">
        <v>602</v>
      </c>
      <c r="E147" s="4" t="s">
        <v>673</v>
      </c>
      <c r="F147" s="60"/>
      <c r="G147" s="29">
        <f>G148</f>
        <v>223848.5</v>
      </c>
      <c r="H147" s="29"/>
      <c r="M147" s="158">
        <f>38708758.5-38514558.5</f>
        <v>194200</v>
      </c>
      <c r="N147" s="26"/>
    </row>
    <row r="148" spans="1:8" ht="55.5" customHeight="1">
      <c r="A148" s="3" t="s">
        <v>590</v>
      </c>
      <c r="B148" s="4" t="s">
        <v>9</v>
      </c>
      <c r="C148" s="4" t="s">
        <v>917</v>
      </c>
      <c r="D148" s="4" t="s">
        <v>602</v>
      </c>
      <c r="E148" s="4" t="s">
        <v>1111</v>
      </c>
      <c r="F148" s="60"/>
      <c r="G148" s="29">
        <f>G149+G150</f>
        <v>223848.5</v>
      </c>
      <c r="H148" s="29"/>
    </row>
    <row r="149" spans="1:8" ht="110.25">
      <c r="A149" s="3" t="s">
        <v>506</v>
      </c>
      <c r="B149" s="4" t="s">
        <v>9</v>
      </c>
      <c r="C149" s="4" t="s">
        <v>917</v>
      </c>
      <c r="D149" s="4" t="s">
        <v>602</v>
      </c>
      <c r="E149" s="4" t="s">
        <v>1111</v>
      </c>
      <c r="F149" s="60">
        <v>100</v>
      </c>
      <c r="G149" s="29">
        <f>42000+12700</f>
        <v>54700</v>
      </c>
      <c r="H149" s="29"/>
    </row>
    <row r="150" spans="1:8" ht="47.25">
      <c r="A150" s="3" t="s">
        <v>701</v>
      </c>
      <c r="B150" s="4" t="s">
        <v>9</v>
      </c>
      <c r="C150" s="4" t="s">
        <v>917</v>
      </c>
      <c r="D150" s="4" t="s">
        <v>602</v>
      </c>
      <c r="E150" s="4" t="s">
        <v>1111</v>
      </c>
      <c r="F150" s="60">
        <v>200</v>
      </c>
      <c r="G150" s="29">
        <f>55570+113578.5</f>
        <v>169148.5</v>
      </c>
      <c r="H150" s="29"/>
    </row>
    <row r="151" spans="1:8" ht="31.5">
      <c r="A151" s="3" t="s">
        <v>217</v>
      </c>
      <c r="B151" s="4" t="s">
        <v>9</v>
      </c>
      <c r="C151" s="4" t="s">
        <v>917</v>
      </c>
      <c r="D151" s="4" t="s">
        <v>602</v>
      </c>
      <c r="E151" s="4" t="s">
        <v>218</v>
      </c>
      <c r="F151" s="60"/>
      <c r="G151" s="29">
        <f>G152</f>
        <v>143100</v>
      </c>
      <c r="H151" s="29"/>
    </row>
    <row r="152" spans="1:8" ht="56.25" customHeight="1">
      <c r="A152" s="3" t="s">
        <v>590</v>
      </c>
      <c r="B152" s="4" t="s">
        <v>9</v>
      </c>
      <c r="C152" s="4" t="s">
        <v>917</v>
      </c>
      <c r="D152" s="4" t="s">
        <v>602</v>
      </c>
      <c r="E152" s="4" t="s">
        <v>1112</v>
      </c>
      <c r="F152" s="60"/>
      <c r="G152" s="29">
        <f>G153</f>
        <v>143100</v>
      </c>
      <c r="H152" s="29"/>
    </row>
    <row r="153" spans="1:14" ht="47.25">
      <c r="A153" s="3" t="s">
        <v>701</v>
      </c>
      <c r="B153" s="4" t="s">
        <v>9</v>
      </c>
      <c r="C153" s="4" t="s">
        <v>917</v>
      </c>
      <c r="D153" s="4" t="s">
        <v>602</v>
      </c>
      <c r="E153" s="4" t="s">
        <v>1112</v>
      </c>
      <c r="F153" s="60">
        <v>200</v>
      </c>
      <c r="G153" s="29">
        <v>143100</v>
      </c>
      <c r="H153" s="29"/>
      <c r="M153" s="158" t="s">
        <v>835</v>
      </c>
      <c r="N153" s="26"/>
    </row>
    <row r="154" spans="1:8" ht="63">
      <c r="A154" s="3" t="s">
        <v>219</v>
      </c>
      <c r="B154" s="4" t="s">
        <v>9</v>
      </c>
      <c r="C154" s="4" t="s">
        <v>917</v>
      </c>
      <c r="D154" s="4" t="s">
        <v>602</v>
      </c>
      <c r="E154" s="4" t="s">
        <v>220</v>
      </c>
      <c r="F154" s="60"/>
      <c r="G154" s="29">
        <f>G155</f>
        <v>455361.5</v>
      </c>
      <c r="H154" s="29"/>
    </row>
    <row r="155" spans="1:8" ht="47.25">
      <c r="A155" s="3" t="s">
        <v>590</v>
      </c>
      <c r="B155" s="4" t="s">
        <v>9</v>
      </c>
      <c r="C155" s="4" t="s">
        <v>917</v>
      </c>
      <c r="D155" s="4" t="s">
        <v>602</v>
      </c>
      <c r="E155" s="4" t="s">
        <v>1110</v>
      </c>
      <c r="F155" s="60"/>
      <c r="G155" s="29">
        <f>G156+G157</f>
        <v>455361.5</v>
      </c>
      <c r="H155" s="29"/>
    </row>
    <row r="156" spans="1:8" ht="110.25">
      <c r="A156" s="3" t="s">
        <v>506</v>
      </c>
      <c r="B156" s="4" t="s">
        <v>9</v>
      </c>
      <c r="C156" s="4" t="s">
        <v>917</v>
      </c>
      <c r="D156" s="4" t="s">
        <v>602</v>
      </c>
      <c r="E156" s="4" t="s">
        <v>1110</v>
      </c>
      <c r="F156" s="60">
        <v>100</v>
      </c>
      <c r="G156" s="29">
        <f>249357</f>
        <v>249357</v>
      </c>
      <c r="H156" s="29"/>
    </row>
    <row r="157" spans="1:8" ht="47.25">
      <c r="A157" s="3" t="s">
        <v>701</v>
      </c>
      <c r="B157" s="4" t="s">
        <v>9</v>
      </c>
      <c r="C157" s="4" t="s">
        <v>917</v>
      </c>
      <c r="D157" s="4" t="s">
        <v>602</v>
      </c>
      <c r="E157" s="4" t="s">
        <v>1110</v>
      </c>
      <c r="F157" s="60">
        <v>200</v>
      </c>
      <c r="G157" s="29">
        <f>332283-126278.5</f>
        <v>206004.5</v>
      </c>
      <c r="H157" s="29"/>
    </row>
    <row r="158" spans="1:8" ht="15.75">
      <c r="A158" s="3" t="s">
        <v>91</v>
      </c>
      <c r="B158" s="4" t="s">
        <v>9</v>
      </c>
      <c r="C158" s="4" t="s">
        <v>917</v>
      </c>
      <c r="D158" s="4" t="s">
        <v>602</v>
      </c>
      <c r="E158" s="4" t="s">
        <v>734</v>
      </c>
      <c r="F158" s="4"/>
      <c r="G158" s="29">
        <f>G161+G163+G159</f>
        <v>1021069.2</v>
      </c>
      <c r="H158" s="29"/>
    </row>
    <row r="159" spans="1:8" ht="47.25">
      <c r="A159" s="3" t="s">
        <v>756</v>
      </c>
      <c r="B159" s="4" t="s">
        <v>9</v>
      </c>
      <c r="C159" s="4" t="s">
        <v>917</v>
      </c>
      <c r="D159" s="4" t="s">
        <v>602</v>
      </c>
      <c r="E159" s="4" t="s">
        <v>1130</v>
      </c>
      <c r="F159" s="4"/>
      <c r="G159" s="29">
        <f>G160</f>
        <v>369269</v>
      </c>
      <c r="H159" s="29"/>
    </row>
    <row r="160" spans="1:8" ht="47.25">
      <c r="A160" s="3" t="s">
        <v>701</v>
      </c>
      <c r="B160" s="4" t="s">
        <v>9</v>
      </c>
      <c r="C160" s="4" t="s">
        <v>917</v>
      </c>
      <c r="D160" s="4" t="s">
        <v>602</v>
      </c>
      <c r="E160" s="4" t="s">
        <v>1130</v>
      </c>
      <c r="F160" s="4" t="s">
        <v>605</v>
      </c>
      <c r="G160" s="29">
        <v>369269</v>
      </c>
      <c r="H160" s="29"/>
    </row>
    <row r="161" spans="1:8" ht="31.5">
      <c r="A161" s="3" t="s">
        <v>747</v>
      </c>
      <c r="B161" s="4" t="s">
        <v>9</v>
      </c>
      <c r="C161" s="4" t="s">
        <v>917</v>
      </c>
      <c r="D161" s="4" t="s">
        <v>602</v>
      </c>
      <c r="E161" s="4" t="s">
        <v>674</v>
      </c>
      <c r="F161" s="4"/>
      <c r="G161" s="29">
        <f>G162</f>
        <v>481798</v>
      </c>
      <c r="H161" s="29"/>
    </row>
    <row r="162" spans="1:8" ht="15.75">
      <c r="A162" s="3" t="s">
        <v>1040</v>
      </c>
      <c r="B162" s="4" t="s">
        <v>9</v>
      </c>
      <c r="C162" s="4" t="s">
        <v>917</v>
      </c>
      <c r="D162" s="4" t="s">
        <v>602</v>
      </c>
      <c r="E162" s="4" t="s">
        <v>674</v>
      </c>
      <c r="F162" s="60">
        <v>800</v>
      </c>
      <c r="G162" s="29">
        <f>438890+42908</f>
        <v>481798</v>
      </c>
      <c r="H162" s="29"/>
    </row>
    <row r="163" spans="1:8" ht="31.5">
      <c r="A163" s="3" t="s">
        <v>920</v>
      </c>
      <c r="B163" s="4" t="s">
        <v>9</v>
      </c>
      <c r="C163" s="4" t="s">
        <v>917</v>
      </c>
      <c r="D163" s="4" t="s">
        <v>602</v>
      </c>
      <c r="E163" s="4" t="s">
        <v>921</v>
      </c>
      <c r="F163" s="60"/>
      <c r="G163" s="29">
        <f>G164+G165</f>
        <v>170002.2</v>
      </c>
      <c r="H163" s="29"/>
    </row>
    <row r="164" spans="1:8" ht="47.25">
      <c r="A164" s="3" t="s">
        <v>701</v>
      </c>
      <c r="B164" s="4" t="s">
        <v>9</v>
      </c>
      <c r="C164" s="4" t="s">
        <v>917</v>
      </c>
      <c r="D164" s="4" t="s">
        <v>602</v>
      </c>
      <c r="E164" s="4" t="s">
        <v>921</v>
      </c>
      <c r="F164" s="60">
        <v>200</v>
      </c>
      <c r="G164" s="29">
        <f>32501.65+467.71</f>
        <v>32969.36</v>
      </c>
      <c r="H164" s="29"/>
    </row>
    <row r="165" spans="1:8" ht="15.75">
      <c r="A165" s="3" t="s">
        <v>1040</v>
      </c>
      <c r="B165" s="4" t="s">
        <v>9</v>
      </c>
      <c r="C165" s="4" t="s">
        <v>917</v>
      </c>
      <c r="D165" s="4" t="s">
        <v>602</v>
      </c>
      <c r="E165" s="4" t="s">
        <v>921</v>
      </c>
      <c r="F165" s="60">
        <v>800</v>
      </c>
      <c r="G165" s="29">
        <f>47000+90000+32.84</f>
        <v>137032.84</v>
      </c>
      <c r="H165" s="29"/>
    </row>
    <row r="166" spans="1:8" ht="56.25">
      <c r="A166" s="10" t="s">
        <v>60</v>
      </c>
      <c r="B166" s="11" t="s">
        <v>9</v>
      </c>
      <c r="C166" s="11" t="s">
        <v>47</v>
      </c>
      <c r="D166" s="11"/>
      <c r="E166" s="11"/>
      <c r="F166" s="23"/>
      <c r="G166" s="28">
        <f>G168+G174</f>
        <v>38381482.279999994</v>
      </c>
      <c r="H166" s="28">
        <f>H167</f>
        <v>1758900</v>
      </c>
    </row>
    <row r="167" spans="1:8" ht="18.75">
      <c r="A167" s="8" t="s">
        <v>603</v>
      </c>
      <c r="B167" s="9" t="s">
        <v>9</v>
      </c>
      <c r="C167" s="9" t="s">
        <v>47</v>
      </c>
      <c r="D167" s="9" t="s">
        <v>50</v>
      </c>
      <c r="E167" s="9"/>
      <c r="F167" s="4"/>
      <c r="G167" s="33">
        <f aca="true" t="shared" si="1" ref="G167:H170">G168</f>
        <v>1758900</v>
      </c>
      <c r="H167" s="33">
        <f t="shared" si="1"/>
        <v>1758900</v>
      </c>
    </row>
    <row r="168" spans="1:8" ht="63">
      <c r="A168" s="27" t="s">
        <v>104</v>
      </c>
      <c r="B168" s="4" t="s">
        <v>9</v>
      </c>
      <c r="C168" s="4" t="s">
        <v>47</v>
      </c>
      <c r="D168" s="4" t="s">
        <v>50</v>
      </c>
      <c r="E168" s="4" t="s">
        <v>705</v>
      </c>
      <c r="F168" s="4"/>
      <c r="G168" s="29">
        <f t="shared" si="1"/>
        <v>1758900</v>
      </c>
      <c r="H168" s="29">
        <f t="shared" si="1"/>
        <v>1758900</v>
      </c>
    </row>
    <row r="169" spans="1:8" ht="47.25">
      <c r="A169" s="27" t="s">
        <v>96</v>
      </c>
      <c r="B169" s="4" t="s">
        <v>9</v>
      </c>
      <c r="C169" s="4" t="s">
        <v>47</v>
      </c>
      <c r="D169" s="4" t="s">
        <v>50</v>
      </c>
      <c r="E169" s="4" t="s">
        <v>717</v>
      </c>
      <c r="F169" s="4"/>
      <c r="G169" s="29">
        <f t="shared" si="1"/>
        <v>1758900</v>
      </c>
      <c r="H169" s="29">
        <f t="shared" si="1"/>
        <v>1758900</v>
      </c>
    </row>
    <row r="170" spans="1:8" ht="63">
      <c r="A170" s="27" t="s">
        <v>448</v>
      </c>
      <c r="B170" s="4" t="s">
        <v>9</v>
      </c>
      <c r="C170" s="4" t="s">
        <v>47</v>
      </c>
      <c r="D170" s="4" t="s">
        <v>50</v>
      </c>
      <c r="E170" s="4" t="s">
        <v>449</v>
      </c>
      <c r="F170" s="4"/>
      <c r="G170" s="29">
        <f t="shared" si="1"/>
        <v>1758900</v>
      </c>
      <c r="H170" s="29">
        <f t="shared" si="1"/>
        <v>1758900</v>
      </c>
    </row>
    <row r="171" spans="1:8" ht="141.75">
      <c r="A171" s="3" t="s">
        <v>450</v>
      </c>
      <c r="B171" s="4" t="s">
        <v>9</v>
      </c>
      <c r="C171" s="4" t="s">
        <v>47</v>
      </c>
      <c r="D171" s="4" t="s">
        <v>50</v>
      </c>
      <c r="E171" s="4" t="s">
        <v>451</v>
      </c>
      <c r="F171" s="4"/>
      <c r="G171" s="29">
        <f>G172+G173</f>
        <v>1758900</v>
      </c>
      <c r="H171" s="29">
        <f>H172+H173</f>
        <v>1758900</v>
      </c>
    </row>
    <row r="172" spans="1:8" ht="110.25">
      <c r="A172" s="3" t="s">
        <v>92</v>
      </c>
      <c r="B172" s="4" t="s">
        <v>9</v>
      </c>
      <c r="C172" s="4" t="s">
        <v>47</v>
      </c>
      <c r="D172" s="4" t="s">
        <v>50</v>
      </c>
      <c r="E172" s="4" t="s">
        <v>451</v>
      </c>
      <c r="F172" s="4" t="s">
        <v>604</v>
      </c>
      <c r="G172" s="29">
        <v>1659283.14</v>
      </c>
      <c r="H172" s="29">
        <v>1659283.14</v>
      </c>
    </row>
    <row r="173" spans="1:8" ht="47.25">
      <c r="A173" s="3" t="s">
        <v>701</v>
      </c>
      <c r="B173" s="4" t="s">
        <v>9</v>
      </c>
      <c r="C173" s="4" t="s">
        <v>47</v>
      </c>
      <c r="D173" s="4" t="s">
        <v>50</v>
      </c>
      <c r="E173" s="4" t="s">
        <v>451</v>
      </c>
      <c r="F173" s="4" t="s">
        <v>605</v>
      </c>
      <c r="G173" s="29">
        <v>99616.86</v>
      </c>
      <c r="H173" s="29">
        <v>99616.86</v>
      </c>
    </row>
    <row r="174" spans="1:8" ht="93.75">
      <c r="A174" s="8" t="s">
        <v>5</v>
      </c>
      <c r="B174" s="9" t="s">
        <v>9</v>
      </c>
      <c r="C174" s="9" t="s">
        <v>47</v>
      </c>
      <c r="D174" s="9" t="s">
        <v>46</v>
      </c>
      <c r="E174" s="9"/>
      <c r="F174" s="9"/>
      <c r="G174" s="36">
        <f>G175</f>
        <v>36622582.279999994</v>
      </c>
      <c r="H174" s="36"/>
    </row>
    <row r="175" spans="1:8" ht="63">
      <c r="A175" s="3" t="s">
        <v>108</v>
      </c>
      <c r="B175" s="4" t="s">
        <v>9</v>
      </c>
      <c r="C175" s="4" t="s">
        <v>47</v>
      </c>
      <c r="D175" s="4" t="s">
        <v>46</v>
      </c>
      <c r="E175" s="4" t="s">
        <v>630</v>
      </c>
      <c r="F175" s="4"/>
      <c r="G175" s="29">
        <f>G176</f>
        <v>36622582.279999994</v>
      </c>
      <c r="H175" s="29"/>
    </row>
    <row r="176" spans="1:8" ht="78.75">
      <c r="A176" s="3" t="s">
        <v>132</v>
      </c>
      <c r="B176" s="4" t="s">
        <v>9</v>
      </c>
      <c r="C176" s="4" t="s">
        <v>47</v>
      </c>
      <c r="D176" s="4" t="s">
        <v>46</v>
      </c>
      <c r="E176" s="4" t="s">
        <v>452</v>
      </c>
      <c r="F176" s="4"/>
      <c r="G176" s="29">
        <f>G177+G180+G187</f>
        <v>36622582.279999994</v>
      </c>
      <c r="H176" s="29"/>
    </row>
    <row r="177" spans="1:8" ht="63">
      <c r="A177" s="3" t="s">
        <v>453</v>
      </c>
      <c r="B177" s="4" t="s">
        <v>9</v>
      </c>
      <c r="C177" s="4" t="s">
        <v>47</v>
      </c>
      <c r="D177" s="4" t="s">
        <v>46</v>
      </c>
      <c r="E177" s="4" t="s">
        <v>109</v>
      </c>
      <c r="F177" s="4"/>
      <c r="G177" s="29">
        <f>G178</f>
        <v>190060.8</v>
      </c>
      <c r="H177" s="29"/>
    </row>
    <row r="178" spans="1:8" ht="31.5">
      <c r="A178" s="3" t="s">
        <v>523</v>
      </c>
      <c r="B178" s="4" t="s">
        <v>9</v>
      </c>
      <c r="C178" s="4" t="s">
        <v>47</v>
      </c>
      <c r="D178" s="4" t="s">
        <v>46</v>
      </c>
      <c r="E178" s="4" t="s">
        <v>110</v>
      </c>
      <c r="F178" s="4"/>
      <c r="G178" s="29">
        <f>G179</f>
        <v>190060.8</v>
      </c>
      <c r="H178" s="29"/>
    </row>
    <row r="179" spans="1:8" ht="47.25">
      <c r="A179" s="3" t="s">
        <v>701</v>
      </c>
      <c r="B179" s="4" t="s">
        <v>9</v>
      </c>
      <c r="C179" s="4" t="s">
        <v>47</v>
      </c>
      <c r="D179" s="4" t="s">
        <v>46</v>
      </c>
      <c r="E179" s="4" t="s">
        <v>110</v>
      </c>
      <c r="F179" s="4" t="s">
        <v>605</v>
      </c>
      <c r="G179" s="29">
        <v>190060.8</v>
      </c>
      <c r="H179" s="29"/>
    </row>
    <row r="180" spans="1:8" ht="78.75">
      <c r="A180" s="3" t="s">
        <v>111</v>
      </c>
      <c r="B180" s="4" t="s">
        <v>9</v>
      </c>
      <c r="C180" s="4" t="s">
        <v>47</v>
      </c>
      <c r="D180" s="4" t="s">
        <v>46</v>
      </c>
      <c r="E180" s="4" t="s">
        <v>112</v>
      </c>
      <c r="F180" s="4"/>
      <c r="G180" s="29">
        <f>G181+G185</f>
        <v>35252844.809999995</v>
      </c>
      <c r="H180" s="29"/>
    </row>
    <row r="181" spans="1:8" ht="94.5">
      <c r="A181" s="3" t="s">
        <v>749</v>
      </c>
      <c r="B181" s="4" t="s">
        <v>9</v>
      </c>
      <c r="C181" s="4" t="s">
        <v>47</v>
      </c>
      <c r="D181" s="4" t="s">
        <v>46</v>
      </c>
      <c r="E181" s="4" t="s">
        <v>99</v>
      </c>
      <c r="F181" s="4"/>
      <c r="G181" s="29">
        <f>G182+G183+G184</f>
        <v>34564334.809999995</v>
      </c>
      <c r="H181" s="29"/>
    </row>
    <row r="182" spans="1:13" ht="110.25">
      <c r="A182" s="3" t="s">
        <v>92</v>
      </c>
      <c r="B182" s="4" t="s">
        <v>9</v>
      </c>
      <c r="C182" s="4" t="s">
        <v>47</v>
      </c>
      <c r="D182" s="4" t="s">
        <v>46</v>
      </c>
      <c r="E182" s="4" t="s">
        <v>99</v>
      </c>
      <c r="F182" s="4" t="s">
        <v>604</v>
      </c>
      <c r="G182" s="29">
        <f>29047439.5+395552</f>
        <v>29442991.5</v>
      </c>
      <c r="H182" s="29"/>
      <c r="M182" s="158">
        <f>-121723.83-262964</f>
        <v>-384687.83</v>
      </c>
    </row>
    <row r="183" spans="1:8" ht="47.25">
      <c r="A183" s="3" t="s">
        <v>701</v>
      </c>
      <c r="B183" s="4" t="s">
        <v>9</v>
      </c>
      <c r="C183" s="4" t="s">
        <v>47</v>
      </c>
      <c r="D183" s="4" t="s">
        <v>46</v>
      </c>
      <c r="E183" s="4" t="s">
        <v>99</v>
      </c>
      <c r="F183" s="4" t="s">
        <v>605</v>
      </c>
      <c r="G183" s="29">
        <f>1301907.57+209407.68+3665291.28-200290.18+45970.38-3603.72-73386</f>
        <v>4945297.01</v>
      </c>
      <c r="H183" s="29"/>
    </row>
    <row r="184" spans="1:8" ht="15.75">
      <c r="A184" s="3" t="s">
        <v>1040</v>
      </c>
      <c r="B184" s="4" t="s">
        <v>9</v>
      </c>
      <c r="C184" s="4" t="s">
        <v>47</v>
      </c>
      <c r="D184" s="4" t="s">
        <v>46</v>
      </c>
      <c r="E184" s="4" t="s">
        <v>99</v>
      </c>
      <c r="F184" s="4" t="s">
        <v>608</v>
      </c>
      <c r="G184" s="29">
        <f>21726.5+141679+12640.8</f>
        <v>176046.3</v>
      </c>
      <c r="H184" s="29"/>
    </row>
    <row r="185" spans="1:8" ht="94.5">
      <c r="A185" s="3" t="s">
        <v>587</v>
      </c>
      <c r="B185" s="4" t="s">
        <v>9</v>
      </c>
      <c r="C185" s="4" t="s">
        <v>47</v>
      </c>
      <c r="D185" s="4" t="s">
        <v>46</v>
      </c>
      <c r="E185" s="4" t="s">
        <v>113</v>
      </c>
      <c r="F185" s="4"/>
      <c r="G185" s="29">
        <f>G186</f>
        <v>688510</v>
      </c>
      <c r="H185" s="29"/>
    </row>
    <row r="186" spans="1:8" ht="110.25">
      <c r="A186" s="3" t="s">
        <v>506</v>
      </c>
      <c r="B186" s="4" t="s">
        <v>9</v>
      </c>
      <c r="C186" s="4" t="s">
        <v>47</v>
      </c>
      <c r="D186" s="4" t="s">
        <v>46</v>
      </c>
      <c r="E186" s="4" t="s">
        <v>113</v>
      </c>
      <c r="F186" s="4" t="s">
        <v>604</v>
      </c>
      <c r="G186" s="29">
        <v>688510</v>
      </c>
      <c r="H186" s="29"/>
    </row>
    <row r="187" spans="1:8" ht="31.5">
      <c r="A187" s="3" t="s">
        <v>114</v>
      </c>
      <c r="B187" s="4" t="s">
        <v>9</v>
      </c>
      <c r="C187" s="4" t="s">
        <v>47</v>
      </c>
      <c r="D187" s="4" t="s">
        <v>46</v>
      </c>
      <c r="E187" s="4" t="s">
        <v>115</v>
      </c>
      <c r="F187" s="4"/>
      <c r="G187" s="29">
        <f>G188</f>
        <v>1179676.67</v>
      </c>
      <c r="H187" s="29"/>
    </row>
    <row r="188" spans="1:8" ht="31.5">
      <c r="A188" s="3" t="s">
        <v>523</v>
      </c>
      <c r="B188" s="4" t="s">
        <v>9</v>
      </c>
      <c r="C188" s="4" t="s">
        <v>47</v>
      </c>
      <c r="D188" s="4" t="s">
        <v>46</v>
      </c>
      <c r="E188" s="4" t="s">
        <v>116</v>
      </c>
      <c r="F188" s="4"/>
      <c r="G188" s="29">
        <f>G189</f>
        <v>1179676.67</v>
      </c>
      <c r="H188" s="29"/>
    </row>
    <row r="189" spans="1:8" ht="47.25">
      <c r="A189" s="3" t="s">
        <v>701</v>
      </c>
      <c r="B189" s="4" t="s">
        <v>9</v>
      </c>
      <c r="C189" s="4" t="s">
        <v>47</v>
      </c>
      <c r="D189" s="4" t="s">
        <v>46</v>
      </c>
      <c r="E189" s="4" t="s">
        <v>116</v>
      </c>
      <c r="F189" s="4" t="s">
        <v>605</v>
      </c>
      <c r="G189" s="29">
        <f>393068.16+786608.51</f>
        <v>1179676.67</v>
      </c>
      <c r="H189" s="29"/>
    </row>
    <row r="190" spans="1:8" ht="18.75">
      <c r="A190" s="10" t="s">
        <v>61</v>
      </c>
      <c r="B190" s="11" t="s">
        <v>9</v>
      </c>
      <c r="C190" s="11" t="s">
        <v>50</v>
      </c>
      <c r="D190" s="56"/>
      <c r="E190" s="23"/>
      <c r="F190" s="23"/>
      <c r="G190" s="28">
        <f>G191+G206+G250</f>
        <v>42786342.32</v>
      </c>
      <c r="H190" s="28">
        <f>H191+H206+H250</f>
        <v>991700</v>
      </c>
    </row>
    <row r="191" spans="1:8" ht="15.75">
      <c r="A191" s="20" t="s">
        <v>62</v>
      </c>
      <c r="B191" s="2" t="s">
        <v>9</v>
      </c>
      <c r="C191" s="2" t="s">
        <v>50</v>
      </c>
      <c r="D191" s="2" t="s">
        <v>44</v>
      </c>
      <c r="E191" s="4"/>
      <c r="F191" s="4"/>
      <c r="G191" s="33">
        <f>G192</f>
        <v>29502479</v>
      </c>
      <c r="H191" s="33">
        <f>H192</f>
        <v>942100</v>
      </c>
    </row>
    <row r="192" spans="1:8" ht="78.75">
      <c r="A192" s="3" t="s">
        <v>1035</v>
      </c>
      <c r="B192" s="4" t="s">
        <v>9</v>
      </c>
      <c r="C192" s="4" t="s">
        <v>50</v>
      </c>
      <c r="D192" s="4" t="s">
        <v>44</v>
      </c>
      <c r="E192" s="4" t="s">
        <v>977</v>
      </c>
      <c r="F192" s="4"/>
      <c r="G192" s="29">
        <f>G193</f>
        <v>29502479</v>
      </c>
      <c r="H192" s="29">
        <f>H193</f>
        <v>942100</v>
      </c>
    </row>
    <row r="193" spans="1:8" ht="47.25">
      <c r="A193" s="3" t="s">
        <v>1</v>
      </c>
      <c r="B193" s="4" t="s">
        <v>9</v>
      </c>
      <c r="C193" s="4" t="s">
        <v>50</v>
      </c>
      <c r="D193" s="4" t="s">
        <v>44</v>
      </c>
      <c r="E193" s="4" t="s">
        <v>978</v>
      </c>
      <c r="F193" s="4"/>
      <c r="G193" s="29">
        <f>G194+G200+G203+G197</f>
        <v>29502479</v>
      </c>
      <c r="H193" s="29">
        <f>H200</f>
        <v>942100</v>
      </c>
    </row>
    <row r="194" spans="1:8" ht="94.5">
      <c r="A194" s="3" t="s">
        <v>979</v>
      </c>
      <c r="B194" s="4" t="s">
        <v>9</v>
      </c>
      <c r="C194" s="4" t="s">
        <v>50</v>
      </c>
      <c r="D194" s="4" t="s">
        <v>44</v>
      </c>
      <c r="E194" s="4" t="s">
        <v>980</v>
      </c>
      <c r="F194" s="4"/>
      <c r="G194" s="29">
        <f>G195</f>
        <v>20530379</v>
      </c>
      <c r="H194" s="223"/>
    </row>
    <row r="195" spans="1:8" ht="63">
      <c r="A195" s="3" t="s">
        <v>754</v>
      </c>
      <c r="B195" s="4" t="s">
        <v>9</v>
      </c>
      <c r="C195" s="4" t="s">
        <v>50</v>
      </c>
      <c r="D195" s="4" t="s">
        <v>44</v>
      </c>
      <c r="E195" s="4" t="s">
        <v>981</v>
      </c>
      <c r="F195" s="4"/>
      <c r="G195" s="29">
        <f>G196</f>
        <v>20530379</v>
      </c>
      <c r="H195" s="223"/>
    </row>
    <row r="196" spans="1:8" ht="15.75">
      <c r="A196" s="3" t="s">
        <v>1040</v>
      </c>
      <c r="B196" s="4" t="s">
        <v>9</v>
      </c>
      <c r="C196" s="4" t="s">
        <v>50</v>
      </c>
      <c r="D196" s="4" t="s">
        <v>44</v>
      </c>
      <c r="E196" s="4" t="s">
        <v>981</v>
      </c>
      <c r="F196" s="4" t="s">
        <v>608</v>
      </c>
      <c r="G196" s="29">
        <f>29450504-890125-8000000-30000</f>
        <v>20530379</v>
      </c>
      <c r="H196" s="223"/>
    </row>
    <row r="197" spans="1:8" ht="47.25">
      <c r="A197" s="3" t="s">
        <v>1211</v>
      </c>
      <c r="B197" s="4" t="s">
        <v>9</v>
      </c>
      <c r="C197" s="4" t="s">
        <v>50</v>
      </c>
      <c r="D197" s="4" t="s">
        <v>44</v>
      </c>
      <c r="E197" s="4" t="s">
        <v>1212</v>
      </c>
      <c r="F197" s="4"/>
      <c r="G197" s="29">
        <f>G198</f>
        <v>30000</v>
      </c>
      <c r="H197" s="29"/>
    </row>
    <row r="198" spans="1:8" ht="31.5">
      <c r="A198" s="3" t="s">
        <v>523</v>
      </c>
      <c r="B198" s="4" t="s">
        <v>9</v>
      </c>
      <c r="C198" s="4" t="s">
        <v>50</v>
      </c>
      <c r="D198" s="4" t="s">
        <v>44</v>
      </c>
      <c r="E198" s="4" t="s">
        <v>1213</v>
      </c>
      <c r="F198" s="4"/>
      <c r="G198" s="29">
        <f>G199</f>
        <v>30000</v>
      </c>
      <c r="H198" s="29"/>
    </row>
    <row r="199" spans="1:8" ht="47.25">
      <c r="A199" s="3" t="s">
        <v>701</v>
      </c>
      <c r="B199" s="4" t="s">
        <v>9</v>
      </c>
      <c r="C199" s="4" t="s">
        <v>50</v>
      </c>
      <c r="D199" s="4" t="s">
        <v>44</v>
      </c>
      <c r="E199" s="4" t="s">
        <v>1213</v>
      </c>
      <c r="F199" s="4" t="s">
        <v>605</v>
      </c>
      <c r="G199" s="29">
        <f>30000</f>
        <v>30000</v>
      </c>
      <c r="H199" s="29"/>
    </row>
    <row r="200" spans="1:8" ht="94.5">
      <c r="A200" s="3" t="s">
        <v>982</v>
      </c>
      <c r="B200" s="4" t="s">
        <v>9</v>
      </c>
      <c r="C200" s="4" t="s">
        <v>50</v>
      </c>
      <c r="D200" s="4" t="s">
        <v>44</v>
      </c>
      <c r="E200" s="4" t="s">
        <v>983</v>
      </c>
      <c r="F200" s="4"/>
      <c r="G200" s="29">
        <f>G201</f>
        <v>942100</v>
      </c>
      <c r="H200" s="29">
        <f>H201</f>
        <v>942100</v>
      </c>
    </row>
    <row r="201" spans="1:8" ht="157.5">
      <c r="A201" s="3" t="s">
        <v>984</v>
      </c>
      <c r="B201" s="4" t="s">
        <v>9</v>
      </c>
      <c r="C201" s="4" t="s">
        <v>50</v>
      </c>
      <c r="D201" s="4" t="s">
        <v>44</v>
      </c>
      <c r="E201" s="4" t="s">
        <v>985</v>
      </c>
      <c r="F201" s="4"/>
      <c r="G201" s="29">
        <f>G202</f>
        <v>942100</v>
      </c>
      <c r="H201" s="29">
        <f>H202</f>
        <v>942100</v>
      </c>
    </row>
    <row r="202" spans="1:8" ht="15.75">
      <c r="A202" s="3" t="s">
        <v>1040</v>
      </c>
      <c r="B202" s="4" t="s">
        <v>9</v>
      </c>
      <c r="C202" s="4" t="s">
        <v>50</v>
      </c>
      <c r="D202" s="4" t="s">
        <v>44</v>
      </c>
      <c r="E202" s="4" t="s">
        <v>985</v>
      </c>
      <c r="F202" s="4" t="s">
        <v>608</v>
      </c>
      <c r="G202" s="29">
        <v>942100</v>
      </c>
      <c r="H202" s="29">
        <v>942100</v>
      </c>
    </row>
    <row r="203" spans="1:8" ht="15.75">
      <c r="A203" s="3" t="s">
        <v>1204</v>
      </c>
      <c r="B203" s="4" t="s">
        <v>9</v>
      </c>
      <c r="C203" s="4" t="s">
        <v>50</v>
      </c>
      <c r="D203" s="4" t="s">
        <v>44</v>
      </c>
      <c r="E203" s="4" t="s">
        <v>1205</v>
      </c>
      <c r="F203" s="4"/>
      <c r="G203" s="29">
        <f>G204</f>
        <v>8000000</v>
      </c>
      <c r="H203" s="29"/>
    </row>
    <row r="204" spans="1:8" ht="31.5">
      <c r="A204" s="3" t="s">
        <v>523</v>
      </c>
      <c r="B204" s="4" t="s">
        <v>9</v>
      </c>
      <c r="C204" s="4" t="s">
        <v>50</v>
      </c>
      <c r="D204" s="4" t="s">
        <v>44</v>
      </c>
      <c r="E204" s="4" t="s">
        <v>1206</v>
      </c>
      <c r="F204" s="4"/>
      <c r="G204" s="29">
        <f>G205</f>
        <v>8000000</v>
      </c>
      <c r="H204" s="29"/>
    </row>
    <row r="205" spans="1:8" ht="47.25">
      <c r="A205" s="3" t="s">
        <v>701</v>
      </c>
      <c r="B205" s="4" t="s">
        <v>9</v>
      </c>
      <c r="C205" s="4" t="s">
        <v>50</v>
      </c>
      <c r="D205" s="4" t="s">
        <v>44</v>
      </c>
      <c r="E205" s="4" t="s">
        <v>1206</v>
      </c>
      <c r="F205" s="4" t="s">
        <v>605</v>
      </c>
      <c r="G205" s="29">
        <f>8000000</f>
        <v>8000000</v>
      </c>
      <c r="H205" s="29"/>
    </row>
    <row r="206" spans="1:13" ht="15.75">
      <c r="A206" s="1" t="s">
        <v>597</v>
      </c>
      <c r="B206" s="2" t="s">
        <v>9</v>
      </c>
      <c r="C206" s="2" t="s">
        <v>50</v>
      </c>
      <c r="D206" s="2" t="s">
        <v>48</v>
      </c>
      <c r="E206" s="2"/>
      <c r="F206" s="2"/>
      <c r="G206" s="33">
        <f>G207</f>
        <v>13245663.32</v>
      </c>
      <c r="H206" s="33">
        <f>H207</f>
        <v>11400</v>
      </c>
      <c r="M206" s="158">
        <f>-14868.39</f>
        <v>-14868.39</v>
      </c>
    </row>
    <row r="207" spans="1:8" ht="47.25">
      <c r="A207" s="3" t="s">
        <v>1034</v>
      </c>
      <c r="B207" s="4" t="s">
        <v>9</v>
      </c>
      <c r="C207" s="4" t="s">
        <v>50</v>
      </c>
      <c r="D207" s="4" t="s">
        <v>48</v>
      </c>
      <c r="E207" s="4" t="s">
        <v>712</v>
      </c>
      <c r="F207" s="4"/>
      <c r="G207" s="29">
        <f>G208+G215</f>
        <v>13245663.32</v>
      </c>
      <c r="H207" s="29">
        <f>H215</f>
        <v>11400</v>
      </c>
    </row>
    <row r="208" spans="1:8" ht="63">
      <c r="A208" s="3" t="s">
        <v>818</v>
      </c>
      <c r="B208" s="4" t="s">
        <v>9</v>
      </c>
      <c r="C208" s="4" t="s">
        <v>50</v>
      </c>
      <c r="D208" s="4" t="s">
        <v>48</v>
      </c>
      <c r="E208" s="4" t="s">
        <v>986</v>
      </c>
      <c r="F208" s="4"/>
      <c r="G208" s="29">
        <f>G209</f>
        <v>10037861.7</v>
      </c>
      <c r="H208" s="29"/>
    </row>
    <row r="209" spans="1:8" ht="110.25">
      <c r="A209" s="3" t="s">
        <v>987</v>
      </c>
      <c r="B209" s="4" t="s">
        <v>9</v>
      </c>
      <c r="C209" s="4" t="s">
        <v>50</v>
      </c>
      <c r="D209" s="4" t="s">
        <v>48</v>
      </c>
      <c r="E209" s="4" t="s">
        <v>988</v>
      </c>
      <c r="F209" s="4"/>
      <c r="G209" s="29">
        <f>G210+G213</f>
        <v>10037861.7</v>
      </c>
      <c r="H209" s="29"/>
    </row>
    <row r="210" spans="1:8" ht="94.5">
      <c r="A210" s="3" t="s">
        <v>749</v>
      </c>
      <c r="B210" s="4" t="s">
        <v>9</v>
      </c>
      <c r="C210" s="4" t="s">
        <v>50</v>
      </c>
      <c r="D210" s="4" t="s">
        <v>48</v>
      </c>
      <c r="E210" s="4" t="s">
        <v>989</v>
      </c>
      <c r="F210" s="4"/>
      <c r="G210" s="29">
        <f>G211+G212</f>
        <v>9737861.7</v>
      </c>
      <c r="H210" s="29"/>
    </row>
    <row r="211" spans="1:8" ht="110.25">
      <c r="A211" s="3" t="s">
        <v>92</v>
      </c>
      <c r="B211" s="4" t="s">
        <v>9</v>
      </c>
      <c r="C211" s="4" t="s">
        <v>50</v>
      </c>
      <c r="D211" s="4" t="s">
        <v>48</v>
      </c>
      <c r="E211" s="4" t="s">
        <v>989</v>
      </c>
      <c r="F211" s="4" t="s">
        <v>604</v>
      </c>
      <c r="G211" s="29">
        <f>9660693.7+4404-26836</f>
        <v>9638261.7</v>
      </c>
      <c r="H211" s="29"/>
    </row>
    <row r="212" spans="1:8" ht="47.25">
      <c r="A212" s="3" t="s">
        <v>701</v>
      </c>
      <c r="B212" s="4" t="s">
        <v>9</v>
      </c>
      <c r="C212" s="4" t="s">
        <v>50</v>
      </c>
      <c r="D212" s="4" t="s">
        <v>48</v>
      </c>
      <c r="E212" s="4" t="s">
        <v>989</v>
      </c>
      <c r="F212" s="4" t="s">
        <v>605</v>
      </c>
      <c r="G212" s="29">
        <f>37060+35704+26836</f>
        <v>99600</v>
      </c>
      <c r="H212" s="29"/>
    </row>
    <row r="213" spans="1:8" ht="94.5">
      <c r="A213" s="3" t="s">
        <v>587</v>
      </c>
      <c r="B213" s="4" t="s">
        <v>9</v>
      </c>
      <c r="C213" s="4" t="s">
        <v>50</v>
      </c>
      <c r="D213" s="4" t="s">
        <v>48</v>
      </c>
      <c r="E213" s="4" t="s">
        <v>990</v>
      </c>
      <c r="F213" s="4"/>
      <c r="G213" s="29">
        <f>G214</f>
        <v>300000</v>
      </c>
      <c r="H213" s="29"/>
    </row>
    <row r="214" spans="1:8" ht="110.25">
      <c r="A214" s="3" t="s">
        <v>92</v>
      </c>
      <c r="B214" s="4" t="s">
        <v>9</v>
      </c>
      <c r="C214" s="4" t="s">
        <v>50</v>
      </c>
      <c r="D214" s="4" t="s">
        <v>48</v>
      </c>
      <c r="E214" s="4" t="s">
        <v>990</v>
      </c>
      <c r="F214" s="4" t="s">
        <v>604</v>
      </c>
      <c r="G214" s="29">
        <v>300000</v>
      </c>
      <c r="H214" s="29"/>
    </row>
    <row r="215" spans="1:8" ht="63">
      <c r="A215" s="3" t="s">
        <v>94</v>
      </c>
      <c r="B215" s="4" t="s">
        <v>9</v>
      </c>
      <c r="C215" s="4" t="s">
        <v>50</v>
      </c>
      <c r="D215" s="4" t="s">
        <v>48</v>
      </c>
      <c r="E215" s="4" t="s">
        <v>713</v>
      </c>
      <c r="F215" s="4"/>
      <c r="G215" s="29">
        <f>G219+G223+G226+G236+G240+G243+G247+G233+G216</f>
        <v>3207801.62</v>
      </c>
      <c r="H215" s="29">
        <f>H229</f>
        <v>11400</v>
      </c>
    </row>
    <row r="216" spans="1:8" ht="47.25">
      <c r="A216" s="3" t="s">
        <v>714</v>
      </c>
      <c r="B216" s="4" t="s">
        <v>9</v>
      </c>
      <c r="C216" s="4" t="s">
        <v>50</v>
      </c>
      <c r="D216" s="4" t="s">
        <v>48</v>
      </c>
      <c r="E216" s="4" t="s">
        <v>715</v>
      </c>
      <c r="F216" s="4"/>
      <c r="G216" s="29">
        <f>G217</f>
        <v>120000</v>
      </c>
      <c r="H216" s="29"/>
    </row>
    <row r="217" spans="1:8" ht="31.5">
      <c r="A217" s="3" t="s">
        <v>523</v>
      </c>
      <c r="B217" s="4" t="s">
        <v>9</v>
      </c>
      <c r="C217" s="4" t="s">
        <v>50</v>
      </c>
      <c r="D217" s="4" t="s">
        <v>48</v>
      </c>
      <c r="E217" s="4" t="s">
        <v>716</v>
      </c>
      <c r="F217" s="4"/>
      <c r="G217" s="29">
        <f>G218</f>
        <v>120000</v>
      </c>
      <c r="H217" s="29"/>
    </row>
    <row r="218" spans="1:8" ht="47.25">
      <c r="A218" s="3" t="s">
        <v>701</v>
      </c>
      <c r="B218" s="4" t="s">
        <v>9</v>
      </c>
      <c r="C218" s="4" t="s">
        <v>50</v>
      </c>
      <c r="D218" s="4" t="s">
        <v>48</v>
      </c>
      <c r="E218" s="4" t="s">
        <v>716</v>
      </c>
      <c r="F218" s="4" t="s">
        <v>605</v>
      </c>
      <c r="G218" s="29">
        <f>120000</f>
        <v>120000</v>
      </c>
      <c r="H218" s="29"/>
    </row>
    <row r="219" spans="1:8" ht="31.5">
      <c r="A219" s="3" t="s">
        <v>991</v>
      </c>
      <c r="B219" s="4" t="s">
        <v>9</v>
      </c>
      <c r="C219" s="4" t="s">
        <v>50</v>
      </c>
      <c r="D219" s="4" t="s">
        <v>48</v>
      </c>
      <c r="E219" s="4" t="s">
        <v>992</v>
      </c>
      <c r="F219" s="4"/>
      <c r="G219" s="29">
        <f>G220</f>
        <v>610030.08</v>
      </c>
      <c r="H219" s="29"/>
    </row>
    <row r="220" spans="1:8" ht="31.5">
      <c r="A220" s="3" t="s">
        <v>523</v>
      </c>
      <c r="B220" s="4" t="s">
        <v>9</v>
      </c>
      <c r="C220" s="4" t="s">
        <v>50</v>
      </c>
      <c r="D220" s="4" t="s">
        <v>48</v>
      </c>
      <c r="E220" s="4" t="s">
        <v>993</v>
      </c>
      <c r="F220" s="4"/>
      <c r="G220" s="29">
        <f>G221+G222</f>
        <v>610030.08</v>
      </c>
      <c r="H220" s="29"/>
    </row>
    <row r="221" spans="1:8" ht="47.25">
      <c r="A221" s="3" t="s">
        <v>701</v>
      </c>
      <c r="B221" s="4" t="s">
        <v>9</v>
      </c>
      <c r="C221" s="4" t="s">
        <v>50</v>
      </c>
      <c r="D221" s="4" t="s">
        <v>48</v>
      </c>
      <c r="E221" s="4" t="s">
        <v>993</v>
      </c>
      <c r="F221" s="4" t="s">
        <v>605</v>
      </c>
      <c r="G221" s="29">
        <f>261906.36+3603.72</f>
        <v>265510.07999999996</v>
      </c>
      <c r="H221" s="29"/>
    </row>
    <row r="222" spans="1:8" ht="63">
      <c r="A222" s="3" t="s">
        <v>525</v>
      </c>
      <c r="B222" s="4" t="s">
        <v>9</v>
      </c>
      <c r="C222" s="4" t="s">
        <v>50</v>
      </c>
      <c r="D222" s="4" t="s">
        <v>48</v>
      </c>
      <c r="E222" s="4" t="s">
        <v>993</v>
      </c>
      <c r="F222" s="4" t="s">
        <v>609</v>
      </c>
      <c r="G222" s="29">
        <v>344520</v>
      </c>
      <c r="H222" s="29"/>
    </row>
    <row r="223" spans="1:8" ht="63">
      <c r="A223" s="3" t="s">
        <v>296</v>
      </c>
      <c r="B223" s="4" t="s">
        <v>9</v>
      </c>
      <c r="C223" s="4" t="s">
        <v>50</v>
      </c>
      <c r="D223" s="4" t="s">
        <v>48</v>
      </c>
      <c r="E223" s="4" t="s">
        <v>297</v>
      </c>
      <c r="F223" s="4"/>
      <c r="G223" s="29">
        <f>G224</f>
        <v>15160.400000000001</v>
      </c>
      <c r="H223" s="29"/>
    </row>
    <row r="224" spans="1:8" ht="31.5">
      <c r="A224" s="3" t="s">
        <v>523</v>
      </c>
      <c r="B224" s="4" t="s">
        <v>9</v>
      </c>
      <c r="C224" s="4" t="s">
        <v>50</v>
      </c>
      <c r="D224" s="4" t="s">
        <v>48</v>
      </c>
      <c r="E224" s="4" t="s">
        <v>298</v>
      </c>
      <c r="F224" s="4"/>
      <c r="G224" s="29">
        <f>G225</f>
        <v>15160.400000000001</v>
      </c>
      <c r="H224" s="29"/>
    </row>
    <row r="225" spans="1:8" ht="47.25">
      <c r="A225" s="3" t="s">
        <v>701</v>
      </c>
      <c r="B225" s="4" t="s">
        <v>9</v>
      </c>
      <c r="C225" s="4" t="s">
        <v>50</v>
      </c>
      <c r="D225" s="4" t="s">
        <v>48</v>
      </c>
      <c r="E225" s="4" t="s">
        <v>298</v>
      </c>
      <c r="F225" s="4" t="s">
        <v>605</v>
      </c>
      <c r="G225" s="29">
        <f>13214.03+1946.37</f>
        <v>15160.400000000001</v>
      </c>
      <c r="H225" s="29"/>
    </row>
    <row r="226" spans="1:8" ht="47.25">
      <c r="A226" s="3" t="s">
        <v>299</v>
      </c>
      <c r="B226" s="4" t="s">
        <v>9</v>
      </c>
      <c r="C226" s="4" t="s">
        <v>50</v>
      </c>
      <c r="D226" s="4" t="s">
        <v>48</v>
      </c>
      <c r="E226" s="4" t="s">
        <v>300</v>
      </c>
      <c r="F226" s="4"/>
      <c r="G226" s="29">
        <f>G227+G229+G231</f>
        <v>615600.1</v>
      </c>
      <c r="H226" s="29"/>
    </row>
    <row r="227" spans="1:8" ht="31.5">
      <c r="A227" s="3" t="s">
        <v>523</v>
      </c>
      <c r="B227" s="4" t="s">
        <v>9</v>
      </c>
      <c r="C227" s="4" t="s">
        <v>50</v>
      </c>
      <c r="D227" s="4" t="s">
        <v>48</v>
      </c>
      <c r="E227" s="4" t="s">
        <v>301</v>
      </c>
      <c r="F227" s="4"/>
      <c r="G227" s="29">
        <f>G228</f>
        <v>602550.1</v>
      </c>
      <c r="H227" s="29"/>
    </row>
    <row r="228" spans="1:8" ht="47.25">
      <c r="A228" s="3" t="s">
        <v>701</v>
      </c>
      <c r="B228" s="4" t="s">
        <v>9</v>
      </c>
      <c r="C228" s="4" t="s">
        <v>50</v>
      </c>
      <c r="D228" s="4" t="s">
        <v>48</v>
      </c>
      <c r="E228" s="4" t="s">
        <v>301</v>
      </c>
      <c r="F228" s="4" t="s">
        <v>605</v>
      </c>
      <c r="G228" s="29">
        <f>510242.65+93408-600-500.55</f>
        <v>602550.1</v>
      </c>
      <c r="H228" s="29"/>
    </row>
    <row r="229" spans="1:8" ht="78.75">
      <c r="A229" s="3" t="s">
        <v>302</v>
      </c>
      <c r="B229" s="4" t="s">
        <v>9</v>
      </c>
      <c r="C229" s="4" t="s">
        <v>50</v>
      </c>
      <c r="D229" s="4" t="s">
        <v>48</v>
      </c>
      <c r="E229" s="4" t="s">
        <v>303</v>
      </c>
      <c r="F229" s="4"/>
      <c r="G229" s="29">
        <f>G230</f>
        <v>11400</v>
      </c>
      <c r="H229" s="29">
        <f>H230</f>
        <v>11400</v>
      </c>
    </row>
    <row r="230" spans="1:8" ht="47.25">
      <c r="A230" s="3" t="s">
        <v>701</v>
      </c>
      <c r="B230" s="4" t="s">
        <v>9</v>
      </c>
      <c r="C230" s="4" t="s">
        <v>50</v>
      </c>
      <c r="D230" s="4" t="s">
        <v>48</v>
      </c>
      <c r="E230" s="4" t="s">
        <v>303</v>
      </c>
      <c r="F230" s="4" t="s">
        <v>605</v>
      </c>
      <c r="G230" s="29">
        <f>11400</f>
        <v>11400</v>
      </c>
      <c r="H230" s="29">
        <f>G230</f>
        <v>11400</v>
      </c>
    </row>
    <row r="231" spans="1:8" ht="78.75">
      <c r="A231" s="3" t="s">
        <v>302</v>
      </c>
      <c r="B231" s="4" t="s">
        <v>9</v>
      </c>
      <c r="C231" s="4" t="s">
        <v>50</v>
      </c>
      <c r="D231" s="4" t="s">
        <v>48</v>
      </c>
      <c r="E231" s="4" t="s">
        <v>304</v>
      </c>
      <c r="F231" s="4"/>
      <c r="G231" s="29">
        <f>G232</f>
        <v>1650</v>
      </c>
      <c r="H231" s="29"/>
    </row>
    <row r="232" spans="1:8" ht="47.25">
      <c r="A232" s="3" t="s">
        <v>701</v>
      </c>
      <c r="B232" s="4" t="s">
        <v>9</v>
      </c>
      <c r="C232" s="4" t="s">
        <v>50</v>
      </c>
      <c r="D232" s="4" t="s">
        <v>48</v>
      </c>
      <c r="E232" s="4" t="s">
        <v>304</v>
      </c>
      <c r="F232" s="4" t="s">
        <v>605</v>
      </c>
      <c r="G232" s="29">
        <f>600+1050</f>
        <v>1650</v>
      </c>
      <c r="H232" s="29"/>
    </row>
    <row r="233" spans="1:8" ht="63">
      <c r="A233" s="3" t="s">
        <v>305</v>
      </c>
      <c r="B233" s="4" t="s">
        <v>9</v>
      </c>
      <c r="C233" s="4" t="s">
        <v>50</v>
      </c>
      <c r="D233" s="4" t="s">
        <v>48</v>
      </c>
      <c r="E233" s="4" t="s">
        <v>306</v>
      </c>
      <c r="F233" s="4"/>
      <c r="G233" s="29">
        <f>G234</f>
        <v>14000</v>
      </c>
      <c r="H233" s="29"/>
    </row>
    <row r="234" spans="1:8" ht="31.5">
      <c r="A234" s="3" t="s">
        <v>523</v>
      </c>
      <c r="B234" s="4" t="s">
        <v>9</v>
      </c>
      <c r="C234" s="4" t="s">
        <v>50</v>
      </c>
      <c r="D234" s="4" t="s">
        <v>48</v>
      </c>
      <c r="E234" s="4" t="s">
        <v>100</v>
      </c>
      <c r="F234" s="4"/>
      <c r="G234" s="29">
        <f>G235</f>
        <v>14000</v>
      </c>
      <c r="H234" s="29"/>
    </row>
    <row r="235" spans="1:8" ht="47.25">
      <c r="A235" s="3" t="s">
        <v>701</v>
      </c>
      <c r="B235" s="4" t="s">
        <v>9</v>
      </c>
      <c r="C235" s="4" t="s">
        <v>50</v>
      </c>
      <c r="D235" s="4" t="s">
        <v>48</v>
      </c>
      <c r="E235" s="4" t="s">
        <v>100</v>
      </c>
      <c r="F235" s="4" t="s">
        <v>605</v>
      </c>
      <c r="G235" s="29">
        <v>14000</v>
      </c>
      <c r="H235" s="29"/>
    </row>
    <row r="236" spans="1:8" ht="47.25">
      <c r="A236" s="3" t="s">
        <v>307</v>
      </c>
      <c r="B236" s="4" t="s">
        <v>9</v>
      </c>
      <c r="C236" s="4" t="s">
        <v>50</v>
      </c>
      <c r="D236" s="4" t="s">
        <v>48</v>
      </c>
      <c r="E236" s="4" t="s">
        <v>308</v>
      </c>
      <c r="F236" s="4"/>
      <c r="G236" s="29">
        <f>G237</f>
        <v>1477586.15</v>
      </c>
      <c r="H236" s="29"/>
    </row>
    <row r="237" spans="1:8" ht="31.5">
      <c r="A237" s="3" t="s">
        <v>523</v>
      </c>
      <c r="B237" s="4" t="s">
        <v>9</v>
      </c>
      <c r="C237" s="4" t="s">
        <v>50</v>
      </c>
      <c r="D237" s="4" t="s">
        <v>48</v>
      </c>
      <c r="E237" s="4" t="s">
        <v>309</v>
      </c>
      <c r="F237" s="4"/>
      <c r="G237" s="29">
        <f>G238+G239</f>
        <v>1477586.15</v>
      </c>
      <c r="H237" s="29"/>
    </row>
    <row r="238" spans="1:8" ht="47.25">
      <c r="A238" s="3" t="s">
        <v>701</v>
      </c>
      <c r="B238" s="4" t="s">
        <v>9</v>
      </c>
      <c r="C238" s="4" t="s">
        <v>50</v>
      </c>
      <c r="D238" s="4" t="s">
        <v>48</v>
      </c>
      <c r="E238" s="4" t="s">
        <v>309</v>
      </c>
      <c r="F238" s="4" t="s">
        <v>605</v>
      </c>
      <c r="G238" s="29">
        <f>1122939.02+55670-41946.37</f>
        <v>1136662.65</v>
      </c>
      <c r="H238" s="29"/>
    </row>
    <row r="239" spans="1:8" ht="63">
      <c r="A239" s="3" t="s">
        <v>525</v>
      </c>
      <c r="B239" s="4" t="s">
        <v>9</v>
      </c>
      <c r="C239" s="4" t="s">
        <v>50</v>
      </c>
      <c r="D239" s="4" t="s">
        <v>48</v>
      </c>
      <c r="E239" s="4" t="s">
        <v>309</v>
      </c>
      <c r="F239" s="4" t="s">
        <v>609</v>
      </c>
      <c r="G239" s="29">
        <f>530480-96096-93460.5</f>
        <v>340923.5</v>
      </c>
      <c r="H239" s="29"/>
    </row>
    <row r="240" spans="1:8" ht="31.5">
      <c r="A240" s="3" t="s">
        <v>310</v>
      </c>
      <c r="B240" s="4" t="s">
        <v>9</v>
      </c>
      <c r="C240" s="4" t="s">
        <v>50</v>
      </c>
      <c r="D240" s="4" t="s">
        <v>48</v>
      </c>
      <c r="E240" s="4" t="s">
        <v>311</v>
      </c>
      <c r="F240" s="4"/>
      <c r="G240" s="29">
        <f>G241</f>
        <v>150646.89</v>
      </c>
      <c r="H240" s="29"/>
    </row>
    <row r="241" spans="1:8" ht="31.5">
      <c r="A241" s="3" t="s">
        <v>523</v>
      </c>
      <c r="B241" s="4" t="s">
        <v>9</v>
      </c>
      <c r="C241" s="4" t="s">
        <v>50</v>
      </c>
      <c r="D241" s="4" t="s">
        <v>48</v>
      </c>
      <c r="E241" s="4" t="s">
        <v>312</v>
      </c>
      <c r="F241" s="4"/>
      <c r="G241" s="29">
        <f>G242</f>
        <v>150646.89</v>
      </c>
      <c r="H241" s="29"/>
    </row>
    <row r="242" spans="1:8" ht="47.25">
      <c r="A242" s="3" t="s">
        <v>701</v>
      </c>
      <c r="B242" s="4" t="s">
        <v>9</v>
      </c>
      <c r="C242" s="4" t="s">
        <v>50</v>
      </c>
      <c r="D242" s="4" t="s">
        <v>48</v>
      </c>
      <c r="E242" s="4" t="s">
        <v>312</v>
      </c>
      <c r="F242" s="4" t="s">
        <v>605</v>
      </c>
      <c r="G242" s="29">
        <v>150646.89</v>
      </c>
      <c r="H242" s="29"/>
    </row>
    <row r="243" spans="1:8" ht="31.5">
      <c r="A243" s="3" t="s">
        <v>313</v>
      </c>
      <c r="B243" s="4" t="s">
        <v>9</v>
      </c>
      <c r="C243" s="4" t="s">
        <v>50</v>
      </c>
      <c r="D243" s="4" t="s">
        <v>48</v>
      </c>
      <c r="E243" s="4" t="s">
        <v>314</v>
      </c>
      <c r="F243" s="4"/>
      <c r="G243" s="29">
        <f>G244</f>
        <v>204778</v>
      </c>
      <c r="H243" s="29"/>
    </row>
    <row r="244" spans="1:8" ht="31.5">
      <c r="A244" s="3" t="s">
        <v>523</v>
      </c>
      <c r="B244" s="4" t="s">
        <v>9</v>
      </c>
      <c r="C244" s="4" t="s">
        <v>50</v>
      </c>
      <c r="D244" s="4" t="s">
        <v>48</v>
      </c>
      <c r="E244" s="4" t="s">
        <v>315</v>
      </c>
      <c r="F244" s="4"/>
      <c r="G244" s="29">
        <f>G246+G245</f>
        <v>204778</v>
      </c>
      <c r="H244" s="29"/>
    </row>
    <row r="245" spans="1:8" ht="110.25">
      <c r="A245" s="3" t="s">
        <v>92</v>
      </c>
      <c r="B245" s="4" t="s">
        <v>9</v>
      </c>
      <c r="C245" s="4" t="s">
        <v>50</v>
      </c>
      <c r="D245" s="4" t="s">
        <v>48</v>
      </c>
      <c r="E245" s="4" t="s">
        <v>315</v>
      </c>
      <c r="F245" s="4" t="s">
        <v>604</v>
      </c>
      <c r="G245" s="29">
        <f>5300</f>
        <v>5300</v>
      </c>
      <c r="H245" s="29"/>
    </row>
    <row r="246" spans="1:8" ht="47.25">
      <c r="A246" s="3" t="s">
        <v>701</v>
      </c>
      <c r="B246" s="4" t="s">
        <v>9</v>
      </c>
      <c r="C246" s="4" t="s">
        <v>50</v>
      </c>
      <c r="D246" s="4" t="s">
        <v>48</v>
      </c>
      <c r="E246" s="4" t="s">
        <v>315</v>
      </c>
      <c r="F246" s="4" t="s">
        <v>605</v>
      </c>
      <c r="G246" s="29">
        <f>160000+44778-5300</f>
        <v>199478</v>
      </c>
      <c r="H246" s="29"/>
    </row>
    <row r="247" spans="1:8" ht="30.75" hidden="1">
      <c r="A247" s="3" t="s">
        <v>316</v>
      </c>
      <c r="B247" s="4" t="s">
        <v>9</v>
      </c>
      <c r="C247" s="4" t="s">
        <v>50</v>
      </c>
      <c r="D247" s="4" t="s">
        <v>48</v>
      </c>
      <c r="E247" s="4" t="s">
        <v>317</v>
      </c>
      <c r="F247" s="4"/>
      <c r="G247" s="29">
        <f>G248</f>
        <v>0</v>
      </c>
      <c r="H247" s="29"/>
    </row>
    <row r="248" spans="1:8" ht="30.75" hidden="1">
      <c r="A248" s="3" t="s">
        <v>523</v>
      </c>
      <c r="B248" s="4" t="s">
        <v>9</v>
      </c>
      <c r="C248" s="4" t="s">
        <v>50</v>
      </c>
      <c r="D248" s="4" t="s">
        <v>48</v>
      </c>
      <c r="E248" s="4" t="s">
        <v>539</v>
      </c>
      <c r="F248" s="4"/>
      <c r="G248" s="29">
        <f>G249</f>
        <v>0</v>
      </c>
      <c r="H248" s="29"/>
    </row>
    <row r="249" spans="1:8" ht="46.5" hidden="1">
      <c r="A249" s="3" t="s">
        <v>701</v>
      </c>
      <c r="B249" s="4" t="s">
        <v>9</v>
      </c>
      <c r="C249" s="4" t="s">
        <v>50</v>
      </c>
      <c r="D249" s="4" t="s">
        <v>48</v>
      </c>
      <c r="E249" s="4" t="s">
        <v>539</v>
      </c>
      <c r="F249" s="4" t="s">
        <v>605</v>
      </c>
      <c r="G249" s="29">
        <f>45828-45828</f>
        <v>0</v>
      </c>
      <c r="H249" s="29"/>
    </row>
    <row r="250" spans="1:8" ht="31.5">
      <c r="A250" s="1" t="s">
        <v>63</v>
      </c>
      <c r="B250" s="2" t="s">
        <v>9</v>
      </c>
      <c r="C250" s="2" t="s">
        <v>50</v>
      </c>
      <c r="D250" s="2" t="s">
        <v>600</v>
      </c>
      <c r="E250" s="4"/>
      <c r="F250" s="4"/>
      <c r="G250" s="33">
        <f aca="true" t="shared" si="2" ref="G250:H254">G251</f>
        <v>38200</v>
      </c>
      <c r="H250" s="33">
        <f t="shared" si="2"/>
        <v>38200</v>
      </c>
    </row>
    <row r="251" spans="1:8" ht="63">
      <c r="A251" s="27" t="s">
        <v>104</v>
      </c>
      <c r="B251" s="4" t="s">
        <v>9</v>
      </c>
      <c r="C251" s="4" t="s">
        <v>50</v>
      </c>
      <c r="D251" s="4" t="s">
        <v>600</v>
      </c>
      <c r="E251" s="4" t="s">
        <v>705</v>
      </c>
      <c r="F251" s="4"/>
      <c r="G251" s="29">
        <f t="shared" si="2"/>
        <v>38200</v>
      </c>
      <c r="H251" s="29">
        <f t="shared" si="2"/>
        <v>38200</v>
      </c>
    </row>
    <row r="252" spans="1:8" ht="47.25">
      <c r="A252" s="27" t="s">
        <v>96</v>
      </c>
      <c r="B252" s="4" t="s">
        <v>9</v>
      </c>
      <c r="C252" s="4" t="s">
        <v>50</v>
      </c>
      <c r="D252" s="4" t="s">
        <v>600</v>
      </c>
      <c r="E252" s="4" t="s">
        <v>717</v>
      </c>
      <c r="F252" s="4"/>
      <c r="G252" s="29">
        <f t="shared" si="2"/>
        <v>38200</v>
      </c>
      <c r="H252" s="29">
        <f t="shared" si="2"/>
        <v>38200</v>
      </c>
    </row>
    <row r="253" spans="1:14" ht="78.75">
      <c r="A253" s="3" t="s">
        <v>318</v>
      </c>
      <c r="B253" s="4" t="s">
        <v>9</v>
      </c>
      <c r="C253" s="4" t="s">
        <v>50</v>
      </c>
      <c r="D253" s="4" t="s">
        <v>600</v>
      </c>
      <c r="E253" s="4" t="s">
        <v>319</v>
      </c>
      <c r="F253" s="4"/>
      <c r="G253" s="29">
        <f t="shared" si="2"/>
        <v>38200</v>
      </c>
      <c r="H253" s="29">
        <f t="shared" si="2"/>
        <v>38200</v>
      </c>
      <c r="M253" s="158">
        <f>2300486-2249406</f>
        <v>51080</v>
      </c>
      <c r="N253" s="26"/>
    </row>
    <row r="254" spans="1:8" ht="141.75">
      <c r="A254" s="3" t="s">
        <v>1038</v>
      </c>
      <c r="B254" s="4" t="s">
        <v>9</v>
      </c>
      <c r="C254" s="4" t="s">
        <v>50</v>
      </c>
      <c r="D254" s="4" t="s">
        <v>600</v>
      </c>
      <c r="E254" s="4" t="s">
        <v>320</v>
      </c>
      <c r="F254" s="4"/>
      <c r="G254" s="29">
        <f t="shared" si="2"/>
        <v>38200</v>
      </c>
      <c r="H254" s="29">
        <f t="shared" si="2"/>
        <v>38200</v>
      </c>
    </row>
    <row r="255" spans="1:8" ht="110.25">
      <c r="A255" s="3" t="s">
        <v>92</v>
      </c>
      <c r="B255" s="4" t="s">
        <v>9</v>
      </c>
      <c r="C255" s="4" t="s">
        <v>50</v>
      </c>
      <c r="D255" s="4" t="s">
        <v>600</v>
      </c>
      <c r="E255" s="4" t="s">
        <v>320</v>
      </c>
      <c r="F255" s="4" t="s">
        <v>604</v>
      </c>
      <c r="G255" s="29">
        <v>38200</v>
      </c>
      <c r="H255" s="29">
        <v>38200</v>
      </c>
    </row>
    <row r="256" spans="1:8" ht="18.75">
      <c r="A256" s="10" t="s">
        <v>54</v>
      </c>
      <c r="B256" s="11" t="s">
        <v>9</v>
      </c>
      <c r="C256" s="11" t="s">
        <v>48</v>
      </c>
      <c r="D256" s="5"/>
      <c r="E256" s="5"/>
      <c r="F256" s="23"/>
      <c r="G256" s="28">
        <f>G257+G261</f>
        <v>8985470.9</v>
      </c>
      <c r="H256" s="28">
        <f>H261</f>
        <v>1369800</v>
      </c>
    </row>
    <row r="257" spans="1:14" ht="15.75">
      <c r="A257" s="1" t="s">
        <v>744</v>
      </c>
      <c r="B257" s="2" t="s">
        <v>9</v>
      </c>
      <c r="C257" s="2" t="s">
        <v>48</v>
      </c>
      <c r="D257" s="2" t="s">
        <v>917</v>
      </c>
      <c r="E257" s="2"/>
      <c r="F257" s="4"/>
      <c r="G257" s="33">
        <f>G258</f>
        <v>7615670.9</v>
      </c>
      <c r="H257" s="33"/>
      <c r="M257" s="158">
        <f>955386-904306</f>
        <v>51080</v>
      </c>
      <c r="N257" s="26"/>
    </row>
    <row r="258" spans="1:8" ht="15.75">
      <c r="A258" s="3" t="s">
        <v>91</v>
      </c>
      <c r="B258" s="4" t="s">
        <v>9</v>
      </c>
      <c r="C258" s="4" t="s">
        <v>48</v>
      </c>
      <c r="D258" s="4" t="s">
        <v>917</v>
      </c>
      <c r="E258" s="4" t="s">
        <v>734</v>
      </c>
      <c r="F258" s="4"/>
      <c r="G258" s="29">
        <f>G259</f>
        <v>7615670.9</v>
      </c>
      <c r="H258" s="29"/>
    </row>
    <row r="259" spans="1:8" ht="126">
      <c r="A259" s="3" t="s">
        <v>134</v>
      </c>
      <c r="B259" s="4" t="s">
        <v>9</v>
      </c>
      <c r="C259" s="4" t="s">
        <v>48</v>
      </c>
      <c r="D259" s="4" t="s">
        <v>917</v>
      </c>
      <c r="E259" s="4" t="s">
        <v>321</v>
      </c>
      <c r="F259" s="4"/>
      <c r="G259" s="29">
        <f>G260</f>
        <v>7615670.9</v>
      </c>
      <c r="H259" s="29"/>
    </row>
    <row r="260" spans="1:8" ht="31.5">
      <c r="A260" s="3" t="s">
        <v>565</v>
      </c>
      <c r="B260" s="4" t="s">
        <v>9</v>
      </c>
      <c r="C260" s="4" t="s">
        <v>48</v>
      </c>
      <c r="D260" s="4" t="s">
        <v>917</v>
      </c>
      <c r="E260" s="4" t="s">
        <v>321</v>
      </c>
      <c r="F260" s="4" t="s">
        <v>566</v>
      </c>
      <c r="G260" s="29">
        <f>6583330.62-9143.72+1041484</f>
        <v>7615670.9</v>
      </c>
      <c r="H260" s="29"/>
    </row>
    <row r="261" spans="1:8" ht="15.75">
      <c r="A261" s="1" t="s">
        <v>445</v>
      </c>
      <c r="B261" s="2" t="s">
        <v>9</v>
      </c>
      <c r="C261" s="2" t="s">
        <v>48</v>
      </c>
      <c r="D261" s="2" t="s">
        <v>50</v>
      </c>
      <c r="E261" s="2"/>
      <c r="F261" s="2"/>
      <c r="G261" s="33">
        <f>G262</f>
        <v>1369800</v>
      </c>
      <c r="H261" s="33">
        <f>H262</f>
        <v>1369800</v>
      </c>
    </row>
    <row r="262" spans="1:8" ht="63">
      <c r="A262" s="27" t="s">
        <v>104</v>
      </c>
      <c r="B262" s="4" t="s">
        <v>9</v>
      </c>
      <c r="C262" s="4" t="s">
        <v>48</v>
      </c>
      <c r="D262" s="4" t="s">
        <v>50</v>
      </c>
      <c r="E262" s="4" t="s">
        <v>705</v>
      </c>
      <c r="F262" s="4"/>
      <c r="G262" s="29">
        <f>G263</f>
        <v>1369800</v>
      </c>
      <c r="H262" s="29">
        <f>H263</f>
        <v>1369800</v>
      </c>
    </row>
    <row r="263" spans="1:8" ht="47.25">
      <c r="A263" s="27" t="s">
        <v>96</v>
      </c>
      <c r="B263" s="4" t="s">
        <v>9</v>
      </c>
      <c r="C263" s="4" t="s">
        <v>48</v>
      </c>
      <c r="D263" s="4" t="s">
        <v>50</v>
      </c>
      <c r="E263" s="4" t="s">
        <v>717</v>
      </c>
      <c r="F263" s="4"/>
      <c r="G263" s="29">
        <f>G264+G268</f>
        <v>1369800</v>
      </c>
      <c r="H263" s="29">
        <f>H264+H268</f>
        <v>1369800</v>
      </c>
    </row>
    <row r="264" spans="1:8" ht="63">
      <c r="A264" s="59" t="s">
        <v>444</v>
      </c>
      <c r="B264" s="4" t="s">
        <v>9</v>
      </c>
      <c r="C264" s="4" t="s">
        <v>48</v>
      </c>
      <c r="D264" s="4" t="s">
        <v>50</v>
      </c>
      <c r="E264" s="4" t="s">
        <v>323</v>
      </c>
      <c r="F264" s="4"/>
      <c r="G264" s="29">
        <f>G265</f>
        <v>1233400</v>
      </c>
      <c r="H264" s="29">
        <f>H265</f>
        <v>1233400</v>
      </c>
    </row>
    <row r="265" spans="1:8" ht="78.75">
      <c r="A265" s="59" t="s">
        <v>614</v>
      </c>
      <c r="B265" s="4" t="s">
        <v>9</v>
      </c>
      <c r="C265" s="4" t="s">
        <v>48</v>
      </c>
      <c r="D265" s="4" t="s">
        <v>50</v>
      </c>
      <c r="E265" s="4" t="s">
        <v>615</v>
      </c>
      <c r="F265" s="4"/>
      <c r="G265" s="29">
        <f>G266+G267</f>
        <v>1233400</v>
      </c>
      <c r="H265" s="29">
        <f>H266+H267</f>
        <v>1233400</v>
      </c>
    </row>
    <row r="266" spans="1:8" ht="110.25">
      <c r="A266" s="3" t="s">
        <v>92</v>
      </c>
      <c r="B266" s="4" t="s">
        <v>9</v>
      </c>
      <c r="C266" s="4" t="s">
        <v>48</v>
      </c>
      <c r="D266" s="4" t="s">
        <v>50</v>
      </c>
      <c r="E266" s="4" t="s">
        <v>615</v>
      </c>
      <c r="F266" s="4" t="s">
        <v>604</v>
      </c>
      <c r="G266" s="29">
        <f>1081469.03+13117.26</f>
        <v>1094586.29</v>
      </c>
      <c r="H266" s="29">
        <v>1081469.03</v>
      </c>
    </row>
    <row r="267" spans="1:8" ht="47.25">
      <c r="A267" s="3" t="s">
        <v>701</v>
      </c>
      <c r="B267" s="4" t="s">
        <v>9</v>
      </c>
      <c r="C267" s="4" t="s">
        <v>48</v>
      </c>
      <c r="D267" s="4" t="s">
        <v>50</v>
      </c>
      <c r="E267" s="4" t="s">
        <v>615</v>
      </c>
      <c r="F267" s="4" t="s">
        <v>605</v>
      </c>
      <c r="G267" s="29">
        <f>151930.97-13117.26</f>
        <v>138813.71</v>
      </c>
      <c r="H267" s="29">
        <v>151930.97</v>
      </c>
    </row>
    <row r="268" spans="1:8" ht="141.75">
      <c r="A268" s="3" t="s">
        <v>532</v>
      </c>
      <c r="B268" s="4" t="s">
        <v>9</v>
      </c>
      <c r="C268" s="4" t="s">
        <v>48</v>
      </c>
      <c r="D268" s="4" t="s">
        <v>50</v>
      </c>
      <c r="E268" s="4" t="s">
        <v>322</v>
      </c>
      <c r="F268" s="4"/>
      <c r="G268" s="29">
        <f>G269</f>
        <v>136400</v>
      </c>
      <c r="H268" s="29">
        <f>H269</f>
        <v>136400</v>
      </c>
    </row>
    <row r="269" spans="1:8" ht="157.5">
      <c r="A269" s="3" t="s">
        <v>616</v>
      </c>
      <c r="B269" s="4" t="s">
        <v>9</v>
      </c>
      <c r="C269" s="4" t="s">
        <v>48</v>
      </c>
      <c r="D269" s="4" t="s">
        <v>50</v>
      </c>
      <c r="E269" s="4" t="s">
        <v>617</v>
      </c>
      <c r="F269" s="4"/>
      <c r="G269" s="29">
        <f>G270+G271</f>
        <v>136400</v>
      </c>
      <c r="H269" s="29">
        <f>H270</f>
        <v>136400</v>
      </c>
    </row>
    <row r="270" spans="1:8" ht="110.25">
      <c r="A270" s="3" t="s">
        <v>92</v>
      </c>
      <c r="B270" s="4" t="s">
        <v>9</v>
      </c>
      <c r="C270" s="4" t="s">
        <v>48</v>
      </c>
      <c r="D270" s="4" t="s">
        <v>50</v>
      </c>
      <c r="E270" s="4" t="s">
        <v>617</v>
      </c>
      <c r="F270" s="4" t="s">
        <v>604</v>
      </c>
      <c r="G270" s="29">
        <f>136400-4610-1390</f>
        <v>130400</v>
      </c>
      <c r="H270" s="29">
        <v>136400</v>
      </c>
    </row>
    <row r="271" spans="1:8" ht="47.25">
      <c r="A271" s="3" t="s">
        <v>701</v>
      </c>
      <c r="B271" s="4" t="s">
        <v>9</v>
      </c>
      <c r="C271" s="4" t="s">
        <v>48</v>
      </c>
      <c r="D271" s="4" t="s">
        <v>50</v>
      </c>
      <c r="E271" s="4" t="s">
        <v>617</v>
      </c>
      <c r="F271" s="4" t="s">
        <v>605</v>
      </c>
      <c r="G271" s="29">
        <f>2000+4000</f>
        <v>6000</v>
      </c>
      <c r="H271" s="29">
        <f>G271</f>
        <v>6000</v>
      </c>
    </row>
    <row r="272" spans="1:8" ht="31.5">
      <c r="A272" s="13" t="s">
        <v>596</v>
      </c>
      <c r="B272" s="5" t="s">
        <v>9</v>
      </c>
      <c r="C272" s="5" t="s">
        <v>600</v>
      </c>
      <c r="D272" s="5" t="s">
        <v>742</v>
      </c>
      <c r="E272" s="5"/>
      <c r="F272" s="5"/>
      <c r="G272" s="28">
        <f aca="true" t="shared" si="3" ref="G272:G277">G273</f>
        <v>1425000</v>
      </c>
      <c r="H272" s="28"/>
    </row>
    <row r="273" spans="1:8" ht="31.5">
      <c r="A273" s="3" t="s">
        <v>141</v>
      </c>
      <c r="B273" s="4" t="s">
        <v>9</v>
      </c>
      <c r="C273" s="4" t="s">
        <v>600</v>
      </c>
      <c r="D273" s="4" t="s">
        <v>45</v>
      </c>
      <c r="E273" s="4"/>
      <c r="F273" s="4"/>
      <c r="G273" s="29">
        <f t="shared" si="3"/>
        <v>1425000</v>
      </c>
      <c r="H273" s="29"/>
    </row>
    <row r="274" spans="1:8" ht="47.25">
      <c r="A274" s="3" t="s">
        <v>1034</v>
      </c>
      <c r="B274" s="4" t="s">
        <v>9</v>
      </c>
      <c r="C274" s="4" t="s">
        <v>600</v>
      </c>
      <c r="D274" s="4" t="s">
        <v>45</v>
      </c>
      <c r="E274" s="4" t="s">
        <v>712</v>
      </c>
      <c r="F274" s="4"/>
      <c r="G274" s="29">
        <f t="shared" si="3"/>
        <v>1425000</v>
      </c>
      <c r="H274" s="29"/>
    </row>
    <row r="275" spans="1:8" ht="94.5">
      <c r="A275" s="3" t="s">
        <v>120</v>
      </c>
      <c r="B275" s="4" t="s">
        <v>9</v>
      </c>
      <c r="C275" s="4" t="s">
        <v>600</v>
      </c>
      <c r="D275" s="4" t="s">
        <v>45</v>
      </c>
      <c r="E275" s="4" t="s">
        <v>618</v>
      </c>
      <c r="F275" s="4"/>
      <c r="G275" s="29">
        <f>G276+G279</f>
        <v>1425000</v>
      </c>
      <c r="H275" s="29"/>
    </row>
    <row r="276" spans="1:14" ht="63">
      <c r="A276" s="3" t="s">
        <v>619</v>
      </c>
      <c r="B276" s="4" t="s">
        <v>9</v>
      </c>
      <c r="C276" s="4" t="s">
        <v>600</v>
      </c>
      <c r="D276" s="4" t="s">
        <v>45</v>
      </c>
      <c r="E276" s="4" t="s">
        <v>1183</v>
      </c>
      <c r="F276" s="4"/>
      <c r="G276" s="29">
        <f t="shared" si="3"/>
        <v>712500</v>
      </c>
      <c r="H276" s="29"/>
      <c r="J276" s="26"/>
      <c r="K276" s="26"/>
      <c r="M276" s="158">
        <f>614988998.59-(78473773+11767127)-524765718.59</f>
        <v>-17619.999999940395</v>
      </c>
      <c r="N276" s="26"/>
    </row>
    <row r="277" spans="1:14" ht="47.25">
      <c r="A277" s="3" t="s">
        <v>620</v>
      </c>
      <c r="B277" s="4" t="s">
        <v>9</v>
      </c>
      <c r="C277" s="4" t="s">
        <v>600</v>
      </c>
      <c r="D277" s="4" t="s">
        <v>45</v>
      </c>
      <c r="E277" s="4" t="s">
        <v>1184</v>
      </c>
      <c r="F277" s="4"/>
      <c r="G277" s="29">
        <f t="shared" si="3"/>
        <v>712500</v>
      </c>
      <c r="H277" s="29"/>
      <c r="J277" s="26"/>
      <c r="K277" s="26"/>
      <c r="M277" s="158">
        <f>43312323.22-43109334.05</f>
        <v>202989.1700000018</v>
      </c>
      <c r="N277" s="26"/>
    </row>
    <row r="278" spans="1:10" ht="15.75">
      <c r="A278" s="3" t="s">
        <v>1040</v>
      </c>
      <c r="B278" s="4" t="s">
        <v>9</v>
      </c>
      <c r="C278" s="4" t="s">
        <v>600</v>
      </c>
      <c r="D278" s="4" t="s">
        <v>45</v>
      </c>
      <c r="E278" s="4" t="s">
        <v>1184</v>
      </c>
      <c r="F278" s="4" t="s">
        <v>608</v>
      </c>
      <c r="G278" s="29">
        <f>1425000-712500</f>
        <v>712500</v>
      </c>
      <c r="H278" s="29"/>
      <c r="J278" s="26"/>
    </row>
    <row r="279" spans="1:10" ht="78.75">
      <c r="A279" s="3" t="s">
        <v>1185</v>
      </c>
      <c r="B279" s="77" t="s">
        <v>9</v>
      </c>
      <c r="C279" s="4" t="s">
        <v>600</v>
      </c>
      <c r="D279" s="4" t="s">
        <v>45</v>
      </c>
      <c r="E279" s="4" t="s">
        <v>1186</v>
      </c>
      <c r="F279" s="4"/>
      <c r="G279" s="29">
        <f>G280</f>
        <v>712500</v>
      </c>
      <c r="H279" s="29"/>
      <c r="J279" s="26"/>
    </row>
    <row r="280" spans="1:10" ht="31.5">
      <c r="A280" s="3" t="s">
        <v>523</v>
      </c>
      <c r="B280" s="77" t="s">
        <v>9</v>
      </c>
      <c r="C280" s="4" t="s">
        <v>600</v>
      </c>
      <c r="D280" s="4" t="s">
        <v>45</v>
      </c>
      <c r="E280" s="4" t="s">
        <v>1187</v>
      </c>
      <c r="F280" s="4"/>
      <c r="G280" s="29">
        <f>G281</f>
        <v>712500</v>
      </c>
      <c r="H280" s="29"/>
      <c r="J280" s="26"/>
    </row>
    <row r="281" spans="1:10" ht="47.25">
      <c r="A281" s="3" t="s">
        <v>701</v>
      </c>
      <c r="B281" s="77" t="s">
        <v>9</v>
      </c>
      <c r="C281" s="4" t="s">
        <v>600</v>
      </c>
      <c r="D281" s="4" t="s">
        <v>45</v>
      </c>
      <c r="E281" s="4" t="s">
        <v>1187</v>
      </c>
      <c r="F281" s="4" t="s">
        <v>605</v>
      </c>
      <c r="G281" s="29">
        <f>712500</f>
        <v>712500</v>
      </c>
      <c r="H281" s="29"/>
      <c r="J281" s="26"/>
    </row>
    <row r="282" spans="1:10" ht="47.25">
      <c r="A282" s="13" t="s">
        <v>911</v>
      </c>
      <c r="B282" s="189" t="s">
        <v>10</v>
      </c>
      <c r="C282" s="23"/>
      <c r="D282" s="23"/>
      <c r="E282" s="23"/>
      <c r="F282" s="23"/>
      <c r="G282" s="28">
        <f>G283+G377+G432+G518+G530+G573+G566</f>
        <v>373483192.84000003</v>
      </c>
      <c r="H282" s="28">
        <f>H283+H377+H432+H518+H530+H573+H566</f>
        <v>47698219.79000001</v>
      </c>
      <c r="J282" s="26"/>
    </row>
    <row r="283" spans="1:10" ht="31.5">
      <c r="A283" s="1" t="s">
        <v>59</v>
      </c>
      <c r="B283" s="196" t="s">
        <v>10</v>
      </c>
      <c r="C283" s="2" t="s">
        <v>917</v>
      </c>
      <c r="D283" s="4"/>
      <c r="E283" s="4"/>
      <c r="F283" s="4"/>
      <c r="G283" s="33">
        <f>G284+G294</f>
        <v>39913275.18000001</v>
      </c>
      <c r="H283" s="33"/>
      <c r="J283" s="26"/>
    </row>
    <row r="284" spans="1:10" ht="94.5">
      <c r="A284" s="1" t="s">
        <v>599</v>
      </c>
      <c r="B284" s="196" t="s">
        <v>10</v>
      </c>
      <c r="C284" s="2" t="s">
        <v>917</v>
      </c>
      <c r="D284" s="2" t="s">
        <v>50</v>
      </c>
      <c r="E284" s="2"/>
      <c r="F284" s="4"/>
      <c r="G284" s="33">
        <f>G285</f>
        <v>11049312</v>
      </c>
      <c r="H284" s="33"/>
      <c r="J284" s="26"/>
    </row>
    <row r="285" spans="1:10" ht="63">
      <c r="A285" s="50" t="s">
        <v>104</v>
      </c>
      <c r="B285" s="196" t="s">
        <v>10</v>
      </c>
      <c r="C285" s="2" t="s">
        <v>917</v>
      </c>
      <c r="D285" s="2" t="s">
        <v>50</v>
      </c>
      <c r="E285" s="2" t="s">
        <v>705</v>
      </c>
      <c r="F285" s="2"/>
      <c r="G285" s="33">
        <f>G286</f>
        <v>11049312</v>
      </c>
      <c r="H285" s="33"/>
      <c r="J285" s="26"/>
    </row>
    <row r="286" spans="1:10" ht="63">
      <c r="A286" s="27" t="s">
        <v>121</v>
      </c>
      <c r="B286" s="77" t="s">
        <v>10</v>
      </c>
      <c r="C286" s="4" t="s">
        <v>917</v>
      </c>
      <c r="D286" s="4" t="s">
        <v>50</v>
      </c>
      <c r="E286" s="4" t="s">
        <v>621</v>
      </c>
      <c r="F286" s="4"/>
      <c r="G286" s="29">
        <f>G287</f>
        <v>11049312</v>
      </c>
      <c r="H286" s="33"/>
      <c r="J286" s="26"/>
    </row>
    <row r="287" spans="1:10" ht="47.25">
      <c r="A287" s="27" t="s">
        <v>622</v>
      </c>
      <c r="B287" s="77" t="s">
        <v>10</v>
      </c>
      <c r="C287" s="4" t="s">
        <v>917</v>
      </c>
      <c r="D287" s="4" t="s">
        <v>50</v>
      </c>
      <c r="E287" s="4" t="s">
        <v>623</v>
      </c>
      <c r="F287" s="4"/>
      <c r="G287" s="29">
        <f>G288+G290+G292</f>
        <v>11049312</v>
      </c>
      <c r="H287" s="33"/>
      <c r="J287" s="26"/>
    </row>
    <row r="288" spans="1:10" ht="47.25">
      <c r="A288" s="27" t="s">
        <v>589</v>
      </c>
      <c r="B288" s="77" t="s">
        <v>10</v>
      </c>
      <c r="C288" s="4" t="s">
        <v>917</v>
      </c>
      <c r="D288" s="4" t="s">
        <v>50</v>
      </c>
      <c r="E288" s="4" t="s">
        <v>624</v>
      </c>
      <c r="F288" s="4"/>
      <c r="G288" s="29">
        <f>G289</f>
        <v>10799597</v>
      </c>
      <c r="H288" s="33"/>
      <c r="J288" s="26"/>
    </row>
    <row r="289" spans="1:10" ht="110.25">
      <c r="A289" s="27" t="s">
        <v>506</v>
      </c>
      <c r="B289" s="77" t="s">
        <v>10</v>
      </c>
      <c r="C289" s="4" t="s">
        <v>917</v>
      </c>
      <c r="D289" s="4" t="s">
        <v>50</v>
      </c>
      <c r="E289" s="4" t="s">
        <v>624</v>
      </c>
      <c r="F289" s="4" t="s">
        <v>604</v>
      </c>
      <c r="G289" s="29">
        <v>10799597</v>
      </c>
      <c r="H289" s="33"/>
      <c r="J289" s="26"/>
    </row>
    <row r="290" spans="1:10" ht="47.25">
      <c r="A290" s="27" t="s">
        <v>590</v>
      </c>
      <c r="B290" s="77" t="s">
        <v>10</v>
      </c>
      <c r="C290" s="4" t="s">
        <v>917</v>
      </c>
      <c r="D290" s="4" t="s">
        <v>50</v>
      </c>
      <c r="E290" s="4" t="s">
        <v>625</v>
      </c>
      <c r="F290" s="4"/>
      <c r="G290" s="29">
        <f>G291</f>
        <v>750</v>
      </c>
      <c r="H290" s="33"/>
      <c r="J290" s="26"/>
    </row>
    <row r="291" spans="1:10" ht="110.25">
      <c r="A291" s="27" t="s">
        <v>506</v>
      </c>
      <c r="B291" s="77" t="s">
        <v>10</v>
      </c>
      <c r="C291" s="4" t="s">
        <v>917</v>
      </c>
      <c r="D291" s="4" t="s">
        <v>50</v>
      </c>
      <c r="E291" s="4" t="s">
        <v>625</v>
      </c>
      <c r="F291" s="4" t="s">
        <v>604</v>
      </c>
      <c r="G291" s="29">
        <v>750</v>
      </c>
      <c r="H291" s="33"/>
      <c r="J291" s="26"/>
    </row>
    <row r="292" spans="1:10" ht="94.5">
      <c r="A292" s="27" t="s">
        <v>587</v>
      </c>
      <c r="B292" s="77" t="s">
        <v>10</v>
      </c>
      <c r="C292" s="4" t="s">
        <v>917</v>
      </c>
      <c r="D292" s="4" t="s">
        <v>50</v>
      </c>
      <c r="E292" s="4" t="s">
        <v>626</v>
      </c>
      <c r="F292" s="4"/>
      <c r="G292" s="29">
        <f>G293</f>
        <v>248965</v>
      </c>
      <c r="H292" s="33"/>
      <c r="J292" s="26"/>
    </row>
    <row r="293" spans="1:10" ht="110.25">
      <c r="A293" s="27" t="s">
        <v>506</v>
      </c>
      <c r="B293" s="77" t="s">
        <v>10</v>
      </c>
      <c r="C293" s="4" t="s">
        <v>917</v>
      </c>
      <c r="D293" s="4" t="s">
        <v>50</v>
      </c>
      <c r="E293" s="4" t="s">
        <v>626</v>
      </c>
      <c r="F293" s="4" t="s">
        <v>604</v>
      </c>
      <c r="G293" s="29">
        <f>249715-750</f>
        <v>248965</v>
      </c>
      <c r="H293" s="33"/>
      <c r="J293" s="26"/>
    </row>
    <row r="294" spans="1:10" ht="31.5">
      <c r="A294" s="1" t="s">
        <v>741</v>
      </c>
      <c r="B294" s="196" t="s">
        <v>10</v>
      </c>
      <c r="C294" s="2" t="s">
        <v>917</v>
      </c>
      <c r="D294" s="2" t="s">
        <v>602</v>
      </c>
      <c r="E294" s="2"/>
      <c r="F294" s="2"/>
      <c r="G294" s="33">
        <f>G295+G299+G311+G318+G370</f>
        <v>28863963.180000003</v>
      </c>
      <c r="H294" s="33"/>
      <c r="J294" s="26"/>
    </row>
    <row r="295" spans="1:10" ht="78.75">
      <c r="A295" s="1" t="s">
        <v>105</v>
      </c>
      <c r="B295" s="196" t="s">
        <v>10</v>
      </c>
      <c r="C295" s="2" t="s">
        <v>917</v>
      </c>
      <c r="D295" s="2" t="s">
        <v>602</v>
      </c>
      <c r="E295" s="2" t="s">
        <v>724</v>
      </c>
      <c r="F295" s="2"/>
      <c r="G295" s="33">
        <f>G296</f>
        <v>404274.08999999997</v>
      </c>
      <c r="H295" s="33"/>
      <c r="J295" s="26"/>
    </row>
    <row r="296" spans="1:10" ht="47.25">
      <c r="A296" s="3" t="s">
        <v>627</v>
      </c>
      <c r="B296" s="77" t="s">
        <v>10</v>
      </c>
      <c r="C296" s="4" t="s">
        <v>917</v>
      </c>
      <c r="D296" s="4" t="s">
        <v>602</v>
      </c>
      <c r="E296" s="4" t="s">
        <v>628</v>
      </c>
      <c r="F296" s="4"/>
      <c r="G296" s="29">
        <f>G297</f>
        <v>404274.08999999997</v>
      </c>
      <c r="H296" s="29"/>
      <c r="J296" s="26"/>
    </row>
    <row r="297" spans="1:10" ht="47.25">
      <c r="A297" s="3" t="s">
        <v>756</v>
      </c>
      <c r="B297" s="77" t="s">
        <v>10</v>
      </c>
      <c r="C297" s="4" t="s">
        <v>917</v>
      </c>
      <c r="D297" s="4" t="s">
        <v>602</v>
      </c>
      <c r="E297" s="4" t="s">
        <v>629</v>
      </c>
      <c r="F297" s="4"/>
      <c r="G297" s="29">
        <f>G298</f>
        <v>404274.08999999997</v>
      </c>
      <c r="H297" s="29"/>
      <c r="J297" s="26"/>
    </row>
    <row r="298" spans="1:10" ht="47.25">
      <c r="A298" s="3" t="s">
        <v>701</v>
      </c>
      <c r="B298" s="77" t="s">
        <v>10</v>
      </c>
      <c r="C298" s="4" t="s">
        <v>917</v>
      </c>
      <c r="D298" s="4" t="s">
        <v>602</v>
      </c>
      <c r="E298" s="4" t="s">
        <v>629</v>
      </c>
      <c r="F298" s="4" t="s">
        <v>605</v>
      </c>
      <c r="G298" s="29">
        <f>485450-81175.91</f>
        <v>404274.08999999997</v>
      </c>
      <c r="H298" s="29"/>
      <c r="J298" s="26"/>
    </row>
    <row r="299" spans="1:10" ht="78.75">
      <c r="A299" s="1" t="s">
        <v>108</v>
      </c>
      <c r="B299" s="196" t="s">
        <v>10</v>
      </c>
      <c r="C299" s="2" t="s">
        <v>917</v>
      </c>
      <c r="D299" s="2" t="s">
        <v>602</v>
      </c>
      <c r="E299" s="2" t="s">
        <v>630</v>
      </c>
      <c r="F299" s="2"/>
      <c r="G299" s="33">
        <f>G300+G307</f>
        <v>687000</v>
      </c>
      <c r="H299" s="33"/>
      <c r="J299" s="26"/>
    </row>
    <row r="300" spans="1:10" ht="63">
      <c r="A300" s="3" t="s">
        <v>130</v>
      </c>
      <c r="B300" s="77" t="s">
        <v>10</v>
      </c>
      <c r="C300" s="4" t="s">
        <v>917</v>
      </c>
      <c r="D300" s="4" t="s">
        <v>602</v>
      </c>
      <c r="E300" s="4" t="s">
        <v>631</v>
      </c>
      <c r="F300" s="4"/>
      <c r="G300" s="29">
        <f>G301+G304</f>
        <v>400000</v>
      </c>
      <c r="H300" s="29"/>
      <c r="J300" s="26"/>
    </row>
    <row r="301" spans="1:10" ht="47.25">
      <c r="A301" s="3" t="s">
        <v>278</v>
      </c>
      <c r="B301" s="77" t="s">
        <v>10</v>
      </c>
      <c r="C301" s="4" t="s">
        <v>917</v>
      </c>
      <c r="D301" s="4" t="s">
        <v>602</v>
      </c>
      <c r="E301" s="4" t="s">
        <v>221</v>
      </c>
      <c r="F301" s="4"/>
      <c r="G301" s="29">
        <f>G302</f>
        <v>400000</v>
      </c>
      <c r="H301" s="29"/>
      <c r="J301" s="26"/>
    </row>
    <row r="302" spans="1:10" ht="31.5">
      <c r="A302" s="3" t="s">
        <v>523</v>
      </c>
      <c r="B302" s="77" t="s">
        <v>10</v>
      </c>
      <c r="C302" s="4" t="s">
        <v>917</v>
      </c>
      <c r="D302" s="4" t="s">
        <v>602</v>
      </c>
      <c r="E302" s="4" t="s">
        <v>222</v>
      </c>
      <c r="F302" s="4"/>
      <c r="G302" s="29">
        <f>G303</f>
        <v>400000</v>
      </c>
      <c r="H302" s="29"/>
      <c r="J302" s="26"/>
    </row>
    <row r="303" spans="1:10" ht="47.25">
      <c r="A303" s="3" t="s">
        <v>701</v>
      </c>
      <c r="B303" s="77" t="s">
        <v>10</v>
      </c>
      <c r="C303" s="4" t="s">
        <v>917</v>
      </c>
      <c r="D303" s="4" t="s">
        <v>602</v>
      </c>
      <c r="E303" s="4" t="s">
        <v>222</v>
      </c>
      <c r="F303" s="4" t="s">
        <v>605</v>
      </c>
      <c r="G303" s="29">
        <f>3000000-2600000</f>
        <v>400000</v>
      </c>
      <c r="H303" s="29"/>
      <c r="J303" s="26"/>
    </row>
    <row r="304" spans="1:10" ht="30.75" hidden="1">
      <c r="A304" s="3" t="s">
        <v>279</v>
      </c>
      <c r="B304" s="77" t="s">
        <v>10</v>
      </c>
      <c r="C304" s="4" t="s">
        <v>917</v>
      </c>
      <c r="D304" s="4" t="s">
        <v>602</v>
      </c>
      <c r="E304" s="4" t="s">
        <v>280</v>
      </c>
      <c r="F304" s="4"/>
      <c r="G304" s="29">
        <f>G305</f>
        <v>0</v>
      </c>
      <c r="H304" s="29"/>
      <c r="J304" s="26"/>
    </row>
    <row r="305" spans="1:10" ht="30.75" hidden="1">
      <c r="A305" s="3" t="s">
        <v>523</v>
      </c>
      <c r="B305" s="77" t="s">
        <v>10</v>
      </c>
      <c r="C305" s="4" t="s">
        <v>917</v>
      </c>
      <c r="D305" s="4" t="s">
        <v>602</v>
      </c>
      <c r="E305" s="4" t="s">
        <v>281</v>
      </c>
      <c r="F305" s="4"/>
      <c r="G305" s="29">
        <f>G306</f>
        <v>0</v>
      </c>
      <c r="H305" s="29"/>
      <c r="J305" s="26"/>
    </row>
    <row r="306" spans="1:10" ht="46.5" hidden="1">
      <c r="A306" s="3" t="s">
        <v>701</v>
      </c>
      <c r="B306" s="77" t="s">
        <v>10</v>
      </c>
      <c r="C306" s="4" t="s">
        <v>917</v>
      </c>
      <c r="D306" s="4" t="s">
        <v>602</v>
      </c>
      <c r="E306" s="4" t="s">
        <v>281</v>
      </c>
      <c r="F306" s="4" t="s">
        <v>605</v>
      </c>
      <c r="G306" s="29">
        <f>2500000-2500000</f>
        <v>0</v>
      </c>
      <c r="H306" s="29"/>
      <c r="J306" s="26"/>
    </row>
    <row r="307" spans="1:10" ht="47.25">
      <c r="A307" s="3" t="s">
        <v>1125</v>
      </c>
      <c r="B307" s="77" t="s">
        <v>10</v>
      </c>
      <c r="C307" s="4" t="s">
        <v>917</v>
      </c>
      <c r="D307" s="4" t="s">
        <v>602</v>
      </c>
      <c r="E307" s="4" t="s">
        <v>1126</v>
      </c>
      <c r="F307" s="4"/>
      <c r="G307" s="29">
        <f>G308</f>
        <v>287000</v>
      </c>
      <c r="H307" s="29"/>
      <c r="J307" s="26"/>
    </row>
    <row r="308" spans="1:10" ht="78.75">
      <c r="A308" s="3" t="s">
        <v>1222</v>
      </c>
      <c r="B308" s="77" t="s">
        <v>10</v>
      </c>
      <c r="C308" s="4" t="s">
        <v>917</v>
      </c>
      <c r="D308" s="4" t="s">
        <v>602</v>
      </c>
      <c r="E308" s="4" t="s">
        <v>1223</v>
      </c>
      <c r="F308" s="4"/>
      <c r="G308" s="29">
        <f>G309</f>
        <v>287000</v>
      </c>
      <c r="H308" s="29"/>
      <c r="J308" s="26"/>
    </row>
    <row r="309" spans="1:10" ht="31.5">
      <c r="A309" s="3" t="s">
        <v>523</v>
      </c>
      <c r="B309" s="77" t="s">
        <v>10</v>
      </c>
      <c r="C309" s="4" t="s">
        <v>917</v>
      </c>
      <c r="D309" s="4" t="s">
        <v>602</v>
      </c>
      <c r="E309" s="4" t="s">
        <v>1224</v>
      </c>
      <c r="F309" s="4"/>
      <c r="G309" s="29">
        <f>G310</f>
        <v>287000</v>
      </c>
      <c r="H309" s="29"/>
      <c r="J309" s="26"/>
    </row>
    <row r="310" spans="1:10" ht="47.25">
      <c r="A310" s="3" t="s">
        <v>701</v>
      </c>
      <c r="B310" s="77" t="s">
        <v>10</v>
      </c>
      <c r="C310" s="4" t="s">
        <v>917</v>
      </c>
      <c r="D310" s="4" t="s">
        <v>602</v>
      </c>
      <c r="E310" s="4" t="s">
        <v>1224</v>
      </c>
      <c r="F310" s="4" t="s">
        <v>605</v>
      </c>
      <c r="G310" s="29">
        <f>287000</f>
        <v>287000</v>
      </c>
      <c r="H310" s="29"/>
      <c r="J310" s="26"/>
    </row>
    <row r="311" spans="1:10" ht="78.75">
      <c r="A311" s="1" t="s">
        <v>90</v>
      </c>
      <c r="B311" s="196" t="s">
        <v>10</v>
      </c>
      <c r="C311" s="2" t="s">
        <v>917</v>
      </c>
      <c r="D311" s="2" t="s">
        <v>602</v>
      </c>
      <c r="E311" s="2" t="s">
        <v>180</v>
      </c>
      <c r="F311" s="2"/>
      <c r="G311" s="33">
        <f>G312+G315</f>
        <v>85479</v>
      </c>
      <c r="H311" s="33"/>
      <c r="J311" s="26"/>
    </row>
    <row r="312" spans="1:10" ht="47.25">
      <c r="A312" s="3" t="s">
        <v>1150</v>
      </c>
      <c r="B312" s="77" t="s">
        <v>10</v>
      </c>
      <c r="C312" s="4" t="s">
        <v>917</v>
      </c>
      <c r="D312" s="4" t="s">
        <v>602</v>
      </c>
      <c r="E312" s="4" t="s">
        <v>181</v>
      </c>
      <c r="F312" s="4"/>
      <c r="G312" s="29">
        <f>G313</f>
        <v>85479</v>
      </c>
      <c r="H312" s="29"/>
      <c r="J312" s="26"/>
    </row>
    <row r="313" spans="1:10" ht="31.5">
      <c r="A313" s="3" t="s">
        <v>523</v>
      </c>
      <c r="B313" s="77" t="s">
        <v>10</v>
      </c>
      <c r="C313" s="4" t="s">
        <v>917</v>
      </c>
      <c r="D313" s="4" t="s">
        <v>602</v>
      </c>
      <c r="E313" s="4" t="s">
        <v>182</v>
      </c>
      <c r="F313" s="4"/>
      <c r="G313" s="29">
        <f>G314</f>
        <v>85479</v>
      </c>
      <c r="H313" s="29"/>
      <c r="J313" s="26"/>
    </row>
    <row r="314" spans="1:10" ht="47.25">
      <c r="A314" s="3" t="s">
        <v>701</v>
      </c>
      <c r="B314" s="77" t="s">
        <v>10</v>
      </c>
      <c r="C314" s="4" t="s">
        <v>917</v>
      </c>
      <c r="D314" s="4" t="s">
        <v>602</v>
      </c>
      <c r="E314" s="4" t="s">
        <v>182</v>
      </c>
      <c r="F314" s="4" t="s">
        <v>605</v>
      </c>
      <c r="G314" s="29">
        <f>135375+10104-60000</f>
        <v>85479</v>
      </c>
      <c r="H314" s="29"/>
      <c r="J314" s="26"/>
    </row>
    <row r="315" spans="1:10" ht="77.25" hidden="1">
      <c r="A315" s="3" t="s">
        <v>919</v>
      </c>
      <c r="B315" s="77" t="s">
        <v>10</v>
      </c>
      <c r="C315" s="4" t="s">
        <v>917</v>
      </c>
      <c r="D315" s="4" t="s">
        <v>602</v>
      </c>
      <c r="E315" s="4" t="s">
        <v>223</v>
      </c>
      <c r="F315" s="4"/>
      <c r="G315" s="29">
        <f>G316</f>
        <v>0</v>
      </c>
      <c r="H315" s="29"/>
      <c r="J315" s="26"/>
    </row>
    <row r="316" spans="1:10" ht="30.75" hidden="1">
      <c r="A316" s="3" t="s">
        <v>523</v>
      </c>
      <c r="B316" s="77" t="s">
        <v>10</v>
      </c>
      <c r="C316" s="4" t="s">
        <v>917</v>
      </c>
      <c r="D316" s="4" t="s">
        <v>602</v>
      </c>
      <c r="E316" s="4" t="s">
        <v>224</v>
      </c>
      <c r="F316" s="4"/>
      <c r="G316" s="29">
        <f>G317</f>
        <v>0</v>
      </c>
      <c r="H316" s="29"/>
      <c r="J316" s="26"/>
    </row>
    <row r="317" spans="1:10" ht="15" hidden="1">
      <c r="A317" s="3" t="s">
        <v>1040</v>
      </c>
      <c r="B317" s="77" t="s">
        <v>10</v>
      </c>
      <c r="C317" s="4" t="s">
        <v>917</v>
      </c>
      <c r="D317" s="4" t="s">
        <v>602</v>
      </c>
      <c r="E317" s="4" t="s">
        <v>224</v>
      </c>
      <c r="F317" s="4" t="s">
        <v>608</v>
      </c>
      <c r="G317" s="29">
        <f>47500-47500</f>
        <v>0</v>
      </c>
      <c r="H317" s="29"/>
      <c r="J317" s="26"/>
    </row>
    <row r="318" spans="1:10" ht="63">
      <c r="A318" s="50" t="s">
        <v>104</v>
      </c>
      <c r="B318" s="196" t="s">
        <v>10</v>
      </c>
      <c r="C318" s="2" t="s">
        <v>917</v>
      </c>
      <c r="D318" s="2" t="s">
        <v>602</v>
      </c>
      <c r="E318" s="2" t="s">
        <v>705</v>
      </c>
      <c r="F318" s="2"/>
      <c r="G318" s="33">
        <f>G319+G326+G358+G355</f>
        <v>26826099.140000004</v>
      </c>
      <c r="H318" s="33"/>
      <c r="J318" s="26"/>
    </row>
    <row r="319" spans="1:10" ht="63">
      <c r="A319" s="27" t="s">
        <v>121</v>
      </c>
      <c r="B319" s="77" t="s">
        <v>10</v>
      </c>
      <c r="C319" s="4" t="s">
        <v>917</v>
      </c>
      <c r="D319" s="4" t="s">
        <v>602</v>
      </c>
      <c r="E319" s="4" t="s">
        <v>621</v>
      </c>
      <c r="F319" s="4"/>
      <c r="G319" s="29">
        <f>G320+G323</f>
        <v>708414.71</v>
      </c>
      <c r="H319" s="29"/>
      <c r="J319" s="26"/>
    </row>
    <row r="320" spans="1:10" ht="94.5">
      <c r="A320" s="27" t="s">
        <v>183</v>
      </c>
      <c r="B320" s="77" t="s">
        <v>10</v>
      </c>
      <c r="C320" s="4" t="s">
        <v>917</v>
      </c>
      <c r="D320" s="4" t="s">
        <v>602</v>
      </c>
      <c r="E320" s="4" t="s">
        <v>184</v>
      </c>
      <c r="F320" s="4"/>
      <c r="G320" s="29">
        <f>G321</f>
        <v>182014.70999999996</v>
      </c>
      <c r="H320" s="29"/>
      <c r="J320" s="26"/>
    </row>
    <row r="321" spans="1:10" ht="63">
      <c r="A321" s="27" t="s">
        <v>914</v>
      </c>
      <c r="B321" s="77" t="s">
        <v>10</v>
      </c>
      <c r="C321" s="4" t="s">
        <v>917</v>
      </c>
      <c r="D321" s="4" t="s">
        <v>602</v>
      </c>
      <c r="E321" s="4" t="s">
        <v>185</v>
      </c>
      <c r="F321" s="4"/>
      <c r="G321" s="29">
        <f>G322</f>
        <v>182014.70999999996</v>
      </c>
      <c r="H321" s="29"/>
      <c r="J321" s="26"/>
    </row>
    <row r="322" spans="1:10" ht="47.25">
      <c r="A322" s="3" t="s">
        <v>701</v>
      </c>
      <c r="B322" s="77" t="s">
        <v>10</v>
      </c>
      <c r="C322" s="4" t="s">
        <v>917</v>
      </c>
      <c r="D322" s="4" t="s">
        <v>602</v>
      </c>
      <c r="E322" s="4" t="s">
        <v>185</v>
      </c>
      <c r="F322" s="4" t="s">
        <v>605</v>
      </c>
      <c r="G322" s="29">
        <f>1164998.71-722880-250000-10104</f>
        <v>182014.70999999996</v>
      </c>
      <c r="H322" s="29"/>
      <c r="J322" s="26"/>
    </row>
    <row r="323" spans="1:10" ht="126">
      <c r="A323" s="3" t="s">
        <v>1102</v>
      </c>
      <c r="B323" s="77" t="s">
        <v>10</v>
      </c>
      <c r="C323" s="4" t="s">
        <v>917</v>
      </c>
      <c r="D323" s="4" t="s">
        <v>602</v>
      </c>
      <c r="E323" s="4" t="s">
        <v>250</v>
      </c>
      <c r="F323" s="4"/>
      <c r="G323" s="29">
        <f>G324</f>
        <v>526400</v>
      </c>
      <c r="H323" s="29"/>
      <c r="J323" s="26"/>
    </row>
    <row r="324" spans="1:10" ht="31.5">
      <c r="A324" s="3" t="s">
        <v>523</v>
      </c>
      <c r="B324" s="77" t="s">
        <v>10</v>
      </c>
      <c r="C324" s="4" t="s">
        <v>917</v>
      </c>
      <c r="D324" s="4" t="s">
        <v>602</v>
      </c>
      <c r="E324" s="4" t="s">
        <v>251</v>
      </c>
      <c r="F324" s="4"/>
      <c r="G324" s="29">
        <f>G325</f>
        <v>526400</v>
      </c>
      <c r="H324" s="29"/>
      <c r="J324" s="26"/>
    </row>
    <row r="325" spans="1:10" ht="47.25">
      <c r="A325" s="3" t="s">
        <v>701</v>
      </c>
      <c r="B325" s="77" t="s">
        <v>10</v>
      </c>
      <c r="C325" s="4" t="s">
        <v>917</v>
      </c>
      <c r="D325" s="4" t="s">
        <v>602</v>
      </c>
      <c r="E325" s="4" t="s">
        <v>251</v>
      </c>
      <c r="F325" s="4" t="s">
        <v>605</v>
      </c>
      <c r="G325" s="29">
        <f>526500-100</f>
        <v>526400</v>
      </c>
      <c r="H325" s="29"/>
      <c r="J325" s="26"/>
    </row>
    <row r="326" spans="1:10" ht="78.75">
      <c r="A326" s="3" t="s">
        <v>2</v>
      </c>
      <c r="B326" s="77" t="s">
        <v>10</v>
      </c>
      <c r="C326" s="4" t="s">
        <v>917</v>
      </c>
      <c r="D326" s="4" t="s">
        <v>602</v>
      </c>
      <c r="E326" s="4" t="s">
        <v>454</v>
      </c>
      <c r="F326" s="4"/>
      <c r="G326" s="29">
        <f>G327+G336+G339+G348+G345</f>
        <v>25513582.930000003</v>
      </c>
      <c r="H326" s="29"/>
      <c r="J326" s="26"/>
    </row>
    <row r="327" spans="1:10" ht="141.75">
      <c r="A327" s="3" t="s">
        <v>522</v>
      </c>
      <c r="B327" s="77" t="s">
        <v>10</v>
      </c>
      <c r="C327" s="4" t="s">
        <v>917</v>
      </c>
      <c r="D327" s="4" t="s">
        <v>602</v>
      </c>
      <c r="E327" s="4" t="s">
        <v>455</v>
      </c>
      <c r="F327" s="4"/>
      <c r="G327" s="29">
        <f>G328+G332+G334</f>
        <v>17293300.830000002</v>
      </c>
      <c r="H327" s="29"/>
      <c r="J327" s="26"/>
    </row>
    <row r="328" spans="1:10" ht="94.5">
      <c r="A328" s="3" t="s">
        <v>749</v>
      </c>
      <c r="B328" s="77" t="s">
        <v>10</v>
      </c>
      <c r="C328" s="4" t="s">
        <v>917</v>
      </c>
      <c r="D328" s="4" t="s">
        <v>602</v>
      </c>
      <c r="E328" s="4" t="s">
        <v>456</v>
      </c>
      <c r="F328" s="4"/>
      <c r="G328" s="29">
        <f>G329+G330+G331</f>
        <v>17109230.490000002</v>
      </c>
      <c r="H328" s="29"/>
      <c r="J328" s="26"/>
    </row>
    <row r="329" spans="1:10" ht="110.25">
      <c r="A329" s="3" t="s">
        <v>92</v>
      </c>
      <c r="B329" s="77" t="s">
        <v>10</v>
      </c>
      <c r="C329" s="4" t="s">
        <v>917</v>
      </c>
      <c r="D329" s="4" t="s">
        <v>602</v>
      </c>
      <c r="E329" s="4" t="s">
        <v>456</v>
      </c>
      <c r="F329" s="4" t="s">
        <v>604</v>
      </c>
      <c r="G329" s="29">
        <f>15831999.8+408752.24-39650+9929</f>
        <v>16211031.040000001</v>
      </c>
      <c r="H329" s="29"/>
      <c r="J329" s="26"/>
    </row>
    <row r="330" spans="1:10" ht="47.25">
      <c r="A330" s="3" t="s">
        <v>93</v>
      </c>
      <c r="B330" s="77" t="s">
        <v>10</v>
      </c>
      <c r="C330" s="4" t="s">
        <v>917</v>
      </c>
      <c r="D330" s="4" t="s">
        <v>602</v>
      </c>
      <c r="E330" s="4" t="s">
        <v>456</v>
      </c>
      <c r="F330" s="4" t="s">
        <v>605</v>
      </c>
      <c r="G330" s="29">
        <f>413831.38+432858.07-800+39650+11860</f>
        <v>897399.45</v>
      </c>
      <c r="H330" s="29"/>
      <c r="J330" s="26"/>
    </row>
    <row r="331" spans="1:10" ht="15.75">
      <c r="A331" s="3" t="s">
        <v>1040</v>
      </c>
      <c r="B331" s="77" t="s">
        <v>10</v>
      </c>
      <c r="C331" s="4" t="s">
        <v>917</v>
      </c>
      <c r="D331" s="4" t="s">
        <v>602</v>
      </c>
      <c r="E331" s="4" t="s">
        <v>456</v>
      </c>
      <c r="F331" s="4" t="s">
        <v>608</v>
      </c>
      <c r="G331" s="29">
        <f>800</f>
        <v>800</v>
      </c>
      <c r="H331" s="29"/>
      <c r="J331" s="26"/>
    </row>
    <row r="332" spans="1:10" ht="94.5">
      <c r="A332" s="3" t="s">
        <v>587</v>
      </c>
      <c r="B332" s="77" t="s">
        <v>10</v>
      </c>
      <c r="C332" s="4" t="s">
        <v>917</v>
      </c>
      <c r="D332" s="4" t="s">
        <v>602</v>
      </c>
      <c r="E332" s="4" t="s">
        <v>457</v>
      </c>
      <c r="F332" s="4"/>
      <c r="G332" s="29">
        <f>G333</f>
        <v>184070.34</v>
      </c>
      <c r="H332" s="29"/>
      <c r="J332" s="26"/>
    </row>
    <row r="333" spans="1:10" ht="110.25">
      <c r="A333" s="3" t="s">
        <v>506</v>
      </c>
      <c r="B333" s="77" t="s">
        <v>10</v>
      </c>
      <c r="C333" s="4" t="s">
        <v>917</v>
      </c>
      <c r="D333" s="4" t="s">
        <v>602</v>
      </c>
      <c r="E333" s="4" t="s">
        <v>457</v>
      </c>
      <c r="F333" s="4" t="s">
        <v>604</v>
      </c>
      <c r="G333" s="29">
        <f>117693+66377.34</f>
        <v>184070.34</v>
      </c>
      <c r="H333" s="29"/>
      <c r="J333" s="26"/>
    </row>
    <row r="334" spans="1:10" ht="30.75" hidden="1">
      <c r="A334" s="3" t="s">
        <v>523</v>
      </c>
      <c r="B334" s="77" t="s">
        <v>10</v>
      </c>
      <c r="C334" s="4" t="s">
        <v>917</v>
      </c>
      <c r="D334" s="4" t="s">
        <v>602</v>
      </c>
      <c r="E334" s="4" t="s">
        <v>225</v>
      </c>
      <c r="F334" s="4"/>
      <c r="G334" s="29">
        <f>G335</f>
        <v>0</v>
      </c>
      <c r="H334" s="29"/>
      <c r="J334" s="26"/>
    </row>
    <row r="335" spans="1:10" ht="46.5" hidden="1">
      <c r="A335" s="3" t="s">
        <v>701</v>
      </c>
      <c r="B335" s="77" t="s">
        <v>10</v>
      </c>
      <c r="C335" s="4" t="s">
        <v>917</v>
      </c>
      <c r="D335" s="4" t="s">
        <v>602</v>
      </c>
      <c r="E335" s="4" t="s">
        <v>225</v>
      </c>
      <c r="F335" s="4" t="s">
        <v>605</v>
      </c>
      <c r="G335" s="29">
        <f>61000-61000</f>
        <v>0</v>
      </c>
      <c r="H335" s="29"/>
      <c r="J335" s="26"/>
    </row>
    <row r="336" spans="1:10" ht="78.75">
      <c r="A336" s="3" t="s">
        <v>226</v>
      </c>
      <c r="B336" s="77" t="s">
        <v>10</v>
      </c>
      <c r="C336" s="4" t="s">
        <v>917</v>
      </c>
      <c r="D336" s="4" t="s">
        <v>602</v>
      </c>
      <c r="E336" s="4" t="s">
        <v>227</v>
      </c>
      <c r="F336" s="4"/>
      <c r="G336" s="29">
        <f>G338</f>
        <v>85408</v>
      </c>
      <c r="H336" s="29"/>
      <c r="J336" s="26"/>
    </row>
    <row r="337" spans="1:8" ht="94.5">
      <c r="A337" s="3" t="s">
        <v>749</v>
      </c>
      <c r="B337" s="77" t="s">
        <v>10</v>
      </c>
      <c r="C337" s="4" t="s">
        <v>917</v>
      </c>
      <c r="D337" s="4" t="s">
        <v>602</v>
      </c>
      <c r="E337" s="4" t="s">
        <v>228</v>
      </c>
      <c r="F337" s="4"/>
      <c r="G337" s="29">
        <f>G338</f>
        <v>85408</v>
      </c>
      <c r="H337" s="29"/>
    </row>
    <row r="338" spans="1:8" ht="47.25">
      <c r="A338" s="3" t="s">
        <v>93</v>
      </c>
      <c r="B338" s="77" t="s">
        <v>10</v>
      </c>
      <c r="C338" s="4" t="s">
        <v>917</v>
      </c>
      <c r="D338" s="4" t="s">
        <v>602</v>
      </c>
      <c r="E338" s="4" t="s">
        <v>228</v>
      </c>
      <c r="F338" s="4" t="s">
        <v>605</v>
      </c>
      <c r="G338" s="29">
        <f>85408</f>
        <v>85408</v>
      </c>
      <c r="H338" s="29"/>
    </row>
    <row r="339" spans="1:8" ht="63">
      <c r="A339" s="3" t="s">
        <v>229</v>
      </c>
      <c r="B339" s="77" t="s">
        <v>10</v>
      </c>
      <c r="C339" s="4" t="s">
        <v>917</v>
      </c>
      <c r="D339" s="4" t="s">
        <v>602</v>
      </c>
      <c r="E339" s="4" t="s">
        <v>230</v>
      </c>
      <c r="F339" s="4"/>
      <c r="G339" s="29">
        <f>G340+G343</f>
        <v>5519208.64</v>
      </c>
      <c r="H339" s="29"/>
    </row>
    <row r="340" spans="1:8" ht="94.5">
      <c r="A340" s="3" t="s">
        <v>749</v>
      </c>
      <c r="B340" s="77" t="s">
        <v>10</v>
      </c>
      <c r="C340" s="4" t="s">
        <v>917</v>
      </c>
      <c r="D340" s="4" t="s">
        <v>602</v>
      </c>
      <c r="E340" s="4" t="s">
        <v>231</v>
      </c>
      <c r="F340" s="4"/>
      <c r="G340" s="29">
        <f>G341+G342</f>
        <v>5395536.5</v>
      </c>
      <c r="H340" s="29"/>
    </row>
    <row r="341" spans="1:8" ht="110.25">
      <c r="A341" s="3" t="s">
        <v>92</v>
      </c>
      <c r="B341" s="77" t="s">
        <v>10</v>
      </c>
      <c r="C341" s="4" t="s">
        <v>917</v>
      </c>
      <c r="D341" s="4" t="s">
        <v>602</v>
      </c>
      <c r="E341" s="4" t="s">
        <v>231</v>
      </c>
      <c r="F341" s="4" t="s">
        <v>604</v>
      </c>
      <c r="G341" s="29">
        <f>4840070.5+136250.75</f>
        <v>4976321.25</v>
      </c>
      <c r="H341" s="29"/>
    </row>
    <row r="342" spans="1:10" ht="47.25">
      <c r="A342" s="3" t="s">
        <v>93</v>
      </c>
      <c r="B342" s="77" t="s">
        <v>10</v>
      </c>
      <c r="C342" s="4" t="s">
        <v>917</v>
      </c>
      <c r="D342" s="4" t="s">
        <v>602</v>
      </c>
      <c r="E342" s="4" t="s">
        <v>231</v>
      </c>
      <c r="F342" s="4" t="s">
        <v>605</v>
      </c>
      <c r="G342" s="29">
        <f>5259285.75-4840070.5</f>
        <v>419215.25</v>
      </c>
      <c r="H342" s="29"/>
      <c r="J342" s="26"/>
    </row>
    <row r="343" spans="1:8" ht="94.5">
      <c r="A343" s="3" t="s">
        <v>587</v>
      </c>
      <c r="B343" s="77" t="s">
        <v>10</v>
      </c>
      <c r="C343" s="4" t="s">
        <v>917</v>
      </c>
      <c r="D343" s="4" t="s">
        <v>602</v>
      </c>
      <c r="E343" s="4" t="s">
        <v>232</v>
      </c>
      <c r="F343" s="4"/>
      <c r="G343" s="29">
        <f>G344</f>
        <v>123672.14</v>
      </c>
      <c r="H343" s="29"/>
    </row>
    <row r="344" spans="1:8" ht="110.25">
      <c r="A344" s="3" t="s">
        <v>506</v>
      </c>
      <c r="B344" s="77" t="s">
        <v>10</v>
      </c>
      <c r="C344" s="4" t="s">
        <v>917</v>
      </c>
      <c r="D344" s="4" t="s">
        <v>602</v>
      </c>
      <c r="E344" s="4" t="s">
        <v>232</v>
      </c>
      <c r="F344" s="4" t="s">
        <v>604</v>
      </c>
      <c r="G344" s="29">
        <f>98250+25422.14</f>
        <v>123672.14</v>
      </c>
      <c r="H344" s="29"/>
    </row>
    <row r="345" spans="1:8" ht="78.75">
      <c r="A345" s="3" t="s">
        <v>270</v>
      </c>
      <c r="B345" s="77" t="s">
        <v>10</v>
      </c>
      <c r="C345" s="4" t="s">
        <v>917</v>
      </c>
      <c r="D345" s="4" t="s">
        <v>602</v>
      </c>
      <c r="E345" s="4" t="s">
        <v>271</v>
      </c>
      <c r="F345" s="4"/>
      <c r="G345" s="29">
        <f>G346</f>
        <v>340380</v>
      </c>
      <c r="H345" s="29"/>
    </row>
    <row r="346" spans="1:8" ht="31.5">
      <c r="A346" s="3" t="s">
        <v>523</v>
      </c>
      <c r="B346" s="77" t="s">
        <v>10</v>
      </c>
      <c r="C346" s="4" t="s">
        <v>917</v>
      </c>
      <c r="D346" s="4" t="s">
        <v>602</v>
      </c>
      <c r="E346" s="4" t="s">
        <v>272</v>
      </c>
      <c r="F346" s="4"/>
      <c r="G346" s="29">
        <f>G347</f>
        <v>340380</v>
      </c>
      <c r="H346" s="29"/>
    </row>
    <row r="347" spans="1:8" ht="31.5">
      <c r="A347" s="3" t="s">
        <v>565</v>
      </c>
      <c r="B347" s="77" t="s">
        <v>10</v>
      </c>
      <c r="C347" s="4" t="s">
        <v>917</v>
      </c>
      <c r="D347" s="4" t="s">
        <v>602</v>
      </c>
      <c r="E347" s="4" t="s">
        <v>272</v>
      </c>
      <c r="F347" s="4" t="s">
        <v>566</v>
      </c>
      <c r="G347" s="29">
        <f>340380</f>
        <v>340380</v>
      </c>
      <c r="H347" s="29"/>
    </row>
    <row r="348" spans="1:8" ht="94.5">
      <c r="A348" s="3" t="s">
        <v>233</v>
      </c>
      <c r="B348" s="77" t="s">
        <v>10</v>
      </c>
      <c r="C348" s="4" t="s">
        <v>917</v>
      </c>
      <c r="D348" s="4" t="s">
        <v>602</v>
      </c>
      <c r="E348" s="4" t="s">
        <v>234</v>
      </c>
      <c r="F348" s="4"/>
      <c r="G348" s="29">
        <f>G349+G352</f>
        <v>2275285.4600000004</v>
      </c>
      <c r="H348" s="29"/>
    </row>
    <row r="349" spans="1:8" ht="94.5">
      <c r="A349" s="3" t="s">
        <v>749</v>
      </c>
      <c r="B349" s="77" t="s">
        <v>10</v>
      </c>
      <c r="C349" s="4" t="s">
        <v>917</v>
      </c>
      <c r="D349" s="4" t="s">
        <v>602</v>
      </c>
      <c r="E349" s="4" t="s">
        <v>235</v>
      </c>
      <c r="F349" s="4"/>
      <c r="G349" s="29">
        <f>G350+G351</f>
        <v>2198175.8600000003</v>
      </c>
      <c r="H349" s="29"/>
    </row>
    <row r="350" spans="1:14" ht="110.25">
      <c r="A350" s="3" t="s">
        <v>92</v>
      </c>
      <c r="B350" s="77" t="s">
        <v>10</v>
      </c>
      <c r="C350" s="4" t="s">
        <v>917</v>
      </c>
      <c r="D350" s="4" t="s">
        <v>602</v>
      </c>
      <c r="E350" s="4" t="s">
        <v>235</v>
      </c>
      <c r="F350" s="4" t="s">
        <v>604</v>
      </c>
      <c r="G350" s="29">
        <f>1905095+75694.86</f>
        <v>1980789.86</v>
      </c>
      <c r="H350" s="29"/>
      <c r="J350" s="26"/>
      <c r="K350" s="26"/>
      <c r="M350" s="158">
        <f>31266389.9-31063400.73</f>
        <v>202989.16999999806</v>
      </c>
      <c r="N350" s="26"/>
    </row>
    <row r="351" spans="1:8" ht="47.25">
      <c r="A351" s="3" t="s">
        <v>93</v>
      </c>
      <c r="B351" s="77" t="s">
        <v>10</v>
      </c>
      <c r="C351" s="4" t="s">
        <v>917</v>
      </c>
      <c r="D351" s="4" t="s">
        <v>602</v>
      </c>
      <c r="E351" s="4" t="s">
        <v>235</v>
      </c>
      <c r="F351" s="4" t="s">
        <v>605</v>
      </c>
      <c r="G351" s="29">
        <f>2122481-1905095</f>
        <v>217386</v>
      </c>
      <c r="H351" s="29"/>
    </row>
    <row r="352" spans="1:8" ht="94.5">
      <c r="A352" s="3" t="s">
        <v>587</v>
      </c>
      <c r="B352" s="77" t="s">
        <v>10</v>
      </c>
      <c r="C352" s="4" t="s">
        <v>917</v>
      </c>
      <c r="D352" s="4" t="s">
        <v>602</v>
      </c>
      <c r="E352" s="4" t="s">
        <v>236</v>
      </c>
      <c r="F352" s="4"/>
      <c r="G352" s="29">
        <f>G353</f>
        <v>77109.6</v>
      </c>
      <c r="H352" s="29"/>
    </row>
    <row r="353" spans="1:8" ht="110.25">
      <c r="A353" s="3" t="s">
        <v>506</v>
      </c>
      <c r="B353" s="77" t="s">
        <v>10</v>
      </c>
      <c r="C353" s="4" t="s">
        <v>917</v>
      </c>
      <c r="D353" s="4" t="s">
        <v>602</v>
      </c>
      <c r="E353" s="4" t="s">
        <v>236</v>
      </c>
      <c r="F353" s="4" t="s">
        <v>604</v>
      </c>
      <c r="G353" s="29">
        <f>40557+36552.6</f>
        <v>77109.6</v>
      </c>
      <c r="H353" s="29"/>
    </row>
    <row r="354" spans="1:8" ht="47.25">
      <c r="A354" s="3" t="s">
        <v>123</v>
      </c>
      <c r="B354" s="77" t="s">
        <v>10</v>
      </c>
      <c r="C354" s="4" t="s">
        <v>917</v>
      </c>
      <c r="D354" s="4" t="s">
        <v>602</v>
      </c>
      <c r="E354" s="4" t="s">
        <v>706</v>
      </c>
      <c r="F354" s="4"/>
      <c r="G354" s="29">
        <f>G355</f>
        <v>131000</v>
      </c>
      <c r="H354" s="29"/>
    </row>
    <row r="355" spans="1:8" ht="47.25">
      <c r="A355" s="3" t="s">
        <v>1099</v>
      </c>
      <c r="B355" s="77" t="s">
        <v>10</v>
      </c>
      <c r="C355" s="4" t="s">
        <v>917</v>
      </c>
      <c r="D355" s="4" t="s">
        <v>602</v>
      </c>
      <c r="E355" s="4" t="s">
        <v>215</v>
      </c>
      <c r="F355" s="4"/>
      <c r="G355" s="29">
        <f>G356</f>
        <v>131000</v>
      </c>
      <c r="H355" s="29"/>
    </row>
    <row r="356" spans="1:8" ht="31.5">
      <c r="A356" s="3" t="s">
        <v>523</v>
      </c>
      <c r="B356" s="77" t="s">
        <v>10</v>
      </c>
      <c r="C356" s="4" t="s">
        <v>917</v>
      </c>
      <c r="D356" s="4" t="s">
        <v>602</v>
      </c>
      <c r="E356" s="4" t="s">
        <v>1100</v>
      </c>
      <c r="F356" s="4"/>
      <c r="G356" s="29">
        <f>G357</f>
        <v>131000</v>
      </c>
      <c r="H356" s="29"/>
    </row>
    <row r="357" spans="1:8" ht="47.25">
      <c r="A357" s="3" t="s">
        <v>701</v>
      </c>
      <c r="B357" s="77" t="s">
        <v>10</v>
      </c>
      <c r="C357" s="4" t="s">
        <v>917</v>
      </c>
      <c r="D357" s="4" t="s">
        <v>602</v>
      </c>
      <c r="E357" s="4" t="s">
        <v>1100</v>
      </c>
      <c r="F357" s="4" t="s">
        <v>605</v>
      </c>
      <c r="G357" s="29">
        <f>20000+61000+50000</f>
        <v>131000</v>
      </c>
      <c r="H357" s="29"/>
    </row>
    <row r="358" spans="1:8" ht="47.25">
      <c r="A358" s="3" t="s">
        <v>133</v>
      </c>
      <c r="B358" s="77" t="s">
        <v>10</v>
      </c>
      <c r="C358" s="4" t="s">
        <v>917</v>
      </c>
      <c r="D358" s="4" t="s">
        <v>602</v>
      </c>
      <c r="E358" s="4" t="s">
        <v>708</v>
      </c>
      <c r="F358" s="4"/>
      <c r="G358" s="29">
        <f>G359+G363+G366</f>
        <v>473101.5</v>
      </c>
      <c r="H358" s="29"/>
    </row>
    <row r="359" spans="1:8" ht="78.75">
      <c r="A359" s="3" t="s">
        <v>711</v>
      </c>
      <c r="B359" s="77" t="s">
        <v>10</v>
      </c>
      <c r="C359" s="4" t="s">
        <v>917</v>
      </c>
      <c r="D359" s="4" t="s">
        <v>602</v>
      </c>
      <c r="E359" s="4" t="s">
        <v>673</v>
      </c>
      <c r="F359" s="60"/>
      <c r="G359" s="29">
        <f>G360</f>
        <v>185211</v>
      </c>
      <c r="H359" s="29"/>
    </row>
    <row r="360" spans="1:8" ht="54.75" customHeight="1">
      <c r="A360" s="3" t="s">
        <v>590</v>
      </c>
      <c r="B360" s="77" t="s">
        <v>10</v>
      </c>
      <c r="C360" s="4" t="s">
        <v>917</v>
      </c>
      <c r="D360" s="4" t="s">
        <v>602</v>
      </c>
      <c r="E360" s="4" t="s">
        <v>1111</v>
      </c>
      <c r="F360" s="60"/>
      <c r="G360" s="29">
        <f>G361+G362</f>
        <v>185211</v>
      </c>
      <c r="H360" s="29"/>
    </row>
    <row r="361" spans="1:8" ht="110.25">
      <c r="A361" s="3" t="s">
        <v>506</v>
      </c>
      <c r="B361" s="77" t="s">
        <v>10</v>
      </c>
      <c r="C361" s="4" t="s">
        <v>917</v>
      </c>
      <c r="D361" s="4" t="s">
        <v>602</v>
      </c>
      <c r="E361" s="4" t="s">
        <v>1111</v>
      </c>
      <c r="F361" s="60">
        <v>100</v>
      </c>
      <c r="G361" s="29">
        <v>104500</v>
      </c>
      <c r="H361" s="29"/>
    </row>
    <row r="362" spans="1:8" ht="47.25">
      <c r="A362" s="3" t="s">
        <v>701</v>
      </c>
      <c r="B362" s="77" t="s">
        <v>10</v>
      </c>
      <c r="C362" s="4" t="s">
        <v>917</v>
      </c>
      <c r="D362" s="4" t="s">
        <v>602</v>
      </c>
      <c r="E362" s="4" t="s">
        <v>1111</v>
      </c>
      <c r="F362" s="60">
        <v>200</v>
      </c>
      <c r="G362" s="29">
        <f>102500-21789</f>
        <v>80711</v>
      </c>
      <c r="H362" s="29"/>
    </row>
    <row r="363" spans="1:8" ht="31.5">
      <c r="A363" s="3" t="s">
        <v>217</v>
      </c>
      <c r="B363" s="77" t="s">
        <v>10</v>
      </c>
      <c r="C363" s="4" t="s">
        <v>917</v>
      </c>
      <c r="D363" s="4" t="s">
        <v>602</v>
      </c>
      <c r="E363" s="4" t="s">
        <v>218</v>
      </c>
      <c r="F363" s="60"/>
      <c r="G363" s="29">
        <f>G364</f>
        <v>44630.5</v>
      </c>
      <c r="H363" s="29"/>
    </row>
    <row r="364" spans="1:8" ht="48" customHeight="1">
      <c r="A364" s="3" t="s">
        <v>590</v>
      </c>
      <c r="B364" s="77" t="s">
        <v>10</v>
      </c>
      <c r="C364" s="4" t="s">
        <v>917</v>
      </c>
      <c r="D364" s="4" t="s">
        <v>602</v>
      </c>
      <c r="E364" s="4" t="s">
        <v>1112</v>
      </c>
      <c r="F364" s="60"/>
      <c r="G364" s="29">
        <f>G365</f>
        <v>44630.5</v>
      </c>
      <c r="H364" s="29"/>
    </row>
    <row r="365" spans="1:8" ht="47.25">
      <c r="A365" s="3" t="s">
        <v>701</v>
      </c>
      <c r="B365" s="77" t="s">
        <v>10</v>
      </c>
      <c r="C365" s="4" t="s">
        <v>917</v>
      </c>
      <c r="D365" s="4" t="s">
        <v>602</v>
      </c>
      <c r="E365" s="4" t="s">
        <v>1112</v>
      </c>
      <c r="F365" s="60">
        <v>200</v>
      </c>
      <c r="G365" s="29">
        <v>44630.5</v>
      </c>
      <c r="H365" s="29"/>
    </row>
    <row r="366" spans="1:8" ht="73.5" customHeight="1">
      <c r="A366" s="3" t="s">
        <v>237</v>
      </c>
      <c r="B366" s="77" t="s">
        <v>10</v>
      </c>
      <c r="C366" s="4" t="s">
        <v>917</v>
      </c>
      <c r="D366" s="4" t="s">
        <v>602</v>
      </c>
      <c r="E366" s="4" t="s">
        <v>220</v>
      </c>
      <c r="F366" s="60"/>
      <c r="G366" s="29">
        <f>G368+G369</f>
        <v>243260</v>
      </c>
      <c r="H366" s="29"/>
    </row>
    <row r="367" spans="1:8" ht="59.25" customHeight="1">
      <c r="A367" s="3" t="s">
        <v>590</v>
      </c>
      <c r="B367" s="77" t="s">
        <v>10</v>
      </c>
      <c r="C367" s="4" t="s">
        <v>917</v>
      </c>
      <c r="D367" s="4" t="s">
        <v>47</v>
      </c>
      <c r="E367" s="4" t="s">
        <v>1110</v>
      </c>
      <c r="F367" s="60"/>
      <c r="G367" s="29">
        <f>G368+G369</f>
        <v>243260</v>
      </c>
      <c r="H367" s="29"/>
    </row>
    <row r="368" spans="1:10" ht="110.25">
      <c r="A368" s="3" t="s">
        <v>506</v>
      </c>
      <c r="B368" s="77" t="s">
        <v>10</v>
      </c>
      <c r="C368" s="4" t="s">
        <v>917</v>
      </c>
      <c r="D368" s="4" t="s">
        <v>602</v>
      </c>
      <c r="E368" s="4" t="s">
        <v>1110</v>
      </c>
      <c r="F368" s="60">
        <v>100</v>
      </c>
      <c r="G368" s="29">
        <v>151000</v>
      </c>
      <c r="H368" s="29"/>
      <c r="J368" s="26"/>
    </row>
    <row r="369" spans="1:10" ht="47.25">
      <c r="A369" s="3" t="s">
        <v>701</v>
      </c>
      <c r="B369" s="77" t="s">
        <v>10</v>
      </c>
      <c r="C369" s="4" t="s">
        <v>917</v>
      </c>
      <c r="D369" s="4" t="s">
        <v>602</v>
      </c>
      <c r="E369" s="4" t="s">
        <v>1110</v>
      </c>
      <c r="F369" s="60">
        <v>200</v>
      </c>
      <c r="G369" s="29">
        <v>92260</v>
      </c>
      <c r="H369" s="29"/>
      <c r="J369" s="26"/>
    </row>
    <row r="370" spans="1:10" ht="15.75">
      <c r="A370" s="3" t="s">
        <v>91</v>
      </c>
      <c r="B370" s="77" t="s">
        <v>10</v>
      </c>
      <c r="C370" s="4" t="s">
        <v>917</v>
      </c>
      <c r="D370" s="4" t="s">
        <v>602</v>
      </c>
      <c r="E370" s="4" t="s">
        <v>734</v>
      </c>
      <c r="F370" s="60"/>
      <c r="G370" s="29">
        <f>G375+G373+G371</f>
        <v>861110.95</v>
      </c>
      <c r="H370" s="29"/>
      <c r="J370" s="26"/>
    </row>
    <row r="371" spans="1:10" ht="31.5">
      <c r="A371" s="3" t="s">
        <v>747</v>
      </c>
      <c r="B371" s="77" t="s">
        <v>10</v>
      </c>
      <c r="C371" s="4" t="s">
        <v>917</v>
      </c>
      <c r="D371" s="4" t="s">
        <v>602</v>
      </c>
      <c r="E371" s="4" t="s">
        <v>674</v>
      </c>
      <c r="F371" s="60"/>
      <c r="G371" s="29">
        <f>G372</f>
        <v>183000</v>
      </c>
      <c r="H371" s="29"/>
      <c r="J371" s="26"/>
    </row>
    <row r="372" spans="1:10" ht="15.75">
      <c r="A372" s="3" t="s">
        <v>1040</v>
      </c>
      <c r="B372" s="77" t="s">
        <v>10</v>
      </c>
      <c r="C372" s="4" t="s">
        <v>917</v>
      </c>
      <c r="D372" s="4" t="s">
        <v>602</v>
      </c>
      <c r="E372" s="4" t="s">
        <v>674</v>
      </c>
      <c r="F372" s="60">
        <v>800</v>
      </c>
      <c r="G372" s="29">
        <f>18000+165000</f>
        <v>183000</v>
      </c>
      <c r="H372" s="29"/>
      <c r="J372" s="26"/>
    </row>
    <row r="373" spans="1:10" ht="31.5">
      <c r="A373" s="3" t="s">
        <v>273</v>
      </c>
      <c r="B373" s="77" t="s">
        <v>10</v>
      </c>
      <c r="C373" s="4" t="s">
        <v>917</v>
      </c>
      <c r="D373" s="4" t="s">
        <v>602</v>
      </c>
      <c r="E373" s="4" t="s">
        <v>274</v>
      </c>
      <c r="F373" s="60"/>
      <c r="G373" s="29">
        <f>G374</f>
        <v>600000</v>
      </c>
      <c r="H373" s="29"/>
      <c r="J373" s="26"/>
    </row>
    <row r="374" spans="1:10" ht="15.75">
      <c r="A374" s="3" t="s">
        <v>1040</v>
      </c>
      <c r="B374" s="77" t="s">
        <v>10</v>
      </c>
      <c r="C374" s="4" t="s">
        <v>917</v>
      </c>
      <c r="D374" s="4" t="s">
        <v>602</v>
      </c>
      <c r="E374" s="4" t="s">
        <v>274</v>
      </c>
      <c r="F374" s="60">
        <v>800</v>
      </c>
      <c r="G374" s="29">
        <f>300000+300000</f>
        <v>600000</v>
      </c>
      <c r="H374" s="29"/>
      <c r="J374" s="26"/>
    </row>
    <row r="375" spans="1:10" ht="31.5">
      <c r="A375" s="3" t="s">
        <v>920</v>
      </c>
      <c r="B375" s="77" t="s">
        <v>10</v>
      </c>
      <c r="C375" s="4" t="s">
        <v>917</v>
      </c>
      <c r="D375" s="4" t="s">
        <v>602</v>
      </c>
      <c r="E375" s="4" t="s">
        <v>921</v>
      </c>
      <c r="F375" s="60"/>
      <c r="G375" s="29">
        <f>G376</f>
        <v>78110.95000000001</v>
      </c>
      <c r="H375" s="29"/>
      <c r="J375" s="26"/>
    </row>
    <row r="376" spans="1:10" ht="15.75">
      <c r="A376" s="3" t="s">
        <v>1040</v>
      </c>
      <c r="B376" s="77" t="s">
        <v>10</v>
      </c>
      <c r="C376" s="4" t="s">
        <v>917</v>
      </c>
      <c r="D376" s="4" t="s">
        <v>602</v>
      </c>
      <c r="E376" s="4" t="s">
        <v>921</v>
      </c>
      <c r="F376" s="60">
        <v>800</v>
      </c>
      <c r="G376" s="29">
        <f>33045.65+6058.83+25744.18+9301.91+3960.38</f>
        <v>78110.95000000001</v>
      </c>
      <c r="H376" s="29"/>
      <c r="J376" s="26"/>
    </row>
    <row r="377" spans="1:10" ht="15.75">
      <c r="A377" s="13" t="s">
        <v>61</v>
      </c>
      <c r="B377" s="197" t="s">
        <v>10</v>
      </c>
      <c r="C377" s="5" t="s">
        <v>50</v>
      </c>
      <c r="D377" s="5" t="s">
        <v>742</v>
      </c>
      <c r="E377" s="5"/>
      <c r="F377" s="5"/>
      <c r="G377" s="28">
        <f>G378+G386+G400+G409</f>
        <v>149153642.18</v>
      </c>
      <c r="H377" s="28">
        <f>H378+H386</f>
        <v>27582059.790000003</v>
      </c>
      <c r="J377" s="26"/>
    </row>
    <row r="378" spans="1:10" ht="31.5">
      <c r="A378" s="1" t="s">
        <v>907</v>
      </c>
      <c r="B378" s="196" t="s">
        <v>10</v>
      </c>
      <c r="C378" s="2" t="s">
        <v>50</v>
      </c>
      <c r="D378" s="2" t="s">
        <v>42</v>
      </c>
      <c r="E378" s="2"/>
      <c r="F378" s="2"/>
      <c r="G378" s="33">
        <f aca="true" t="shared" si="4" ref="G378:H380">G379</f>
        <v>1760542.6</v>
      </c>
      <c r="H378" s="33">
        <f t="shared" si="4"/>
        <v>1760542.6</v>
      </c>
      <c r="J378" s="26"/>
    </row>
    <row r="379" spans="1:10" ht="94.5">
      <c r="A379" s="1" t="s">
        <v>1035</v>
      </c>
      <c r="B379" s="196" t="s">
        <v>10</v>
      </c>
      <c r="C379" s="2" t="s">
        <v>50</v>
      </c>
      <c r="D379" s="2" t="s">
        <v>42</v>
      </c>
      <c r="E379" s="2" t="s">
        <v>977</v>
      </c>
      <c r="F379" s="2"/>
      <c r="G379" s="33">
        <f t="shared" si="4"/>
        <v>1760542.6</v>
      </c>
      <c r="H379" s="33">
        <f t="shared" si="4"/>
        <v>1760542.6</v>
      </c>
      <c r="J379" s="26"/>
    </row>
    <row r="380" spans="1:10" ht="47.25">
      <c r="A380" s="3" t="s">
        <v>175</v>
      </c>
      <c r="B380" s="77" t="s">
        <v>10</v>
      </c>
      <c r="C380" s="4" t="s">
        <v>50</v>
      </c>
      <c r="D380" s="4" t="s">
        <v>42</v>
      </c>
      <c r="E380" s="4" t="s">
        <v>458</v>
      </c>
      <c r="F380" s="2"/>
      <c r="G380" s="29">
        <f t="shared" si="4"/>
        <v>1760542.6</v>
      </c>
      <c r="H380" s="29">
        <f t="shared" si="4"/>
        <v>1760542.6</v>
      </c>
      <c r="J380" s="26"/>
    </row>
    <row r="381" spans="1:8" ht="47.25">
      <c r="A381" s="3" t="s">
        <v>459</v>
      </c>
      <c r="B381" s="77" t="s">
        <v>10</v>
      </c>
      <c r="C381" s="4" t="s">
        <v>50</v>
      </c>
      <c r="D381" s="4" t="s">
        <v>42</v>
      </c>
      <c r="E381" s="4" t="s">
        <v>460</v>
      </c>
      <c r="F381" s="4"/>
      <c r="G381" s="29">
        <f>G382+G384</f>
        <v>1760542.6</v>
      </c>
      <c r="H381" s="29">
        <f>H382+H384</f>
        <v>1760542.6</v>
      </c>
    </row>
    <row r="382" spans="1:8" ht="47.25">
      <c r="A382" s="3" t="s">
        <v>908</v>
      </c>
      <c r="B382" s="77" t="s">
        <v>10</v>
      </c>
      <c r="C382" s="4" t="s">
        <v>50</v>
      </c>
      <c r="D382" s="4" t="s">
        <v>42</v>
      </c>
      <c r="E382" s="4" t="s">
        <v>461</v>
      </c>
      <c r="F382" s="4"/>
      <c r="G382" s="29">
        <f>G383</f>
        <v>1742922.6</v>
      </c>
      <c r="H382" s="29">
        <f>H383</f>
        <v>1742922.6</v>
      </c>
    </row>
    <row r="383" spans="1:8" ht="47.25">
      <c r="A383" s="3" t="s">
        <v>701</v>
      </c>
      <c r="B383" s="77" t="s">
        <v>10</v>
      </c>
      <c r="C383" s="4" t="s">
        <v>50</v>
      </c>
      <c r="D383" s="4" t="s">
        <v>42</v>
      </c>
      <c r="E383" s="4" t="s">
        <v>461</v>
      </c>
      <c r="F383" s="4" t="s">
        <v>605</v>
      </c>
      <c r="G383" s="29">
        <v>1742922.6</v>
      </c>
      <c r="H383" s="29">
        <v>1742922.6</v>
      </c>
    </row>
    <row r="384" spans="1:8" ht="94.5">
      <c r="A384" s="3" t="s">
        <v>767</v>
      </c>
      <c r="B384" s="77" t="s">
        <v>10</v>
      </c>
      <c r="C384" s="4" t="s">
        <v>50</v>
      </c>
      <c r="D384" s="4" t="s">
        <v>42</v>
      </c>
      <c r="E384" s="4" t="s">
        <v>768</v>
      </c>
      <c r="F384" s="4"/>
      <c r="G384" s="29">
        <f>G385</f>
        <v>17620</v>
      </c>
      <c r="H384" s="29">
        <f>H385</f>
        <v>17620</v>
      </c>
    </row>
    <row r="385" spans="1:8" ht="47.25">
      <c r="A385" s="3" t="s">
        <v>701</v>
      </c>
      <c r="B385" s="77" t="s">
        <v>10</v>
      </c>
      <c r="C385" s="4" t="s">
        <v>50</v>
      </c>
      <c r="D385" s="4" t="s">
        <v>42</v>
      </c>
      <c r="E385" s="4" t="s">
        <v>768</v>
      </c>
      <c r="F385" s="4" t="s">
        <v>605</v>
      </c>
      <c r="G385" s="29">
        <v>17620</v>
      </c>
      <c r="H385" s="29">
        <v>17620</v>
      </c>
    </row>
    <row r="386" spans="1:8" ht="31.5">
      <c r="A386" s="1" t="s">
        <v>1039</v>
      </c>
      <c r="B386" s="196" t="s">
        <v>10</v>
      </c>
      <c r="C386" s="2" t="s">
        <v>50</v>
      </c>
      <c r="D386" s="2" t="s">
        <v>46</v>
      </c>
      <c r="E386" s="4"/>
      <c r="F386" s="4"/>
      <c r="G386" s="33">
        <f>G387</f>
        <v>133790238.77000001</v>
      </c>
      <c r="H386" s="33">
        <f>H387</f>
        <v>25821517.19</v>
      </c>
    </row>
    <row r="387" spans="1:8" ht="63">
      <c r="A387" s="1" t="s">
        <v>1036</v>
      </c>
      <c r="B387" s="196" t="s">
        <v>10</v>
      </c>
      <c r="C387" s="2" t="s">
        <v>50</v>
      </c>
      <c r="D387" s="2" t="s">
        <v>46</v>
      </c>
      <c r="E387" s="2" t="s">
        <v>769</v>
      </c>
      <c r="F387" s="2"/>
      <c r="G387" s="33">
        <f>G388+G393</f>
        <v>133790238.77000001</v>
      </c>
      <c r="H387" s="33">
        <f>H388</f>
        <v>25821517.19</v>
      </c>
    </row>
    <row r="388" spans="1:8" ht="72" customHeight="1">
      <c r="A388" s="3" t="s">
        <v>1113</v>
      </c>
      <c r="B388" s="77" t="s">
        <v>10</v>
      </c>
      <c r="C388" s="4" t="s">
        <v>50</v>
      </c>
      <c r="D388" s="4" t="s">
        <v>46</v>
      </c>
      <c r="E388" s="4" t="s">
        <v>770</v>
      </c>
      <c r="F388" s="4"/>
      <c r="G388" s="29">
        <f>G391+G389</f>
        <v>36521517.19</v>
      </c>
      <c r="H388" s="29">
        <f>H389</f>
        <v>25821517.19</v>
      </c>
    </row>
    <row r="389" spans="1:8" ht="101.25" customHeight="1">
      <c r="A389" s="3" t="s">
        <v>1087</v>
      </c>
      <c r="B389" s="77" t="s">
        <v>10</v>
      </c>
      <c r="C389" s="4" t="s">
        <v>50</v>
      </c>
      <c r="D389" s="4" t="s">
        <v>46</v>
      </c>
      <c r="E389" s="4" t="s">
        <v>1114</v>
      </c>
      <c r="F389" s="4"/>
      <c r="G389" s="29">
        <f>G390</f>
        <v>25821517.19</v>
      </c>
      <c r="H389" s="29">
        <f>H390</f>
        <v>25821517.19</v>
      </c>
    </row>
    <row r="390" spans="1:16" ht="56.25" customHeight="1">
      <c r="A390" s="3" t="s">
        <v>701</v>
      </c>
      <c r="B390" s="77" t="s">
        <v>10</v>
      </c>
      <c r="C390" s="4" t="s">
        <v>50</v>
      </c>
      <c r="D390" s="4" t="s">
        <v>46</v>
      </c>
      <c r="E390" s="4" t="s">
        <v>1114</v>
      </c>
      <c r="F390" s="4" t="s">
        <v>605</v>
      </c>
      <c r="G390" s="29">
        <f>25821517.19</f>
        <v>25821517.19</v>
      </c>
      <c r="H390" s="29">
        <f>G390</f>
        <v>25821517.19</v>
      </c>
      <c r="P390" s="26"/>
    </row>
    <row r="391" spans="1:8" ht="78.75">
      <c r="A391" s="3" t="s">
        <v>1087</v>
      </c>
      <c r="B391" s="77" t="s">
        <v>10</v>
      </c>
      <c r="C391" s="4" t="s">
        <v>50</v>
      </c>
      <c r="D391" s="4" t="s">
        <v>46</v>
      </c>
      <c r="E391" s="4" t="s">
        <v>1088</v>
      </c>
      <c r="F391" s="4"/>
      <c r="G391" s="29">
        <f>G392</f>
        <v>10700000</v>
      </c>
      <c r="H391" s="29"/>
    </row>
    <row r="392" spans="1:16" ht="47.25">
      <c r="A392" s="3" t="s">
        <v>701</v>
      </c>
      <c r="B392" s="77" t="s">
        <v>10</v>
      </c>
      <c r="C392" s="4" t="s">
        <v>50</v>
      </c>
      <c r="D392" s="4" t="s">
        <v>46</v>
      </c>
      <c r="E392" s="4" t="s">
        <v>1088</v>
      </c>
      <c r="F392" s="4" t="s">
        <v>605</v>
      </c>
      <c r="G392" s="29">
        <f>2359325.4+10000000-2359325.4+700000</f>
        <v>10700000</v>
      </c>
      <c r="H392" s="29"/>
      <c r="P392" s="26"/>
    </row>
    <row r="393" spans="1:8" ht="78.75">
      <c r="A393" s="3" t="s">
        <v>771</v>
      </c>
      <c r="B393" s="77" t="s">
        <v>10</v>
      </c>
      <c r="C393" s="4" t="s">
        <v>50</v>
      </c>
      <c r="D393" s="4" t="s">
        <v>46</v>
      </c>
      <c r="E393" s="4" t="s">
        <v>772</v>
      </c>
      <c r="F393" s="4"/>
      <c r="G393" s="29">
        <f>G394+G398+G396</f>
        <v>97268721.58000001</v>
      </c>
      <c r="H393" s="29"/>
    </row>
    <row r="394" spans="1:13" ht="63">
      <c r="A394" s="3" t="s">
        <v>129</v>
      </c>
      <c r="B394" s="77" t="s">
        <v>10</v>
      </c>
      <c r="C394" s="4" t="s">
        <v>50</v>
      </c>
      <c r="D394" s="4" t="s">
        <v>46</v>
      </c>
      <c r="E394" s="4" t="s">
        <v>773</v>
      </c>
      <c r="F394" s="4"/>
      <c r="G394" s="29">
        <f>G395</f>
        <v>94609376.12</v>
      </c>
      <c r="H394" s="29"/>
      <c r="J394" s="26"/>
      <c r="M394" s="158">
        <f>34900</f>
        <v>34900</v>
      </c>
    </row>
    <row r="395" spans="1:10" ht="47.25">
      <c r="A395" s="3" t="s">
        <v>701</v>
      </c>
      <c r="B395" s="77" t="s">
        <v>10</v>
      </c>
      <c r="C395" s="4" t="s">
        <v>50</v>
      </c>
      <c r="D395" s="4" t="s">
        <v>46</v>
      </c>
      <c r="E395" s="4" t="s">
        <v>773</v>
      </c>
      <c r="F395" s="4" t="s">
        <v>605</v>
      </c>
      <c r="G395" s="29">
        <f>89288352.08+2359325.4+2961698.64</f>
        <v>94609376.12</v>
      </c>
      <c r="H395" s="29"/>
      <c r="J395" s="26"/>
    </row>
    <row r="396" spans="1:10" ht="53.25" customHeight="1">
      <c r="A396" s="3" t="s">
        <v>756</v>
      </c>
      <c r="B396" s="77" t="s">
        <v>10</v>
      </c>
      <c r="C396" s="4" t="s">
        <v>50</v>
      </c>
      <c r="D396" s="4" t="s">
        <v>46</v>
      </c>
      <c r="E396" s="4" t="s">
        <v>1089</v>
      </c>
      <c r="F396" s="4"/>
      <c r="G396" s="29">
        <f>G397</f>
        <v>392749.84</v>
      </c>
      <c r="H396" s="29"/>
      <c r="J396" s="26"/>
    </row>
    <row r="397" spans="1:10" ht="47.25">
      <c r="A397" s="3" t="s">
        <v>701</v>
      </c>
      <c r="B397" s="77" t="s">
        <v>10</v>
      </c>
      <c r="C397" s="4" t="s">
        <v>50</v>
      </c>
      <c r="D397" s="4" t="s">
        <v>46</v>
      </c>
      <c r="E397" s="4" t="s">
        <v>1089</v>
      </c>
      <c r="F397" s="4" t="s">
        <v>605</v>
      </c>
      <c r="G397" s="29">
        <f>362785.32+29964.52</f>
        <v>392749.84</v>
      </c>
      <c r="H397" s="29"/>
      <c r="J397" s="26"/>
    </row>
    <row r="398" spans="1:10" ht="41.25" customHeight="1">
      <c r="A398" s="3" t="s">
        <v>523</v>
      </c>
      <c r="B398" s="77" t="s">
        <v>10</v>
      </c>
      <c r="C398" s="4" t="s">
        <v>50</v>
      </c>
      <c r="D398" s="4" t="s">
        <v>46</v>
      </c>
      <c r="E398" s="4" t="s">
        <v>774</v>
      </c>
      <c r="F398" s="4"/>
      <c r="G398" s="29">
        <f>G399</f>
        <v>2266595.62</v>
      </c>
      <c r="H398" s="29"/>
      <c r="J398" s="26"/>
    </row>
    <row r="399" spans="1:10" ht="59.25" customHeight="1">
      <c r="A399" s="3" t="s">
        <v>93</v>
      </c>
      <c r="B399" s="77" t="s">
        <v>10</v>
      </c>
      <c r="C399" s="4" t="s">
        <v>50</v>
      </c>
      <c r="D399" s="4" t="s">
        <v>46</v>
      </c>
      <c r="E399" s="4" t="s">
        <v>774</v>
      </c>
      <c r="F399" s="4" t="s">
        <v>605</v>
      </c>
      <c r="G399" s="29">
        <f>2997698.64+26231.04-2961698.64+47377.69+505273.92+1494726.08+156986.89</f>
        <v>2266595.62</v>
      </c>
      <c r="H399" s="29"/>
      <c r="J399" s="26"/>
    </row>
    <row r="400" spans="1:8" ht="15.75">
      <c r="A400" s="1" t="s">
        <v>597</v>
      </c>
      <c r="B400" s="196" t="s">
        <v>10</v>
      </c>
      <c r="C400" s="2" t="s">
        <v>50</v>
      </c>
      <c r="D400" s="2" t="s">
        <v>48</v>
      </c>
      <c r="E400" s="2"/>
      <c r="F400" s="2"/>
      <c r="G400" s="33">
        <f>G401</f>
        <v>2303499.15</v>
      </c>
      <c r="H400" s="33"/>
    </row>
    <row r="401" spans="1:8" ht="63">
      <c r="A401" s="1" t="s">
        <v>1034</v>
      </c>
      <c r="B401" s="196" t="s">
        <v>10</v>
      </c>
      <c r="C401" s="2" t="s">
        <v>50</v>
      </c>
      <c r="D401" s="2" t="s">
        <v>48</v>
      </c>
      <c r="E401" s="2" t="s">
        <v>712</v>
      </c>
      <c r="F401" s="2"/>
      <c r="G401" s="33">
        <f>G402</f>
        <v>2303499.15</v>
      </c>
      <c r="H401" s="33"/>
    </row>
    <row r="402" spans="1:8" ht="63">
      <c r="A402" s="3" t="s">
        <v>94</v>
      </c>
      <c r="B402" s="77" t="s">
        <v>10</v>
      </c>
      <c r="C402" s="4" t="s">
        <v>50</v>
      </c>
      <c r="D402" s="4" t="s">
        <v>48</v>
      </c>
      <c r="E402" s="4" t="s">
        <v>713</v>
      </c>
      <c r="F402" s="4"/>
      <c r="G402" s="33">
        <f>G403+G406</f>
        <v>2303499.15</v>
      </c>
      <c r="H402" s="33"/>
    </row>
    <row r="403" spans="1:8" ht="47.25">
      <c r="A403" s="3" t="s">
        <v>299</v>
      </c>
      <c r="B403" s="77" t="s">
        <v>10</v>
      </c>
      <c r="C403" s="4" t="s">
        <v>50</v>
      </c>
      <c r="D403" s="4" t="s">
        <v>48</v>
      </c>
      <c r="E403" s="4" t="s">
        <v>300</v>
      </c>
      <c r="F403" s="4"/>
      <c r="G403" s="29">
        <f>G404</f>
        <v>732515.4</v>
      </c>
      <c r="H403" s="33"/>
    </row>
    <row r="404" spans="1:13" ht="31.5">
      <c r="A404" s="3" t="s">
        <v>523</v>
      </c>
      <c r="B404" s="77" t="s">
        <v>10</v>
      </c>
      <c r="C404" s="4" t="s">
        <v>50</v>
      </c>
      <c r="D404" s="4" t="s">
        <v>48</v>
      </c>
      <c r="E404" s="4" t="s">
        <v>301</v>
      </c>
      <c r="F404" s="4"/>
      <c r="G404" s="29">
        <f>G405</f>
        <v>732515.4</v>
      </c>
      <c r="H404" s="33"/>
      <c r="J404" s="26"/>
      <c r="M404" s="158">
        <f>300000</f>
        <v>300000</v>
      </c>
    </row>
    <row r="405" spans="1:10" ht="47.25">
      <c r="A405" s="3" t="s">
        <v>701</v>
      </c>
      <c r="B405" s="77" t="s">
        <v>10</v>
      </c>
      <c r="C405" s="4" t="s">
        <v>50</v>
      </c>
      <c r="D405" s="4" t="s">
        <v>48</v>
      </c>
      <c r="E405" s="4" t="s">
        <v>301</v>
      </c>
      <c r="F405" s="4" t="s">
        <v>605</v>
      </c>
      <c r="G405" s="29">
        <f>502515.4+250000-20000</f>
        <v>732515.4</v>
      </c>
      <c r="H405" s="33"/>
      <c r="J405" s="26"/>
    </row>
    <row r="406" spans="1:8" ht="47.25">
      <c r="A406" s="3" t="s">
        <v>307</v>
      </c>
      <c r="B406" s="77" t="s">
        <v>10</v>
      </c>
      <c r="C406" s="4" t="s">
        <v>50</v>
      </c>
      <c r="D406" s="4" t="s">
        <v>48</v>
      </c>
      <c r="E406" s="4" t="s">
        <v>308</v>
      </c>
      <c r="F406" s="4"/>
      <c r="G406" s="29">
        <f>G407</f>
        <v>1570983.75</v>
      </c>
      <c r="H406" s="33"/>
    </row>
    <row r="407" spans="1:8" ht="31.5">
      <c r="A407" s="3" t="s">
        <v>523</v>
      </c>
      <c r="B407" s="77" t="s">
        <v>10</v>
      </c>
      <c r="C407" s="4" t="s">
        <v>50</v>
      </c>
      <c r="D407" s="4" t="s">
        <v>48</v>
      </c>
      <c r="E407" s="4" t="s">
        <v>309</v>
      </c>
      <c r="F407" s="4"/>
      <c r="G407" s="29">
        <f>G408</f>
        <v>1570983.75</v>
      </c>
      <c r="H407" s="33"/>
    </row>
    <row r="408" spans="1:8" ht="47.25">
      <c r="A408" s="3" t="s">
        <v>701</v>
      </c>
      <c r="B408" s="77" t="s">
        <v>10</v>
      </c>
      <c r="C408" s="4" t="s">
        <v>50</v>
      </c>
      <c r="D408" s="4" t="s">
        <v>48</v>
      </c>
      <c r="E408" s="4" t="s">
        <v>309</v>
      </c>
      <c r="F408" s="4" t="s">
        <v>605</v>
      </c>
      <c r="G408" s="29">
        <f>519119.81+513661.92+336674.02+38108+128700+50000+24720-40000</f>
        <v>1570983.75</v>
      </c>
      <c r="H408" s="33"/>
    </row>
    <row r="409" spans="1:8" ht="31.5">
      <c r="A409" s="1" t="s">
        <v>63</v>
      </c>
      <c r="B409" s="196" t="s">
        <v>10</v>
      </c>
      <c r="C409" s="2" t="s">
        <v>50</v>
      </c>
      <c r="D409" s="2" t="s">
        <v>600</v>
      </c>
      <c r="E409" s="2"/>
      <c r="F409" s="2"/>
      <c r="G409" s="33">
        <f>G410</f>
        <v>11299361.66</v>
      </c>
      <c r="H409" s="33"/>
    </row>
    <row r="410" spans="1:8" ht="63">
      <c r="A410" s="50" t="s">
        <v>104</v>
      </c>
      <c r="B410" s="196" t="s">
        <v>10</v>
      </c>
      <c r="C410" s="2" t="s">
        <v>50</v>
      </c>
      <c r="D410" s="2" t="s">
        <v>600</v>
      </c>
      <c r="E410" s="2" t="s">
        <v>705</v>
      </c>
      <c r="F410" s="2"/>
      <c r="G410" s="33">
        <f>G411+G415</f>
        <v>11299361.66</v>
      </c>
      <c r="H410" s="33"/>
    </row>
    <row r="411" spans="1:8" ht="63">
      <c r="A411" s="27" t="s">
        <v>121</v>
      </c>
      <c r="B411" s="77" t="s">
        <v>10</v>
      </c>
      <c r="C411" s="4" t="s">
        <v>50</v>
      </c>
      <c r="D411" s="4" t="s">
        <v>600</v>
      </c>
      <c r="E411" s="4" t="s">
        <v>621</v>
      </c>
      <c r="F411" s="4"/>
      <c r="G411" s="29">
        <f>G412</f>
        <v>1967880</v>
      </c>
      <c r="H411" s="29"/>
    </row>
    <row r="412" spans="1:8" ht="94.5">
      <c r="A412" s="27" t="s">
        <v>775</v>
      </c>
      <c r="B412" s="77" t="s">
        <v>10</v>
      </c>
      <c r="C412" s="4" t="s">
        <v>50</v>
      </c>
      <c r="D412" s="4" t="s">
        <v>600</v>
      </c>
      <c r="E412" s="4" t="s">
        <v>776</v>
      </c>
      <c r="F412" s="4"/>
      <c r="G412" s="29">
        <f>G413</f>
        <v>1967880</v>
      </c>
      <c r="H412" s="29"/>
    </row>
    <row r="413" spans="1:14" s="16" customFormat="1" ht="31.5">
      <c r="A413" s="27" t="s">
        <v>140</v>
      </c>
      <c r="B413" s="77" t="s">
        <v>10</v>
      </c>
      <c r="C413" s="4" t="s">
        <v>50</v>
      </c>
      <c r="D413" s="4" t="s">
        <v>600</v>
      </c>
      <c r="E413" s="4" t="s">
        <v>777</v>
      </c>
      <c r="F413" s="4"/>
      <c r="G413" s="29">
        <f>G414</f>
        <v>1967880</v>
      </c>
      <c r="H413" s="29"/>
      <c r="I413" s="48"/>
      <c r="J413" s="48"/>
      <c r="K413" s="48"/>
      <c r="M413" s="159">
        <f>114910053.12-114105425.12</f>
        <v>804628</v>
      </c>
      <c r="N413" s="48"/>
    </row>
    <row r="414" spans="1:13" s="16" customFormat="1" ht="47.25">
      <c r="A414" s="3" t="s">
        <v>701</v>
      </c>
      <c r="B414" s="77" t="s">
        <v>10</v>
      </c>
      <c r="C414" s="4" t="s">
        <v>50</v>
      </c>
      <c r="D414" s="4" t="s">
        <v>600</v>
      </c>
      <c r="E414" s="4" t="s">
        <v>777</v>
      </c>
      <c r="F414" s="4" t="s">
        <v>605</v>
      </c>
      <c r="G414" s="29">
        <f>1305000+722880-60000</f>
        <v>1967880</v>
      </c>
      <c r="H414" s="29"/>
      <c r="I414" s="48"/>
      <c r="J414" s="48"/>
      <c r="K414" s="48"/>
      <c r="M414" s="159"/>
    </row>
    <row r="415" spans="1:13" s="16" customFormat="1" ht="78.75">
      <c r="A415" s="3" t="s">
        <v>124</v>
      </c>
      <c r="B415" s="77" t="s">
        <v>10</v>
      </c>
      <c r="C415" s="4" t="s">
        <v>50</v>
      </c>
      <c r="D415" s="4" t="s">
        <v>600</v>
      </c>
      <c r="E415" s="4" t="s">
        <v>778</v>
      </c>
      <c r="F415" s="4"/>
      <c r="G415" s="29">
        <f>G416+G421+G427</f>
        <v>9331481.66</v>
      </c>
      <c r="H415" s="29"/>
      <c r="I415" s="48"/>
      <c r="J415" s="48"/>
      <c r="K415" s="48"/>
      <c r="M415" s="159"/>
    </row>
    <row r="416" spans="1:13" s="16" customFormat="1" ht="94.5">
      <c r="A416" s="3" t="s">
        <v>779</v>
      </c>
      <c r="B416" s="77" t="s">
        <v>10</v>
      </c>
      <c r="C416" s="4" t="s">
        <v>50</v>
      </c>
      <c r="D416" s="4" t="s">
        <v>600</v>
      </c>
      <c r="E416" s="4" t="s">
        <v>780</v>
      </c>
      <c r="F416" s="4"/>
      <c r="G416" s="29">
        <f>G417</f>
        <v>3028677.29</v>
      </c>
      <c r="H416" s="190"/>
      <c r="I416" s="48"/>
      <c r="J416" s="48"/>
      <c r="K416" s="48"/>
      <c r="M416" s="159"/>
    </row>
    <row r="417" spans="1:13" s="16" customFormat="1" ht="94.5">
      <c r="A417" s="3" t="s">
        <v>749</v>
      </c>
      <c r="B417" s="77" t="s">
        <v>10</v>
      </c>
      <c r="C417" s="4" t="s">
        <v>50</v>
      </c>
      <c r="D417" s="4" t="s">
        <v>600</v>
      </c>
      <c r="E417" s="4" t="s">
        <v>781</v>
      </c>
      <c r="F417" s="4"/>
      <c r="G417" s="29">
        <f>G418+G419+G420</f>
        <v>3028677.29</v>
      </c>
      <c r="H417" s="191"/>
      <c r="I417" s="48"/>
      <c r="J417" s="48"/>
      <c r="K417" s="48"/>
      <c r="M417" s="159"/>
    </row>
    <row r="418" spans="1:13" s="16" customFormat="1" ht="110.25">
      <c r="A418" s="3" t="s">
        <v>92</v>
      </c>
      <c r="B418" s="77" t="s">
        <v>10</v>
      </c>
      <c r="C418" s="4" t="s">
        <v>50</v>
      </c>
      <c r="D418" s="4" t="s">
        <v>600</v>
      </c>
      <c r="E418" s="4" t="s">
        <v>781</v>
      </c>
      <c r="F418" s="4" t="s">
        <v>604</v>
      </c>
      <c r="G418" s="29">
        <f>2135555.08+644937.21</f>
        <v>2780492.29</v>
      </c>
      <c r="H418" s="29"/>
      <c r="I418" s="48"/>
      <c r="J418" s="48"/>
      <c r="K418" s="48"/>
      <c r="M418" s="159"/>
    </row>
    <row r="419" spans="1:13" s="16" customFormat="1" ht="47.25">
      <c r="A419" s="3" t="s">
        <v>701</v>
      </c>
      <c r="B419" s="77" t="s">
        <v>10</v>
      </c>
      <c r="C419" s="4" t="s">
        <v>50</v>
      </c>
      <c r="D419" s="4" t="s">
        <v>600</v>
      </c>
      <c r="E419" s="4" t="s">
        <v>781</v>
      </c>
      <c r="F419" s="4" t="s">
        <v>605</v>
      </c>
      <c r="G419" s="29">
        <f>13800+114385</f>
        <v>128185</v>
      </c>
      <c r="H419" s="29"/>
      <c r="I419" s="48"/>
      <c r="J419" s="48"/>
      <c r="K419" s="48"/>
      <c r="M419" s="159" t="s">
        <v>836</v>
      </c>
    </row>
    <row r="420" spans="1:13" s="16" customFormat="1" ht="15.75">
      <c r="A420" s="3" t="s">
        <v>1040</v>
      </c>
      <c r="B420" s="77" t="s">
        <v>10</v>
      </c>
      <c r="C420" s="4" t="s">
        <v>50</v>
      </c>
      <c r="D420" s="4" t="s">
        <v>600</v>
      </c>
      <c r="E420" s="4" t="s">
        <v>781</v>
      </c>
      <c r="F420" s="4" t="s">
        <v>608</v>
      </c>
      <c r="G420" s="29">
        <v>120000</v>
      </c>
      <c r="H420" s="29"/>
      <c r="I420" s="48"/>
      <c r="J420" s="48"/>
      <c r="K420" s="48"/>
      <c r="M420" s="159"/>
    </row>
    <row r="421" spans="1:13" s="16" customFormat="1" ht="126">
      <c r="A421" s="3" t="s">
        <v>782</v>
      </c>
      <c r="B421" s="77" t="s">
        <v>10</v>
      </c>
      <c r="C421" s="4" t="s">
        <v>50</v>
      </c>
      <c r="D421" s="4" t="s">
        <v>600</v>
      </c>
      <c r="E421" s="4" t="s">
        <v>783</v>
      </c>
      <c r="F421" s="4"/>
      <c r="G421" s="29">
        <f>G422+G425</f>
        <v>3198858.23</v>
      </c>
      <c r="H421" s="190"/>
      <c r="I421" s="48"/>
      <c r="J421" s="48"/>
      <c r="K421" s="48"/>
      <c r="M421" s="159" t="s">
        <v>837</v>
      </c>
    </row>
    <row r="422" spans="1:14" ht="94.5">
      <c r="A422" s="3" t="s">
        <v>749</v>
      </c>
      <c r="B422" s="77" t="s">
        <v>10</v>
      </c>
      <c r="C422" s="4" t="s">
        <v>50</v>
      </c>
      <c r="D422" s="4" t="s">
        <v>600</v>
      </c>
      <c r="E422" s="4" t="s">
        <v>784</v>
      </c>
      <c r="F422" s="4"/>
      <c r="G422" s="29">
        <f>G423+G424</f>
        <v>3075352.41</v>
      </c>
      <c r="H422" s="191"/>
      <c r="M422" s="158">
        <f>100472719.7-99650471.7</f>
        <v>822248</v>
      </c>
      <c r="N422" s="26"/>
    </row>
    <row r="423" spans="1:8" ht="110.25">
      <c r="A423" s="3" t="s">
        <v>92</v>
      </c>
      <c r="B423" s="77" t="s">
        <v>10</v>
      </c>
      <c r="C423" s="4" t="s">
        <v>50</v>
      </c>
      <c r="D423" s="4" t="s">
        <v>600</v>
      </c>
      <c r="E423" s="4" t="s">
        <v>784</v>
      </c>
      <c r="F423" s="4" t="s">
        <v>604</v>
      </c>
      <c r="G423" s="29">
        <f>2284153.48+689814.35-840+840+10000</f>
        <v>2983967.83</v>
      </c>
      <c r="H423" s="29"/>
    </row>
    <row r="424" spans="1:8" ht="47.25">
      <c r="A424" s="3" t="s">
        <v>701</v>
      </c>
      <c r="B424" s="77" t="s">
        <v>10</v>
      </c>
      <c r="C424" s="4" t="s">
        <v>50</v>
      </c>
      <c r="D424" s="4" t="s">
        <v>600</v>
      </c>
      <c r="E424" s="4" t="s">
        <v>784</v>
      </c>
      <c r="F424" s="4" t="s">
        <v>605</v>
      </c>
      <c r="G424" s="29">
        <f>91384.58+10000-10000</f>
        <v>91384.58</v>
      </c>
      <c r="H424" s="29"/>
    </row>
    <row r="425" spans="1:10" ht="94.5">
      <c r="A425" s="3" t="s">
        <v>587</v>
      </c>
      <c r="B425" s="77" t="s">
        <v>10</v>
      </c>
      <c r="C425" s="4" t="s">
        <v>50</v>
      </c>
      <c r="D425" s="4" t="s">
        <v>600</v>
      </c>
      <c r="E425" s="4" t="s">
        <v>785</v>
      </c>
      <c r="F425" s="4"/>
      <c r="G425" s="29">
        <f>G426</f>
        <v>123505.82</v>
      </c>
      <c r="H425" s="29"/>
      <c r="J425" s="26"/>
    </row>
    <row r="426" spans="1:10" ht="110.25">
      <c r="A426" s="3" t="s">
        <v>506</v>
      </c>
      <c r="B426" s="77" t="s">
        <v>10</v>
      </c>
      <c r="C426" s="4" t="s">
        <v>50</v>
      </c>
      <c r="D426" s="4" t="s">
        <v>600</v>
      </c>
      <c r="E426" s="4" t="s">
        <v>785</v>
      </c>
      <c r="F426" s="4" t="s">
        <v>604</v>
      </c>
      <c r="G426" s="29">
        <f>159250-10000-25744.18</f>
        <v>123505.82</v>
      </c>
      <c r="H426" s="29"/>
      <c r="J426" s="26"/>
    </row>
    <row r="427" spans="1:13" ht="141.75">
      <c r="A427" s="3" t="s">
        <v>786</v>
      </c>
      <c r="B427" s="77" t="s">
        <v>10</v>
      </c>
      <c r="C427" s="4" t="s">
        <v>50</v>
      </c>
      <c r="D427" s="4" t="s">
        <v>600</v>
      </c>
      <c r="E427" s="4" t="s">
        <v>787</v>
      </c>
      <c r="F427" s="4"/>
      <c r="G427" s="29">
        <f>G428</f>
        <v>3103946.14</v>
      </c>
      <c r="H427" s="190"/>
      <c r="M427" s="158">
        <v>-92051</v>
      </c>
    </row>
    <row r="428" spans="1:8" ht="94.5">
      <c r="A428" s="3" t="s">
        <v>749</v>
      </c>
      <c r="B428" s="77" t="s">
        <v>10</v>
      </c>
      <c r="C428" s="4" t="s">
        <v>50</v>
      </c>
      <c r="D428" s="4" t="s">
        <v>600</v>
      </c>
      <c r="E428" s="4" t="s">
        <v>788</v>
      </c>
      <c r="F428" s="4"/>
      <c r="G428" s="29">
        <f>G429+G430+G431</f>
        <v>3103946.14</v>
      </c>
      <c r="H428" s="29"/>
    </row>
    <row r="429" spans="1:8" ht="110.25">
      <c r="A429" s="3" t="s">
        <v>92</v>
      </c>
      <c r="B429" s="77" t="s">
        <v>10</v>
      </c>
      <c r="C429" s="4" t="s">
        <v>50</v>
      </c>
      <c r="D429" s="4" t="s">
        <v>600</v>
      </c>
      <c r="E429" s="4" t="s">
        <v>788</v>
      </c>
      <c r="F429" s="4" t="s">
        <v>604</v>
      </c>
      <c r="G429" s="29">
        <f>2323005.76+651795.39</f>
        <v>2974801.15</v>
      </c>
      <c r="H429" s="29"/>
    </row>
    <row r="430" spans="1:8" ht="47.25">
      <c r="A430" s="3" t="s">
        <v>701</v>
      </c>
      <c r="B430" s="77" t="s">
        <v>10</v>
      </c>
      <c r="C430" s="4" t="s">
        <v>50</v>
      </c>
      <c r="D430" s="4" t="s">
        <v>600</v>
      </c>
      <c r="E430" s="4" t="s">
        <v>788</v>
      </c>
      <c r="F430" s="4" t="s">
        <v>605</v>
      </c>
      <c r="G430" s="29">
        <f>113778.14+5900.36</f>
        <v>119678.5</v>
      </c>
      <c r="H430" s="29"/>
    </row>
    <row r="431" spans="1:8" ht="15.75">
      <c r="A431" s="3" t="s">
        <v>1040</v>
      </c>
      <c r="B431" s="77" t="s">
        <v>10</v>
      </c>
      <c r="C431" s="4" t="s">
        <v>50</v>
      </c>
      <c r="D431" s="4" t="s">
        <v>600</v>
      </c>
      <c r="E431" s="4" t="s">
        <v>788</v>
      </c>
      <c r="F431" s="4" t="s">
        <v>608</v>
      </c>
      <c r="G431" s="29">
        <v>9466.49</v>
      </c>
      <c r="H431" s="29"/>
    </row>
    <row r="432" spans="1:8" ht="28.5">
      <c r="A432" s="198" t="s">
        <v>49</v>
      </c>
      <c r="B432" s="189" t="s">
        <v>10</v>
      </c>
      <c r="C432" s="11" t="s">
        <v>42</v>
      </c>
      <c r="D432" s="5"/>
      <c r="E432" s="5"/>
      <c r="F432" s="5"/>
      <c r="G432" s="28">
        <f>G433+G451+G466+G492</f>
        <v>117238056.05000001</v>
      </c>
      <c r="H432" s="28">
        <f>H433+H451+H466+H492</f>
        <v>18902160</v>
      </c>
    </row>
    <row r="433" spans="1:8" ht="15.75">
      <c r="A433" s="1" t="s">
        <v>55</v>
      </c>
      <c r="B433" s="196" t="s">
        <v>10</v>
      </c>
      <c r="C433" s="2" t="s">
        <v>42</v>
      </c>
      <c r="D433" s="2" t="s">
        <v>917</v>
      </c>
      <c r="E433" s="2"/>
      <c r="F433" s="2"/>
      <c r="G433" s="33">
        <f>G434+G447</f>
        <v>42975999.22</v>
      </c>
      <c r="H433" s="33">
        <f>H434+H447</f>
        <v>18902160</v>
      </c>
    </row>
    <row r="434" spans="1:10" ht="94.5">
      <c r="A434" s="1" t="s">
        <v>1035</v>
      </c>
      <c r="B434" s="196" t="s">
        <v>10</v>
      </c>
      <c r="C434" s="2" t="s">
        <v>42</v>
      </c>
      <c r="D434" s="2" t="s">
        <v>917</v>
      </c>
      <c r="E434" s="2" t="s">
        <v>977</v>
      </c>
      <c r="F434" s="2"/>
      <c r="G434" s="33">
        <f>G435</f>
        <v>42289519.22</v>
      </c>
      <c r="H434" s="33">
        <f>H435</f>
        <v>18902160</v>
      </c>
      <c r="J434" s="26"/>
    </row>
    <row r="435" spans="1:8" ht="47.25">
      <c r="A435" s="3" t="s">
        <v>755</v>
      </c>
      <c r="B435" s="77" t="s">
        <v>10</v>
      </c>
      <c r="C435" s="4" t="s">
        <v>42</v>
      </c>
      <c r="D435" s="4" t="s">
        <v>917</v>
      </c>
      <c r="E435" s="4" t="s">
        <v>789</v>
      </c>
      <c r="F435" s="4"/>
      <c r="G435" s="29">
        <f>G439+G444+G436</f>
        <v>42289519.22</v>
      </c>
      <c r="H435" s="29">
        <f>H439+H444+H436</f>
        <v>18902160</v>
      </c>
    </row>
    <row r="436" spans="1:8" ht="15.75">
      <c r="A436" s="3" t="s">
        <v>1090</v>
      </c>
      <c r="B436" s="77" t="s">
        <v>10</v>
      </c>
      <c r="C436" s="4" t="s">
        <v>42</v>
      </c>
      <c r="D436" s="4" t="s">
        <v>917</v>
      </c>
      <c r="E436" s="4" t="s">
        <v>1091</v>
      </c>
      <c r="F436" s="4"/>
      <c r="G436" s="29">
        <f>G437</f>
        <v>275000</v>
      </c>
      <c r="H436" s="29"/>
    </row>
    <row r="437" spans="1:8" ht="47.25">
      <c r="A437" s="3" t="s">
        <v>756</v>
      </c>
      <c r="B437" s="77" t="s">
        <v>10</v>
      </c>
      <c r="C437" s="4" t="s">
        <v>42</v>
      </c>
      <c r="D437" s="4" t="s">
        <v>917</v>
      </c>
      <c r="E437" s="4" t="s">
        <v>1092</v>
      </c>
      <c r="F437" s="4"/>
      <c r="G437" s="29">
        <f>G438</f>
        <v>275000</v>
      </c>
      <c r="H437" s="29"/>
    </row>
    <row r="438" spans="1:8" ht="47.25">
      <c r="A438" s="3" t="s">
        <v>701</v>
      </c>
      <c r="B438" s="77" t="s">
        <v>10</v>
      </c>
      <c r="C438" s="4" t="s">
        <v>42</v>
      </c>
      <c r="D438" s="4" t="s">
        <v>917</v>
      </c>
      <c r="E438" s="4" t="s">
        <v>1092</v>
      </c>
      <c r="F438" s="4" t="s">
        <v>605</v>
      </c>
      <c r="G438" s="29">
        <f>350810.98-75810.98</f>
        <v>275000</v>
      </c>
      <c r="H438" s="29"/>
    </row>
    <row r="439" spans="1:13" ht="109.5" customHeight="1">
      <c r="A439" s="3" t="s">
        <v>1080</v>
      </c>
      <c r="B439" s="77" t="s">
        <v>10</v>
      </c>
      <c r="C439" s="4" t="s">
        <v>42</v>
      </c>
      <c r="D439" s="4" t="s">
        <v>917</v>
      </c>
      <c r="E439" s="4" t="s">
        <v>1081</v>
      </c>
      <c r="F439" s="4"/>
      <c r="G439" s="29">
        <f>G442+G440</f>
        <v>39223823.28</v>
      </c>
      <c r="H439" s="29">
        <f>H442+H440</f>
        <v>18902160</v>
      </c>
      <c r="M439" s="158">
        <f>92051</f>
        <v>92051</v>
      </c>
    </row>
    <row r="440" spans="1:8" ht="118.5" customHeight="1">
      <c r="A440" s="3" t="s">
        <v>1082</v>
      </c>
      <c r="B440" s="77" t="s">
        <v>10</v>
      </c>
      <c r="C440" s="4" t="s">
        <v>42</v>
      </c>
      <c r="D440" s="4" t="s">
        <v>917</v>
      </c>
      <c r="E440" s="4" t="s">
        <v>1152</v>
      </c>
      <c r="F440" s="4"/>
      <c r="G440" s="29">
        <f>G441</f>
        <v>18902160</v>
      </c>
      <c r="H440" s="29">
        <f>G440</f>
        <v>18902160</v>
      </c>
    </row>
    <row r="441" spans="1:8" ht="68.25" customHeight="1">
      <c r="A441" s="3" t="s">
        <v>701</v>
      </c>
      <c r="B441" s="77" t="s">
        <v>10</v>
      </c>
      <c r="C441" s="4" t="s">
        <v>42</v>
      </c>
      <c r="D441" s="4" t="s">
        <v>917</v>
      </c>
      <c r="E441" s="4" t="s">
        <v>1152</v>
      </c>
      <c r="F441" s="4" t="s">
        <v>605</v>
      </c>
      <c r="G441" s="29">
        <f>18902160</f>
        <v>18902160</v>
      </c>
      <c r="H441" s="29">
        <f>G441</f>
        <v>18902160</v>
      </c>
    </row>
    <row r="442" spans="1:8" ht="110.25">
      <c r="A442" s="112" t="s">
        <v>1082</v>
      </c>
      <c r="B442" s="77" t="s">
        <v>10</v>
      </c>
      <c r="C442" s="4" t="s">
        <v>42</v>
      </c>
      <c r="D442" s="4" t="s">
        <v>917</v>
      </c>
      <c r="E442" s="4" t="s">
        <v>1083</v>
      </c>
      <c r="F442" s="4"/>
      <c r="G442" s="29">
        <f>G443</f>
        <v>20321663.28</v>
      </c>
      <c r="H442" s="29"/>
    </row>
    <row r="443" spans="1:8" ht="47.25">
      <c r="A443" s="3" t="s">
        <v>701</v>
      </c>
      <c r="B443" s="77" t="s">
        <v>10</v>
      </c>
      <c r="C443" s="4" t="s">
        <v>42</v>
      </c>
      <c r="D443" s="4" t="s">
        <v>917</v>
      </c>
      <c r="E443" s="4" t="s">
        <v>1083</v>
      </c>
      <c r="F443" s="4" t="s">
        <v>605</v>
      </c>
      <c r="G443" s="29">
        <v>20321663.28</v>
      </c>
      <c r="H443" s="29"/>
    </row>
    <row r="444" spans="1:8" ht="94.5">
      <c r="A444" s="3" t="s">
        <v>1084</v>
      </c>
      <c r="B444" s="77" t="s">
        <v>10</v>
      </c>
      <c r="C444" s="4" t="s">
        <v>42</v>
      </c>
      <c r="D444" s="4" t="s">
        <v>917</v>
      </c>
      <c r="E444" s="4" t="s">
        <v>1085</v>
      </c>
      <c r="F444" s="4"/>
      <c r="G444" s="29">
        <f>G445</f>
        <v>2790695.94</v>
      </c>
      <c r="H444" s="29"/>
    </row>
    <row r="445" spans="1:8" ht="47.25">
      <c r="A445" s="112" t="s">
        <v>1093</v>
      </c>
      <c r="B445" s="77" t="s">
        <v>10</v>
      </c>
      <c r="C445" s="4" t="s">
        <v>42</v>
      </c>
      <c r="D445" s="4" t="s">
        <v>917</v>
      </c>
      <c r="E445" s="4" t="s">
        <v>1094</v>
      </c>
      <c r="F445" s="4"/>
      <c r="G445" s="29">
        <f>G446</f>
        <v>2790695.94</v>
      </c>
      <c r="H445" s="29"/>
    </row>
    <row r="446" spans="1:8" ht="47.25">
      <c r="A446" s="3" t="s">
        <v>701</v>
      </c>
      <c r="B446" s="77" t="s">
        <v>10</v>
      </c>
      <c r="C446" s="4" t="s">
        <v>42</v>
      </c>
      <c r="D446" s="4" t="s">
        <v>917</v>
      </c>
      <c r="E446" s="4" t="s">
        <v>1094</v>
      </c>
      <c r="F446" s="4" t="s">
        <v>605</v>
      </c>
      <c r="G446" s="29">
        <v>2790695.94</v>
      </c>
      <c r="H446" s="29"/>
    </row>
    <row r="447" spans="1:8" ht="63">
      <c r="A447" s="1" t="s">
        <v>89</v>
      </c>
      <c r="B447" s="196" t="s">
        <v>10</v>
      </c>
      <c r="C447" s="2" t="s">
        <v>42</v>
      </c>
      <c r="D447" s="2" t="s">
        <v>917</v>
      </c>
      <c r="E447" s="2" t="s">
        <v>790</v>
      </c>
      <c r="F447" s="2"/>
      <c r="G447" s="33">
        <f>G448</f>
        <v>686480</v>
      </c>
      <c r="H447" s="33"/>
    </row>
    <row r="448" spans="1:8" ht="47.25">
      <c r="A448" s="3" t="s">
        <v>791</v>
      </c>
      <c r="B448" s="77" t="s">
        <v>10</v>
      </c>
      <c r="C448" s="4" t="s">
        <v>42</v>
      </c>
      <c r="D448" s="4" t="s">
        <v>917</v>
      </c>
      <c r="E448" s="4" t="s">
        <v>792</v>
      </c>
      <c r="F448" s="4"/>
      <c r="G448" s="29">
        <f>G449</f>
        <v>686480</v>
      </c>
      <c r="H448" s="29"/>
    </row>
    <row r="449" spans="1:8" ht="31.5">
      <c r="A449" s="3" t="s">
        <v>523</v>
      </c>
      <c r="B449" s="77" t="s">
        <v>10</v>
      </c>
      <c r="C449" s="4" t="s">
        <v>42</v>
      </c>
      <c r="D449" s="4" t="s">
        <v>917</v>
      </c>
      <c r="E449" s="4" t="s">
        <v>793</v>
      </c>
      <c r="F449" s="4"/>
      <c r="G449" s="29">
        <f>G450</f>
        <v>686480</v>
      </c>
      <c r="H449" s="29"/>
    </row>
    <row r="450" spans="1:8" ht="47.25">
      <c r="A450" s="3" t="s">
        <v>701</v>
      </c>
      <c r="B450" s="77" t="s">
        <v>10</v>
      </c>
      <c r="C450" s="4" t="s">
        <v>42</v>
      </c>
      <c r="D450" s="4" t="s">
        <v>917</v>
      </c>
      <c r="E450" s="4" t="s">
        <v>793</v>
      </c>
      <c r="F450" s="4" t="s">
        <v>605</v>
      </c>
      <c r="G450" s="29">
        <f>686480</f>
        <v>686480</v>
      </c>
      <c r="H450" s="29"/>
    </row>
    <row r="451" spans="1:8" ht="15.75">
      <c r="A451" s="1" t="s">
        <v>598</v>
      </c>
      <c r="B451" s="196" t="s">
        <v>10</v>
      </c>
      <c r="C451" s="2" t="s">
        <v>42</v>
      </c>
      <c r="D451" s="2" t="s">
        <v>45</v>
      </c>
      <c r="E451" s="2"/>
      <c r="F451" s="2"/>
      <c r="G451" s="33">
        <f>G452</f>
        <v>23756630.36</v>
      </c>
      <c r="H451" s="33"/>
    </row>
    <row r="452" spans="1:8" ht="94.5">
      <c r="A452" s="1" t="s">
        <v>1035</v>
      </c>
      <c r="B452" s="196" t="s">
        <v>10</v>
      </c>
      <c r="C452" s="2" t="s">
        <v>42</v>
      </c>
      <c r="D452" s="2" t="s">
        <v>45</v>
      </c>
      <c r="E452" s="2" t="s">
        <v>977</v>
      </c>
      <c r="F452" s="2"/>
      <c r="G452" s="33">
        <f>G453+G459</f>
        <v>23756630.36</v>
      </c>
      <c r="H452" s="33"/>
    </row>
    <row r="453" spans="1:8" ht="63">
      <c r="A453" s="3" t="s">
        <v>172</v>
      </c>
      <c r="B453" s="77" t="s">
        <v>10</v>
      </c>
      <c r="C453" s="4" t="s">
        <v>42</v>
      </c>
      <c r="D453" s="4" t="s">
        <v>45</v>
      </c>
      <c r="E453" s="4" t="s">
        <v>794</v>
      </c>
      <c r="F453" s="4"/>
      <c r="G453" s="33">
        <f>G454</f>
        <v>1918407.85</v>
      </c>
      <c r="H453" s="29"/>
    </row>
    <row r="454" spans="1:8" ht="31.5">
      <c r="A454" s="3" t="s">
        <v>795</v>
      </c>
      <c r="B454" s="77" t="s">
        <v>10</v>
      </c>
      <c r="C454" s="4" t="s">
        <v>42</v>
      </c>
      <c r="D454" s="4" t="s">
        <v>45</v>
      </c>
      <c r="E454" s="4" t="s">
        <v>796</v>
      </c>
      <c r="F454" s="4"/>
      <c r="G454" s="29">
        <f>G455+G457</f>
        <v>1918407.85</v>
      </c>
      <c r="H454" s="29"/>
    </row>
    <row r="455" spans="1:8" ht="47.25">
      <c r="A455" s="3" t="s">
        <v>757</v>
      </c>
      <c r="B455" s="77" t="s">
        <v>10</v>
      </c>
      <c r="C455" s="4" t="s">
        <v>42</v>
      </c>
      <c r="D455" s="4" t="s">
        <v>45</v>
      </c>
      <c r="E455" s="4" t="s">
        <v>797</v>
      </c>
      <c r="F455" s="4"/>
      <c r="G455" s="29">
        <f>G456</f>
        <v>570000</v>
      </c>
      <c r="H455" s="29"/>
    </row>
    <row r="456" spans="1:8" ht="47.25">
      <c r="A456" s="3" t="s">
        <v>701</v>
      </c>
      <c r="B456" s="77" t="s">
        <v>10</v>
      </c>
      <c r="C456" s="4" t="s">
        <v>42</v>
      </c>
      <c r="D456" s="4" t="s">
        <v>45</v>
      </c>
      <c r="E456" s="4" t="s">
        <v>797</v>
      </c>
      <c r="F456" s="4" t="s">
        <v>605</v>
      </c>
      <c r="G456" s="29">
        <f>570000</f>
        <v>570000</v>
      </c>
      <c r="H456" s="29"/>
    </row>
    <row r="457" spans="1:8" ht="31.5">
      <c r="A457" s="3" t="s">
        <v>523</v>
      </c>
      <c r="B457" s="77" t="s">
        <v>10</v>
      </c>
      <c r="C457" s="4" t="s">
        <v>42</v>
      </c>
      <c r="D457" s="4" t="s">
        <v>45</v>
      </c>
      <c r="E457" s="4" t="s">
        <v>798</v>
      </c>
      <c r="F457" s="4"/>
      <c r="G457" s="29">
        <f>1348407.85</f>
        <v>1348407.85</v>
      </c>
      <c r="H457" s="29"/>
    </row>
    <row r="458" spans="1:8" ht="47.25">
      <c r="A458" s="3" t="s">
        <v>93</v>
      </c>
      <c r="B458" s="77" t="s">
        <v>10</v>
      </c>
      <c r="C458" s="4" t="s">
        <v>42</v>
      </c>
      <c r="D458" s="4" t="s">
        <v>45</v>
      </c>
      <c r="E458" s="4" t="s">
        <v>798</v>
      </c>
      <c r="F458" s="4" t="s">
        <v>605</v>
      </c>
      <c r="G458" s="29">
        <f>1348407.85</f>
        <v>1348407.85</v>
      </c>
      <c r="H458" s="29"/>
    </row>
    <row r="459" spans="1:8" ht="78.75">
      <c r="A459" s="3" t="s">
        <v>173</v>
      </c>
      <c r="B459" s="77" t="s">
        <v>10</v>
      </c>
      <c r="C459" s="4" t="s">
        <v>42</v>
      </c>
      <c r="D459" s="4" t="s">
        <v>45</v>
      </c>
      <c r="E459" s="4" t="s">
        <v>799</v>
      </c>
      <c r="F459" s="4"/>
      <c r="G459" s="33">
        <f>G460+G463</f>
        <v>21838222.509999998</v>
      </c>
      <c r="H459" s="29"/>
    </row>
    <row r="460" spans="1:8" ht="94.5">
      <c r="A460" s="3" t="s">
        <v>800</v>
      </c>
      <c r="B460" s="77" t="s">
        <v>10</v>
      </c>
      <c r="C460" s="4" t="s">
        <v>42</v>
      </c>
      <c r="D460" s="4" t="s">
        <v>45</v>
      </c>
      <c r="E460" s="4" t="s">
        <v>801</v>
      </c>
      <c r="F460" s="4"/>
      <c r="G460" s="29">
        <f>G461</f>
        <v>19549687.88</v>
      </c>
      <c r="H460" s="29"/>
    </row>
    <row r="461" spans="1:8" ht="31.5">
      <c r="A461" s="3" t="s">
        <v>174</v>
      </c>
      <c r="B461" s="77" t="s">
        <v>10</v>
      </c>
      <c r="C461" s="4" t="s">
        <v>42</v>
      </c>
      <c r="D461" s="4" t="s">
        <v>45</v>
      </c>
      <c r="E461" s="4" t="s">
        <v>803</v>
      </c>
      <c r="F461" s="4"/>
      <c r="G461" s="29">
        <f>G462</f>
        <v>19549687.88</v>
      </c>
      <c r="H461" s="29"/>
    </row>
    <row r="462" spans="1:8" ht="15.75">
      <c r="A462" s="3" t="s">
        <v>1040</v>
      </c>
      <c r="B462" s="77" t="s">
        <v>10</v>
      </c>
      <c r="C462" s="4" t="s">
        <v>42</v>
      </c>
      <c r="D462" s="4" t="s">
        <v>45</v>
      </c>
      <c r="E462" s="4" t="s">
        <v>803</v>
      </c>
      <c r="F462" s="4" t="s">
        <v>608</v>
      </c>
      <c r="G462" s="29">
        <f>20449402.47-350810.98-548903.61</f>
        <v>19549687.88</v>
      </c>
      <c r="H462" s="29"/>
    </row>
    <row r="463" spans="1:8" ht="63">
      <c r="A463" s="3" t="s">
        <v>804</v>
      </c>
      <c r="B463" s="77" t="s">
        <v>10</v>
      </c>
      <c r="C463" s="4" t="s">
        <v>42</v>
      </c>
      <c r="D463" s="4" t="s">
        <v>45</v>
      </c>
      <c r="E463" s="4" t="s">
        <v>802</v>
      </c>
      <c r="F463" s="4"/>
      <c r="G463" s="29">
        <f>G464</f>
        <v>2288534.63</v>
      </c>
      <c r="H463" s="29"/>
    </row>
    <row r="464" spans="1:8" ht="31.5">
      <c r="A464" s="3" t="s">
        <v>523</v>
      </c>
      <c r="B464" s="77" t="s">
        <v>10</v>
      </c>
      <c r="C464" s="4" t="s">
        <v>42</v>
      </c>
      <c r="D464" s="4" t="s">
        <v>45</v>
      </c>
      <c r="E464" s="4" t="s">
        <v>805</v>
      </c>
      <c r="F464" s="4"/>
      <c r="G464" s="29">
        <f>G465</f>
        <v>2288534.63</v>
      </c>
      <c r="H464" s="29"/>
    </row>
    <row r="465" spans="1:8" ht="47.25">
      <c r="A465" s="3" t="s">
        <v>701</v>
      </c>
      <c r="B465" s="77" t="s">
        <v>10</v>
      </c>
      <c r="C465" s="4" t="s">
        <v>42</v>
      </c>
      <c r="D465" s="4" t="s">
        <v>45</v>
      </c>
      <c r="E465" s="4" t="s">
        <v>805</v>
      </c>
      <c r="F465" s="4" t="s">
        <v>605</v>
      </c>
      <c r="G465" s="29">
        <f>627555.53+1903870.32-33045.65-6058.83-9301.91-18000-126484.83-50000</f>
        <v>2288534.63</v>
      </c>
      <c r="H465" s="29"/>
    </row>
    <row r="466" spans="1:8" ht="15.75">
      <c r="A466" s="1" t="s">
        <v>568</v>
      </c>
      <c r="B466" s="196" t="s">
        <v>10</v>
      </c>
      <c r="C466" s="2" t="s">
        <v>42</v>
      </c>
      <c r="D466" s="2" t="s">
        <v>47</v>
      </c>
      <c r="E466" s="2"/>
      <c r="F466" s="2"/>
      <c r="G466" s="33">
        <f>G467</f>
        <v>32610815.940000005</v>
      </c>
      <c r="H466" s="33"/>
    </row>
    <row r="467" spans="1:8" ht="94.5">
      <c r="A467" s="1" t="s">
        <v>1035</v>
      </c>
      <c r="B467" s="196" t="s">
        <v>10</v>
      </c>
      <c r="C467" s="2" t="s">
        <v>42</v>
      </c>
      <c r="D467" s="2" t="s">
        <v>47</v>
      </c>
      <c r="E467" s="2" t="s">
        <v>977</v>
      </c>
      <c r="F467" s="2"/>
      <c r="G467" s="33">
        <f>G468</f>
        <v>32610815.940000005</v>
      </c>
      <c r="H467" s="33"/>
    </row>
    <row r="468" spans="1:8" ht="47.25">
      <c r="A468" s="3" t="s">
        <v>175</v>
      </c>
      <c r="B468" s="77" t="s">
        <v>10</v>
      </c>
      <c r="C468" s="4" t="s">
        <v>42</v>
      </c>
      <c r="D468" s="4" t="s">
        <v>47</v>
      </c>
      <c r="E468" s="4" t="s">
        <v>458</v>
      </c>
      <c r="F468" s="4"/>
      <c r="G468" s="29">
        <f>G469+G472+G475+G480+G483+G486+G489</f>
        <v>32610815.940000005</v>
      </c>
      <c r="H468" s="29"/>
    </row>
    <row r="469" spans="1:8" ht="63">
      <c r="A469" s="3" t="s">
        <v>806</v>
      </c>
      <c r="B469" s="77" t="s">
        <v>10</v>
      </c>
      <c r="C469" s="4" t="s">
        <v>42</v>
      </c>
      <c r="D469" s="4" t="s">
        <v>47</v>
      </c>
      <c r="E469" s="4" t="s">
        <v>807</v>
      </c>
      <c r="F469" s="4"/>
      <c r="G469" s="29">
        <f>G470</f>
        <v>15620145.760000002</v>
      </c>
      <c r="H469" s="29"/>
    </row>
    <row r="470" spans="1:8" ht="47.25">
      <c r="A470" s="3" t="s">
        <v>176</v>
      </c>
      <c r="B470" s="77" t="s">
        <v>10</v>
      </c>
      <c r="C470" s="4" t="s">
        <v>42</v>
      </c>
      <c r="D470" s="4" t="s">
        <v>47</v>
      </c>
      <c r="E470" s="4" t="s">
        <v>808</v>
      </c>
      <c r="F470" s="4"/>
      <c r="G470" s="29">
        <f>G471</f>
        <v>15620145.760000002</v>
      </c>
      <c r="H470" s="29"/>
    </row>
    <row r="471" spans="1:8" ht="47.25">
      <c r="A471" s="3" t="s">
        <v>701</v>
      </c>
      <c r="B471" s="77" t="s">
        <v>10</v>
      </c>
      <c r="C471" s="4" t="s">
        <v>42</v>
      </c>
      <c r="D471" s="4" t="s">
        <v>47</v>
      </c>
      <c r="E471" s="4" t="s">
        <v>808</v>
      </c>
      <c r="F471" s="4" t="s">
        <v>605</v>
      </c>
      <c r="G471" s="29">
        <f>7577856+13052592.05-4819536.29-190766</f>
        <v>15620145.760000002</v>
      </c>
      <c r="H471" s="33"/>
    </row>
    <row r="472" spans="1:8" ht="94.5">
      <c r="A472" s="3" t="s">
        <v>809</v>
      </c>
      <c r="B472" s="77" t="s">
        <v>10</v>
      </c>
      <c r="C472" s="4" t="s">
        <v>42</v>
      </c>
      <c r="D472" s="4" t="s">
        <v>47</v>
      </c>
      <c r="E472" s="4" t="s">
        <v>810</v>
      </c>
      <c r="F472" s="4"/>
      <c r="G472" s="29">
        <f>G473</f>
        <v>10996109.58</v>
      </c>
      <c r="H472" s="33"/>
    </row>
    <row r="473" spans="1:8" ht="63">
      <c r="A473" s="3" t="s">
        <v>177</v>
      </c>
      <c r="B473" s="77" t="s">
        <v>10</v>
      </c>
      <c r="C473" s="4" t="s">
        <v>42</v>
      </c>
      <c r="D473" s="4" t="s">
        <v>47</v>
      </c>
      <c r="E473" s="4" t="s">
        <v>811</v>
      </c>
      <c r="F473" s="4"/>
      <c r="G473" s="29">
        <f>G474</f>
        <v>10996109.58</v>
      </c>
      <c r="H473" s="29"/>
    </row>
    <row r="474" spans="1:8" ht="47.25">
      <c r="A474" s="3" t="s">
        <v>701</v>
      </c>
      <c r="B474" s="77" t="s">
        <v>10</v>
      </c>
      <c r="C474" s="4" t="s">
        <v>42</v>
      </c>
      <c r="D474" s="4" t="s">
        <v>47</v>
      </c>
      <c r="E474" s="4" t="s">
        <v>811</v>
      </c>
      <c r="F474" s="4" t="s">
        <v>605</v>
      </c>
      <c r="G474" s="29">
        <f>10828325.16+167784.42</f>
        <v>10996109.58</v>
      </c>
      <c r="H474" s="29"/>
    </row>
    <row r="475" spans="1:8" ht="78.75">
      <c r="A475" s="3" t="s">
        <v>167</v>
      </c>
      <c r="B475" s="77" t="s">
        <v>10</v>
      </c>
      <c r="C475" s="4" t="s">
        <v>42</v>
      </c>
      <c r="D475" s="4" t="s">
        <v>47</v>
      </c>
      <c r="E475" s="4" t="s">
        <v>168</v>
      </c>
      <c r="F475" s="4"/>
      <c r="G475" s="29">
        <f>G476+G478</f>
        <v>1013540.1</v>
      </c>
      <c r="H475" s="29"/>
    </row>
    <row r="476" spans="1:8" ht="47.25">
      <c r="A476" s="3" t="s">
        <v>756</v>
      </c>
      <c r="B476" s="77" t="s">
        <v>10</v>
      </c>
      <c r="C476" s="4" t="s">
        <v>42</v>
      </c>
      <c r="D476" s="4" t="s">
        <v>47</v>
      </c>
      <c r="E476" s="4" t="s">
        <v>169</v>
      </c>
      <c r="F476" s="4"/>
      <c r="G476" s="29">
        <f>G477</f>
        <v>413540.1</v>
      </c>
      <c r="H476" s="29"/>
    </row>
    <row r="477" spans="1:8" ht="47.25">
      <c r="A477" s="3" t="s">
        <v>701</v>
      </c>
      <c r="B477" s="77" t="s">
        <v>10</v>
      </c>
      <c r="C477" s="4" t="s">
        <v>42</v>
      </c>
      <c r="D477" s="4" t="s">
        <v>47</v>
      </c>
      <c r="E477" s="4" t="s">
        <v>169</v>
      </c>
      <c r="F477" s="4" t="s">
        <v>605</v>
      </c>
      <c r="G477" s="29">
        <f>766125.97-362785.32+10199.45</f>
        <v>413540.1</v>
      </c>
      <c r="H477" s="29"/>
    </row>
    <row r="478" spans="1:8" ht="63">
      <c r="A478" s="3" t="s">
        <v>753</v>
      </c>
      <c r="B478" s="77" t="s">
        <v>10</v>
      </c>
      <c r="C478" s="4" t="s">
        <v>42</v>
      </c>
      <c r="D478" s="4" t="s">
        <v>47</v>
      </c>
      <c r="E478" s="4" t="s">
        <v>508</v>
      </c>
      <c r="F478" s="4"/>
      <c r="G478" s="29">
        <f>G479</f>
        <v>600000</v>
      </c>
      <c r="H478" s="29"/>
    </row>
    <row r="479" spans="1:13" ht="47.25">
      <c r="A479" s="3" t="s">
        <v>676</v>
      </c>
      <c r="B479" s="77" t="s">
        <v>10</v>
      </c>
      <c r="C479" s="4" t="s">
        <v>42</v>
      </c>
      <c r="D479" s="4" t="s">
        <v>47</v>
      </c>
      <c r="E479" s="4" t="s">
        <v>508</v>
      </c>
      <c r="F479" s="4" t="s">
        <v>447</v>
      </c>
      <c r="G479" s="29">
        <v>600000</v>
      </c>
      <c r="H479" s="29"/>
      <c r="M479" s="158">
        <f>-300000</f>
        <v>-300000</v>
      </c>
    </row>
    <row r="480" spans="1:8" ht="31.5">
      <c r="A480" s="3" t="s">
        <v>238</v>
      </c>
      <c r="B480" s="77" t="s">
        <v>10</v>
      </c>
      <c r="C480" s="4" t="s">
        <v>42</v>
      </c>
      <c r="D480" s="4" t="s">
        <v>47</v>
      </c>
      <c r="E480" s="4" t="s">
        <v>170</v>
      </c>
      <c r="F480" s="4"/>
      <c r="G480" s="29">
        <f>G481</f>
        <v>643364.04</v>
      </c>
      <c r="H480" s="29"/>
    </row>
    <row r="481" spans="1:8" ht="31.5">
      <c r="A481" s="3" t="s">
        <v>523</v>
      </c>
      <c r="B481" s="77" t="s">
        <v>10</v>
      </c>
      <c r="C481" s="4" t="s">
        <v>42</v>
      </c>
      <c r="D481" s="4" t="s">
        <v>47</v>
      </c>
      <c r="E481" s="4" t="s">
        <v>171</v>
      </c>
      <c r="F481" s="4"/>
      <c r="G481" s="29">
        <f>G482</f>
        <v>643364.04</v>
      </c>
      <c r="H481" s="29"/>
    </row>
    <row r="482" spans="1:8" ht="47.25">
      <c r="A482" s="3" t="s">
        <v>701</v>
      </c>
      <c r="B482" s="77" t="s">
        <v>10</v>
      </c>
      <c r="C482" s="4" t="s">
        <v>42</v>
      </c>
      <c r="D482" s="4" t="s">
        <v>47</v>
      </c>
      <c r="E482" s="4" t="s">
        <v>171</v>
      </c>
      <c r="F482" s="4" t="s">
        <v>605</v>
      </c>
      <c r="G482" s="29">
        <f>936558.43-29964.52-177983.87-85246</f>
        <v>643364.04</v>
      </c>
      <c r="H482" s="29"/>
    </row>
    <row r="483" spans="1:8" ht="47.25">
      <c r="A483" s="3" t="s">
        <v>540</v>
      </c>
      <c r="B483" s="77" t="s">
        <v>10</v>
      </c>
      <c r="C483" s="4" t="s">
        <v>42</v>
      </c>
      <c r="D483" s="4" t="s">
        <v>47</v>
      </c>
      <c r="E483" s="4" t="s">
        <v>541</v>
      </c>
      <c r="F483" s="4"/>
      <c r="G483" s="29">
        <f>G484</f>
        <v>3931570.4100000006</v>
      </c>
      <c r="H483" s="29"/>
    </row>
    <row r="484" spans="1:10" ht="31.5">
      <c r="A484" s="3" t="s">
        <v>523</v>
      </c>
      <c r="B484" s="77" t="s">
        <v>10</v>
      </c>
      <c r="C484" s="4" t="s">
        <v>42</v>
      </c>
      <c r="D484" s="4" t="s">
        <v>47</v>
      </c>
      <c r="E484" s="4" t="s">
        <v>542</v>
      </c>
      <c r="F484" s="4"/>
      <c r="G484" s="29">
        <f>G485</f>
        <v>3931570.4100000006</v>
      </c>
      <c r="H484" s="29"/>
      <c r="J484" s="26"/>
    </row>
    <row r="485" spans="1:8" ht="47.25">
      <c r="A485" s="3" t="s">
        <v>701</v>
      </c>
      <c r="B485" s="77" t="s">
        <v>10</v>
      </c>
      <c r="C485" s="4" t="s">
        <v>42</v>
      </c>
      <c r="D485" s="4" t="s">
        <v>47</v>
      </c>
      <c r="E485" s="4" t="s">
        <v>542</v>
      </c>
      <c r="F485" s="4" t="s">
        <v>605</v>
      </c>
      <c r="G485" s="29">
        <f>4239268.15-47377.69-45000-215320.05</f>
        <v>3931570.4100000006</v>
      </c>
      <c r="H485" s="29"/>
    </row>
    <row r="486" spans="1:8" ht="63">
      <c r="A486" s="3" t="s">
        <v>1153</v>
      </c>
      <c r="B486" s="77" t="s">
        <v>10</v>
      </c>
      <c r="C486" s="4" t="s">
        <v>42</v>
      </c>
      <c r="D486" s="4" t="s">
        <v>47</v>
      </c>
      <c r="E486" s="4" t="s">
        <v>1154</v>
      </c>
      <c r="F486" s="4"/>
      <c r="G486" s="29">
        <f>G487</f>
        <v>190766</v>
      </c>
      <c r="H486" s="29"/>
    </row>
    <row r="487" spans="1:8" ht="31.5">
      <c r="A487" s="3" t="s">
        <v>523</v>
      </c>
      <c r="B487" s="77" t="s">
        <v>10</v>
      </c>
      <c r="C487" s="4" t="s">
        <v>42</v>
      </c>
      <c r="D487" s="4" t="s">
        <v>47</v>
      </c>
      <c r="E487" s="4" t="s">
        <v>1155</v>
      </c>
      <c r="F487" s="4"/>
      <c r="G487" s="29">
        <f>G488</f>
        <v>190766</v>
      </c>
      <c r="H487" s="29"/>
    </row>
    <row r="488" spans="1:8" ht="47.25">
      <c r="A488" s="3" t="s">
        <v>701</v>
      </c>
      <c r="B488" s="77" t="s">
        <v>10</v>
      </c>
      <c r="C488" s="4" t="s">
        <v>42</v>
      </c>
      <c r="D488" s="4" t="s">
        <v>47</v>
      </c>
      <c r="E488" s="4" t="s">
        <v>1155</v>
      </c>
      <c r="F488" s="4" t="s">
        <v>605</v>
      </c>
      <c r="G488" s="29">
        <f>190766</f>
        <v>190766</v>
      </c>
      <c r="H488" s="29"/>
    </row>
    <row r="489" spans="1:8" ht="47.25">
      <c r="A489" s="3" t="s">
        <v>1216</v>
      </c>
      <c r="B489" s="77" t="s">
        <v>10</v>
      </c>
      <c r="C489" s="4" t="s">
        <v>42</v>
      </c>
      <c r="D489" s="4" t="s">
        <v>47</v>
      </c>
      <c r="E489" s="4" t="s">
        <v>1217</v>
      </c>
      <c r="F489" s="4"/>
      <c r="G489" s="29">
        <f>G490</f>
        <v>215320.05</v>
      </c>
      <c r="H489" s="29"/>
    </row>
    <row r="490" spans="1:8" ht="31.5">
      <c r="A490" s="3" t="s">
        <v>523</v>
      </c>
      <c r="B490" s="77" t="s">
        <v>10</v>
      </c>
      <c r="C490" s="4" t="s">
        <v>42</v>
      </c>
      <c r="D490" s="4" t="s">
        <v>47</v>
      </c>
      <c r="E490" s="4" t="s">
        <v>1218</v>
      </c>
      <c r="F490" s="4"/>
      <c r="G490" s="29">
        <f>G491</f>
        <v>215320.05</v>
      </c>
      <c r="H490" s="29"/>
    </row>
    <row r="491" spans="1:8" ht="47.25">
      <c r="A491" s="3" t="s">
        <v>701</v>
      </c>
      <c r="B491" s="77" t="s">
        <v>10</v>
      </c>
      <c r="C491" s="4" t="s">
        <v>42</v>
      </c>
      <c r="D491" s="4" t="s">
        <v>47</v>
      </c>
      <c r="E491" s="4" t="s">
        <v>1218</v>
      </c>
      <c r="F491" s="4" t="s">
        <v>605</v>
      </c>
      <c r="G491" s="29">
        <f>215320.05</f>
        <v>215320.05</v>
      </c>
      <c r="H491" s="29"/>
    </row>
    <row r="492" spans="1:8" ht="47.25">
      <c r="A492" s="1" t="s">
        <v>739</v>
      </c>
      <c r="B492" s="196" t="s">
        <v>10</v>
      </c>
      <c r="C492" s="2" t="s">
        <v>42</v>
      </c>
      <c r="D492" s="2" t="s">
        <v>42</v>
      </c>
      <c r="E492" s="4"/>
      <c r="F492" s="4"/>
      <c r="G492" s="33">
        <f>G493+G515</f>
        <v>17894610.53</v>
      </c>
      <c r="H492" s="33"/>
    </row>
    <row r="493" spans="1:8" ht="94.5">
      <c r="A493" s="1" t="s">
        <v>1035</v>
      </c>
      <c r="B493" s="196" t="s">
        <v>10</v>
      </c>
      <c r="C493" s="2" t="s">
        <v>42</v>
      </c>
      <c r="D493" s="2" t="s">
        <v>42</v>
      </c>
      <c r="E493" s="2" t="s">
        <v>977</v>
      </c>
      <c r="F493" s="2"/>
      <c r="G493" s="33">
        <f>G494+G498</f>
        <v>14913187.73</v>
      </c>
      <c r="H493" s="33"/>
    </row>
    <row r="494" spans="1:8" ht="46.5" hidden="1">
      <c r="A494" s="3" t="s">
        <v>175</v>
      </c>
      <c r="B494" s="77" t="s">
        <v>10</v>
      </c>
      <c r="C494" s="4" t="s">
        <v>42</v>
      </c>
      <c r="D494" s="4" t="s">
        <v>42</v>
      </c>
      <c r="E494" s="4" t="s">
        <v>458</v>
      </c>
      <c r="F494" s="4"/>
      <c r="G494" s="33">
        <f>G495</f>
        <v>0</v>
      </c>
      <c r="H494" s="29"/>
    </row>
    <row r="495" spans="1:8" ht="30.75" hidden="1">
      <c r="A495" s="3" t="s">
        <v>238</v>
      </c>
      <c r="B495" s="77" t="s">
        <v>10</v>
      </c>
      <c r="C495" s="4" t="s">
        <v>42</v>
      </c>
      <c r="D495" s="4" t="s">
        <v>42</v>
      </c>
      <c r="E495" s="4" t="s">
        <v>170</v>
      </c>
      <c r="F495" s="4"/>
      <c r="G495" s="29">
        <f>G496</f>
        <v>0</v>
      </c>
      <c r="H495" s="29"/>
    </row>
    <row r="496" spans="1:8" ht="61.5" hidden="1">
      <c r="A496" s="3" t="s">
        <v>753</v>
      </c>
      <c r="B496" s="77" t="s">
        <v>10</v>
      </c>
      <c r="C496" s="4" t="s">
        <v>42</v>
      </c>
      <c r="D496" s="4" t="s">
        <v>42</v>
      </c>
      <c r="E496" s="4" t="s">
        <v>239</v>
      </c>
      <c r="F496" s="4"/>
      <c r="G496" s="29">
        <f>G497</f>
        <v>0</v>
      </c>
      <c r="H496" s="29"/>
    </row>
    <row r="497" spans="1:8" ht="46.5" hidden="1">
      <c r="A497" s="3" t="s">
        <v>676</v>
      </c>
      <c r="B497" s="77" t="s">
        <v>10</v>
      </c>
      <c r="C497" s="4" t="s">
        <v>42</v>
      </c>
      <c r="D497" s="4" t="s">
        <v>42</v>
      </c>
      <c r="E497" s="4" t="s">
        <v>239</v>
      </c>
      <c r="F497" s="4" t="s">
        <v>447</v>
      </c>
      <c r="G497" s="29">
        <f>18614556-16614556-2000000</f>
        <v>0</v>
      </c>
      <c r="H497" s="29"/>
    </row>
    <row r="498" spans="1:8" ht="63">
      <c r="A498" s="3" t="s">
        <v>585</v>
      </c>
      <c r="B498" s="77" t="s">
        <v>10</v>
      </c>
      <c r="C498" s="4" t="s">
        <v>42</v>
      </c>
      <c r="D498" s="4" t="s">
        <v>42</v>
      </c>
      <c r="E498" s="4" t="s">
        <v>543</v>
      </c>
      <c r="F498" s="4"/>
      <c r="G498" s="33">
        <f>G499+G506+G512</f>
        <v>14913187.73</v>
      </c>
      <c r="H498" s="29"/>
    </row>
    <row r="499" spans="1:8" ht="47.25">
      <c r="A499" s="3" t="s">
        <v>544</v>
      </c>
      <c r="B499" s="77" t="s">
        <v>10</v>
      </c>
      <c r="C499" s="4" t="s">
        <v>42</v>
      </c>
      <c r="D499" s="4" t="s">
        <v>42</v>
      </c>
      <c r="E499" s="4" t="s">
        <v>545</v>
      </c>
      <c r="F499" s="4"/>
      <c r="G499" s="29">
        <f>G500+G504</f>
        <v>6092546.220000001</v>
      </c>
      <c r="H499" s="29"/>
    </row>
    <row r="500" spans="1:8" ht="94.5">
      <c r="A500" s="3" t="s">
        <v>749</v>
      </c>
      <c r="B500" s="77" t="s">
        <v>10</v>
      </c>
      <c r="C500" s="4" t="s">
        <v>42</v>
      </c>
      <c r="D500" s="4" t="s">
        <v>42</v>
      </c>
      <c r="E500" s="4" t="s">
        <v>546</v>
      </c>
      <c r="F500" s="4"/>
      <c r="G500" s="29">
        <f>G501+G502+G503</f>
        <v>5694601.750000001</v>
      </c>
      <c r="H500" s="29"/>
    </row>
    <row r="501" spans="1:8" ht="110.25">
      <c r="A501" s="3" t="s">
        <v>92</v>
      </c>
      <c r="B501" s="77" t="s">
        <v>10</v>
      </c>
      <c r="C501" s="4" t="s">
        <v>42</v>
      </c>
      <c r="D501" s="4" t="s">
        <v>42</v>
      </c>
      <c r="E501" s="4" t="s">
        <v>546</v>
      </c>
      <c r="F501" s="4" t="s">
        <v>604</v>
      </c>
      <c r="G501" s="29">
        <f>5493585.44-11.31-3960.38</f>
        <v>5489613.750000001</v>
      </c>
      <c r="H501" s="29"/>
    </row>
    <row r="502" spans="1:8" ht="47.25">
      <c r="A502" s="3" t="s">
        <v>701</v>
      </c>
      <c r="B502" s="77" t="s">
        <v>10</v>
      </c>
      <c r="C502" s="4" t="s">
        <v>42</v>
      </c>
      <c r="D502" s="4" t="s">
        <v>42</v>
      </c>
      <c r="E502" s="4" t="s">
        <v>546</v>
      </c>
      <c r="F502" s="4" t="s">
        <v>605</v>
      </c>
      <c r="G502" s="29">
        <v>130400</v>
      </c>
      <c r="H502" s="29"/>
    </row>
    <row r="503" spans="1:8" ht="15.75">
      <c r="A503" s="3" t="s">
        <v>1040</v>
      </c>
      <c r="B503" s="77" t="s">
        <v>10</v>
      </c>
      <c r="C503" s="4" t="s">
        <v>42</v>
      </c>
      <c r="D503" s="4" t="s">
        <v>42</v>
      </c>
      <c r="E503" s="4" t="s">
        <v>546</v>
      </c>
      <c r="F503" s="4" t="s">
        <v>608</v>
      </c>
      <c r="G503" s="29">
        <v>74588</v>
      </c>
      <c r="H503" s="29"/>
    </row>
    <row r="504" spans="1:8" ht="31.5">
      <c r="A504" s="3" t="s">
        <v>523</v>
      </c>
      <c r="B504" s="77" t="s">
        <v>10</v>
      </c>
      <c r="C504" s="4" t="s">
        <v>42</v>
      </c>
      <c r="D504" s="4" t="s">
        <v>42</v>
      </c>
      <c r="E504" s="4" t="s">
        <v>1115</v>
      </c>
      <c r="F504" s="4"/>
      <c r="G504" s="29">
        <f>G505</f>
        <v>397944.47</v>
      </c>
      <c r="H504" s="29"/>
    </row>
    <row r="505" spans="1:8" ht="47.25">
      <c r="A505" s="3" t="s">
        <v>701</v>
      </c>
      <c r="B505" s="77" t="s">
        <v>10</v>
      </c>
      <c r="C505" s="4" t="s">
        <v>42</v>
      </c>
      <c r="D505" s="4" t="s">
        <v>42</v>
      </c>
      <c r="E505" s="4" t="s">
        <v>1115</v>
      </c>
      <c r="F505" s="4" t="s">
        <v>605</v>
      </c>
      <c r="G505" s="29">
        <f>397944.47</f>
        <v>397944.47</v>
      </c>
      <c r="H505" s="29"/>
    </row>
    <row r="506" spans="1:8" ht="110.25">
      <c r="A506" s="192" t="s">
        <v>240</v>
      </c>
      <c r="B506" s="77" t="s">
        <v>10</v>
      </c>
      <c r="C506" s="4" t="s">
        <v>42</v>
      </c>
      <c r="D506" s="4" t="s">
        <v>42</v>
      </c>
      <c r="E506" s="4" t="s">
        <v>241</v>
      </c>
      <c r="F506" s="4"/>
      <c r="G506" s="29">
        <f>G507+G510</f>
        <v>8523532.25</v>
      </c>
      <c r="H506" s="29"/>
    </row>
    <row r="507" spans="1:8" ht="94.5">
      <c r="A507" s="192" t="s">
        <v>749</v>
      </c>
      <c r="B507" s="77" t="s">
        <v>10</v>
      </c>
      <c r="C507" s="4" t="s">
        <v>42</v>
      </c>
      <c r="D507" s="4" t="s">
        <v>42</v>
      </c>
      <c r="E507" s="4" t="s">
        <v>242</v>
      </c>
      <c r="F507" s="4"/>
      <c r="G507" s="29">
        <f>G508+G509</f>
        <v>8381032.25</v>
      </c>
      <c r="H507" s="29"/>
    </row>
    <row r="508" spans="1:8" ht="110.25">
      <c r="A508" s="3" t="s">
        <v>92</v>
      </c>
      <c r="B508" s="77" t="s">
        <v>10</v>
      </c>
      <c r="C508" s="4" t="s">
        <v>42</v>
      </c>
      <c r="D508" s="4" t="s">
        <v>42</v>
      </c>
      <c r="E508" s="4" t="s">
        <v>242</v>
      </c>
      <c r="F508" s="4" t="s">
        <v>604</v>
      </c>
      <c r="G508" s="29">
        <v>8087863.37</v>
      </c>
      <c r="H508" s="29"/>
    </row>
    <row r="509" spans="1:8" ht="47.25">
      <c r="A509" s="3" t="s">
        <v>701</v>
      </c>
      <c r="B509" s="77" t="s">
        <v>10</v>
      </c>
      <c r="C509" s="4" t="s">
        <v>42</v>
      </c>
      <c r="D509" s="4" t="s">
        <v>42</v>
      </c>
      <c r="E509" s="4" t="s">
        <v>242</v>
      </c>
      <c r="F509" s="4" t="s">
        <v>605</v>
      </c>
      <c r="G509" s="29">
        <v>293168.88</v>
      </c>
      <c r="H509" s="29"/>
    </row>
    <row r="510" spans="1:14" ht="94.5">
      <c r="A510" s="3" t="s">
        <v>587</v>
      </c>
      <c r="B510" s="77" t="s">
        <v>10</v>
      </c>
      <c r="C510" s="4" t="s">
        <v>42</v>
      </c>
      <c r="D510" s="4" t="s">
        <v>42</v>
      </c>
      <c r="E510" s="4" t="s">
        <v>243</v>
      </c>
      <c r="F510" s="4"/>
      <c r="G510" s="29">
        <f>G511</f>
        <v>142500</v>
      </c>
      <c r="H510" s="29"/>
      <c r="J510" s="26"/>
      <c r="K510" s="26"/>
      <c r="M510" s="158">
        <f>187689759.09-78473773-110241223.26</f>
        <v>-1025237.1700000018</v>
      </c>
      <c r="N510" s="26"/>
    </row>
    <row r="511" spans="1:10" ht="110.25">
      <c r="A511" s="3" t="s">
        <v>506</v>
      </c>
      <c r="B511" s="77" t="s">
        <v>10</v>
      </c>
      <c r="C511" s="4" t="s">
        <v>42</v>
      </c>
      <c r="D511" s="4" t="s">
        <v>42</v>
      </c>
      <c r="E511" s="4" t="s">
        <v>547</v>
      </c>
      <c r="F511" s="4" t="s">
        <v>604</v>
      </c>
      <c r="G511" s="29">
        <v>142500</v>
      </c>
      <c r="H511" s="29"/>
      <c r="J511" s="26"/>
    </row>
    <row r="512" spans="1:8" ht="47.25">
      <c r="A512" s="192" t="s">
        <v>244</v>
      </c>
      <c r="B512" s="77" t="s">
        <v>10</v>
      </c>
      <c r="C512" s="4" t="s">
        <v>42</v>
      </c>
      <c r="D512" s="4" t="s">
        <v>42</v>
      </c>
      <c r="E512" s="4" t="s">
        <v>245</v>
      </c>
      <c r="F512" s="4"/>
      <c r="G512" s="29">
        <f>G513</f>
        <v>297109.26</v>
      </c>
      <c r="H512" s="29"/>
    </row>
    <row r="513" spans="1:8" ht="94.5">
      <c r="A513" s="192" t="s">
        <v>749</v>
      </c>
      <c r="B513" s="77" t="s">
        <v>10</v>
      </c>
      <c r="C513" s="4" t="s">
        <v>42</v>
      </c>
      <c r="D513" s="4" t="s">
        <v>42</v>
      </c>
      <c r="E513" s="4" t="s">
        <v>246</v>
      </c>
      <c r="F513" s="4"/>
      <c r="G513" s="29">
        <f>G514</f>
        <v>297109.26</v>
      </c>
      <c r="H513" s="29"/>
    </row>
    <row r="514" spans="1:8" ht="47.25">
      <c r="A514" s="3" t="s">
        <v>701</v>
      </c>
      <c r="B514" s="77" t="s">
        <v>10</v>
      </c>
      <c r="C514" s="4" t="s">
        <v>42</v>
      </c>
      <c r="D514" s="4" t="s">
        <v>42</v>
      </c>
      <c r="E514" s="4" t="s">
        <v>246</v>
      </c>
      <c r="F514" s="4" t="s">
        <v>605</v>
      </c>
      <c r="G514" s="29">
        <v>297109.26</v>
      </c>
      <c r="H514" s="29"/>
    </row>
    <row r="515" spans="1:8" ht="15.75">
      <c r="A515" s="27" t="s">
        <v>91</v>
      </c>
      <c r="B515" s="77" t="s">
        <v>10</v>
      </c>
      <c r="C515" s="4" t="s">
        <v>42</v>
      </c>
      <c r="D515" s="4" t="s">
        <v>42</v>
      </c>
      <c r="E515" s="4" t="s">
        <v>734</v>
      </c>
      <c r="F515" s="4"/>
      <c r="G515" s="29">
        <f>G516</f>
        <v>2981422.8</v>
      </c>
      <c r="H515" s="29"/>
    </row>
    <row r="516" spans="1:10" ht="94.5">
      <c r="A516" s="3" t="s">
        <v>749</v>
      </c>
      <c r="B516" s="77" t="s">
        <v>10</v>
      </c>
      <c r="C516" s="4" t="s">
        <v>42</v>
      </c>
      <c r="D516" s="4" t="s">
        <v>42</v>
      </c>
      <c r="E516" s="4" t="s">
        <v>548</v>
      </c>
      <c r="F516" s="4"/>
      <c r="G516" s="29">
        <f>G517</f>
        <v>2981422.8</v>
      </c>
      <c r="H516" s="29"/>
      <c r="J516" s="26"/>
    </row>
    <row r="517" spans="1:10" ht="63">
      <c r="A517" s="3" t="s">
        <v>525</v>
      </c>
      <c r="B517" s="77" t="s">
        <v>10</v>
      </c>
      <c r="C517" s="4" t="s">
        <v>42</v>
      </c>
      <c r="D517" s="4" t="s">
        <v>42</v>
      </c>
      <c r="E517" s="4" t="s">
        <v>548</v>
      </c>
      <c r="F517" s="4" t="s">
        <v>609</v>
      </c>
      <c r="G517" s="29">
        <f>3146422.8-165000</f>
        <v>2981422.8</v>
      </c>
      <c r="H517" s="29"/>
      <c r="J517" s="26"/>
    </row>
    <row r="518" spans="1:10" ht="15.75">
      <c r="A518" s="13" t="s">
        <v>611</v>
      </c>
      <c r="B518" s="197" t="s">
        <v>10</v>
      </c>
      <c r="C518" s="5" t="s">
        <v>41</v>
      </c>
      <c r="D518" s="5"/>
      <c r="E518" s="5"/>
      <c r="F518" s="5"/>
      <c r="G518" s="28">
        <f>G519</f>
        <v>12380759.49</v>
      </c>
      <c r="H518" s="28"/>
      <c r="J518" s="26"/>
    </row>
    <row r="519" spans="1:10" ht="31.5">
      <c r="A519" s="1" t="s">
        <v>612</v>
      </c>
      <c r="B519" s="196" t="s">
        <v>10</v>
      </c>
      <c r="C519" s="2" t="s">
        <v>41</v>
      </c>
      <c r="D519" s="2" t="s">
        <v>42</v>
      </c>
      <c r="E519" s="2"/>
      <c r="F519" s="2"/>
      <c r="G519" s="33">
        <f>G520</f>
        <v>12380759.49</v>
      </c>
      <c r="H519" s="33"/>
      <c r="J519" s="26"/>
    </row>
    <row r="520" spans="1:10" ht="63">
      <c r="A520" s="1" t="s">
        <v>1037</v>
      </c>
      <c r="B520" s="196" t="s">
        <v>10</v>
      </c>
      <c r="C520" s="2" t="s">
        <v>41</v>
      </c>
      <c r="D520" s="2" t="s">
        <v>42</v>
      </c>
      <c r="E520" s="2" t="s">
        <v>490</v>
      </c>
      <c r="F520" s="2"/>
      <c r="G520" s="33">
        <f>G527+G524+G521</f>
        <v>12380759.49</v>
      </c>
      <c r="H520" s="33"/>
      <c r="J520" s="26"/>
    </row>
    <row r="521" spans="1:10" ht="63">
      <c r="A521" s="3" t="s">
        <v>1219</v>
      </c>
      <c r="B521" s="77" t="s">
        <v>10</v>
      </c>
      <c r="C521" s="4" t="s">
        <v>41</v>
      </c>
      <c r="D521" s="4" t="s">
        <v>42</v>
      </c>
      <c r="E521" s="4" t="s">
        <v>1220</v>
      </c>
      <c r="F521" s="4"/>
      <c r="G521" s="29">
        <f>G522</f>
        <v>85246</v>
      </c>
      <c r="H521" s="29"/>
      <c r="J521" s="26"/>
    </row>
    <row r="522" spans="1:10" ht="31.5">
      <c r="A522" s="3" t="s">
        <v>523</v>
      </c>
      <c r="B522" s="77" t="s">
        <v>10</v>
      </c>
      <c r="C522" s="4" t="s">
        <v>41</v>
      </c>
      <c r="D522" s="4" t="s">
        <v>42</v>
      </c>
      <c r="E522" s="4" t="s">
        <v>1221</v>
      </c>
      <c r="F522" s="4"/>
      <c r="G522" s="29">
        <f>G523</f>
        <v>85246</v>
      </c>
      <c r="H522" s="29"/>
      <c r="J522" s="26"/>
    </row>
    <row r="523" spans="1:10" ht="47.25">
      <c r="A523" s="3" t="s">
        <v>701</v>
      </c>
      <c r="B523" s="77" t="s">
        <v>10</v>
      </c>
      <c r="C523" s="4" t="s">
        <v>41</v>
      </c>
      <c r="D523" s="4" t="s">
        <v>42</v>
      </c>
      <c r="E523" s="4" t="s">
        <v>1221</v>
      </c>
      <c r="F523" s="4" t="s">
        <v>605</v>
      </c>
      <c r="G523" s="29">
        <f>85246</f>
        <v>85246</v>
      </c>
      <c r="H523" s="29"/>
      <c r="J523" s="26"/>
    </row>
    <row r="524" spans="1:10" ht="110.25">
      <c r="A524" s="3" t="s">
        <v>1101</v>
      </c>
      <c r="B524" s="77" t="s">
        <v>10</v>
      </c>
      <c r="C524" s="4" t="s">
        <v>41</v>
      </c>
      <c r="D524" s="4" t="s">
        <v>42</v>
      </c>
      <c r="E524" s="4" t="s">
        <v>247</v>
      </c>
      <c r="F524" s="4"/>
      <c r="G524" s="29">
        <f>G525</f>
        <v>546513.49</v>
      </c>
      <c r="H524" s="29"/>
      <c r="J524" s="26"/>
    </row>
    <row r="525" spans="1:10" ht="31.5">
      <c r="A525" s="3" t="s">
        <v>523</v>
      </c>
      <c r="B525" s="77" t="s">
        <v>10</v>
      </c>
      <c r="C525" s="4" t="s">
        <v>41</v>
      </c>
      <c r="D525" s="4" t="s">
        <v>42</v>
      </c>
      <c r="E525" s="4" t="s">
        <v>248</v>
      </c>
      <c r="F525" s="4"/>
      <c r="G525" s="29">
        <f>G526</f>
        <v>546513.49</v>
      </c>
      <c r="H525" s="29"/>
      <c r="J525" s="26"/>
    </row>
    <row r="526" spans="1:10" ht="47.25">
      <c r="A526" s="3" t="s">
        <v>701</v>
      </c>
      <c r="B526" s="77" t="s">
        <v>10</v>
      </c>
      <c r="C526" s="4" t="s">
        <v>41</v>
      </c>
      <c r="D526" s="4" t="s">
        <v>42</v>
      </c>
      <c r="E526" s="4" t="s">
        <v>248</v>
      </c>
      <c r="F526" s="4" t="s">
        <v>605</v>
      </c>
      <c r="G526" s="29">
        <f>546613.49-100</f>
        <v>546513.49</v>
      </c>
      <c r="H526" s="29"/>
      <c r="J526" s="26"/>
    </row>
    <row r="527" spans="1:10" ht="94.5">
      <c r="A527" s="3" t="s">
        <v>549</v>
      </c>
      <c r="B527" s="77" t="s">
        <v>10</v>
      </c>
      <c r="C527" s="4" t="s">
        <v>41</v>
      </c>
      <c r="D527" s="4" t="s">
        <v>42</v>
      </c>
      <c r="E527" s="4" t="s">
        <v>550</v>
      </c>
      <c r="F527" s="4"/>
      <c r="G527" s="29">
        <f>G528</f>
        <v>11749000</v>
      </c>
      <c r="H527" s="29"/>
      <c r="J527" s="26"/>
    </row>
    <row r="528" spans="1:10" ht="63">
      <c r="A528" s="3" t="s">
        <v>753</v>
      </c>
      <c r="B528" s="77" t="s">
        <v>10</v>
      </c>
      <c r="C528" s="4" t="s">
        <v>41</v>
      </c>
      <c r="D528" s="4" t="s">
        <v>42</v>
      </c>
      <c r="E528" s="4" t="s">
        <v>551</v>
      </c>
      <c r="F528" s="4"/>
      <c r="G528" s="29">
        <f>G529</f>
        <v>11749000</v>
      </c>
      <c r="H528" s="29"/>
      <c r="J528" s="26"/>
    </row>
    <row r="529" spans="1:10" ht="47.25">
      <c r="A529" s="3" t="s">
        <v>676</v>
      </c>
      <c r="B529" s="77" t="s">
        <v>10</v>
      </c>
      <c r="C529" s="4" t="s">
        <v>41</v>
      </c>
      <c r="D529" s="4" t="s">
        <v>42</v>
      </c>
      <c r="E529" s="4" t="s">
        <v>551</v>
      </c>
      <c r="F529" s="4" t="s">
        <v>447</v>
      </c>
      <c r="G529" s="29">
        <v>11749000</v>
      </c>
      <c r="H529" s="29"/>
      <c r="J529" s="26"/>
    </row>
    <row r="530" spans="1:10" ht="15.75">
      <c r="A530" s="13" t="s">
        <v>51</v>
      </c>
      <c r="B530" s="197" t="s">
        <v>10</v>
      </c>
      <c r="C530" s="5" t="s">
        <v>43</v>
      </c>
      <c r="D530" s="5"/>
      <c r="E530" s="5"/>
      <c r="F530" s="5"/>
      <c r="G530" s="28">
        <f>G531+G543+G560</f>
        <v>53501028.94</v>
      </c>
      <c r="H530" s="28"/>
      <c r="J530" s="26"/>
    </row>
    <row r="531" spans="1:10" ht="15.75">
      <c r="A531" s="1" t="s">
        <v>52</v>
      </c>
      <c r="B531" s="196" t="s">
        <v>10</v>
      </c>
      <c r="C531" s="2" t="s">
        <v>43</v>
      </c>
      <c r="D531" s="2" t="s">
        <v>917</v>
      </c>
      <c r="E531" s="2"/>
      <c r="F531" s="4"/>
      <c r="G531" s="33">
        <f>G532</f>
        <v>38055784.8</v>
      </c>
      <c r="H531" s="33"/>
      <c r="J531" s="26"/>
    </row>
    <row r="532" spans="1:10" ht="63">
      <c r="A532" s="1" t="s">
        <v>102</v>
      </c>
      <c r="B532" s="196" t="s">
        <v>10</v>
      </c>
      <c r="C532" s="2" t="s">
        <v>43</v>
      </c>
      <c r="D532" s="2" t="s">
        <v>917</v>
      </c>
      <c r="E532" s="2" t="s">
        <v>552</v>
      </c>
      <c r="F532" s="2"/>
      <c r="G532" s="33">
        <f>G533</f>
        <v>38055784.8</v>
      </c>
      <c r="H532" s="33"/>
      <c r="J532" s="26"/>
    </row>
    <row r="533" spans="1:10" ht="63">
      <c r="A533" s="3" t="s">
        <v>4</v>
      </c>
      <c r="B533" s="77" t="s">
        <v>10</v>
      </c>
      <c r="C533" s="4" t="s">
        <v>43</v>
      </c>
      <c r="D533" s="4" t="s">
        <v>917</v>
      </c>
      <c r="E533" s="4" t="s">
        <v>553</v>
      </c>
      <c r="F533" s="4"/>
      <c r="G533" s="29">
        <f>G537+G540+G534</f>
        <v>38055784.8</v>
      </c>
      <c r="H533" s="29"/>
      <c r="J533" s="26"/>
    </row>
    <row r="534" spans="1:10" ht="31.5">
      <c r="A534" s="3" t="s">
        <v>922</v>
      </c>
      <c r="B534" s="77" t="s">
        <v>10</v>
      </c>
      <c r="C534" s="4" t="s">
        <v>43</v>
      </c>
      <c r="D534" s="4" t="s">
        <v>917</v>
      </c>
      <c r="E534" s="4" t="s">
        <v>923</v>
      </c>
      <c r="F534" s="4"/>
      <c r="G534" s="29">
        <f>G535</f>
        <v>34779000</v>
      </c>
      <c r="H534" s="29"/>
      <c r="J534" s="26"/>
    </row>
    <row r="535" spans="1:10" ht="63">
      <c r="A535" s="3" t="s">
        <v>753</v>
      </c>
      <c r="B535" s="77" t="s">
        <v>10</v>
      </c>
      <c r="C535" s="4" t="s">
        <v>43</v>
      </c>
      <c r="D535" s="4" t="s">
        <v>917</v>
      </c>
      <c r="E535" s="4" t="s">
        <v>924</v>
      </c>
      <c r="F535" s="4"/>
      <c r="G535" s="29">
        <f>G536</f>
        <v>34779000</v>
      </c>
      <c r="H535" s="29"/>
      <c r="J535" s="26"/>
    </row>
    <row r="536" spans="1:10" ht="47.25">
      <c r="A536" s="3" t="s">
        <v>676</v>
      </c>
      <c r="B536" s="77" t="s">
        <v>10</v>
      </c>
      <c r="C536" s="4" t="s">
        <v>43</v>
      </c>
      <c r="D536" s="4" t="s">
        <v>917</v>
      </c>
      <c r="E536" s="4" t="s">
        <v>924</v>
      </c>
      <c r="F536" s="4" t="s">
        <v>447</v>
      </c>
      <c r="G536" s="29">
        <f>2700000+32079000</f>
        <v>34779000</v>
      </c>
      <c r="H536" s="29"/>
      <c r="J536" s="26"/>
    </row>
    <row r="537" spans="1:10" ht="63">
      <c r="A537" s="3" t="s">
        <v>554</v>
      </c>
      <c r="B537" s="77" t="s">
        <v>10</v>
      </c>
      <c r="C537" s="4" t="s">
        <v>43</v>
      </c>
      <c r="D537" s="4" t="s">
        <v>917</v>
      </c>
      <c r="E537" s="4" t="s">
        <v>555</v>
      </c>
      <c r="F537" s="4"/>
      <c r="G537" s="29">
        <f>G538</f>
        <v>778540</v>
      </c>
      <c r="H537" s="29"/>
      <c r="J537" s="26"/>
    </row>
    <row r="538" spans="1:10" ht="47.25">
      <c r="A538" s="3" t="s">
        <v>756</v>
      </c>
      <c r="B538" s="77" t="s">
        <v>10</v>
      </c>
      <c r="C538" s="4" t="s">
        <v>43</v>
      </c>
      <c r="D538" s="4" t="s">
        <v>917</v>
      </c>
      <c r="E538" s="4" t="s">
        <v>556</v>
      </c>
      <c r="F538" s="4"/>
      <c r="G538" s="29">
        <f>G539</f>
        <v>778540</v>
      </c>
      <c r="H538" s="29"/>
      <c r="J538" s="26"/>
    </row>
    <row r="539" spans="1:10" ht="47.25">
      <c r="A539" s="3" t="s">
        <v>701</v>
      </c>
      <c r="B539" s="77" t="s">
        <v>10</v>
      </c>
      <c r="C539" s="4" t="s">
        <v>43</v>
      </c>
      <c r="D539" s="4" t="s">
        <v>917</v>
      </c>
      <c r="E539" s="4" t="s">
        <v>556</v>
      </c>
      <c r="F539" s="4" t="s">
        <v>605</v>
      </c>
      <c r="G539" s="29">
        <f>720174+58366</f>
        <v>778540</v>
      </c>
      <c r="H539" s="29"/>
      <c r="J539" s="26"/>
    </row>
    <row r="540" spans="1:10" ht="67.5" customHeight="1">
      <c r="A540" s="3" t="s">
        <v>557</v>
      </c>
      <c r="B540" s="77" t="s">
        <v>10</v>
      </c>
      <c r="C540" s="4" t="s">
        <v>43</v>
      </c>
      <c r="D540" s="4" t="s">
        <v>917</v>
      </c>
      <c r="E540" s="4" t="s">
        <v>558</v>
      </c>
      <c r="F540" s="4"/>
      <c r="G540" s="29">
        <f>G541</f>
        <v>2498244.8</v>
      </c>
      <c r="H540" s="29"/>
      <c r="J540" s="26"/>
    </row>
    <row r="541" spans="1:10" ht="47.25">
      <c r="A541" s="3" t="s">
        <v>756</v>
      </c>
      <c r="B541" s="77" t="s">
        <v>10</v>
      </c>
      <c r="C541" s="4" t="s">
        <v>43</v>
      </c>
      <c r="D541" s="4" t="s">
        <v>917</v>
      </c>
      <c r="E541" s="4" t="s">
        <v>559</v>
      </c>
      <c r="F541" s="4"/>
      <c r="G541" s="29">
        <f>G542</f>
        <v>2498244.8</v>
      </c>
      <c r="H541" s="29"/>
      <c r="J541" s="26"/>
    </row>
    <row r="542" spans="1:10" ht="47.25">
      <c r="A542" s="3" t="s">
        <v>701</v>
      </c>
      <c r="B542" s="77" t="s">
        <v>10</v>
      </c>
      <c r="C542" s="4" t="s">
        <v>43</v>
      </c>
      <c r="D542" s="4" t="s">
        <v>917</v>
      </c>
      <c r="E542" s="4" t="s">
        <v>559</v>
      </c>
      <c r="F542" s="4" t="s">
        <v>605</v>
      </c>
      <c r="G542" s="29">
        <f>126346-40000+1148174+1263724.8</f>
        <v>2498244.8</v>
      </c>
      <c r="H542" s="29"/>
      <c r="J542" s="26"/>
    </row>
    <row r="543" spans="1:10" ht="15.75">
      <c r="A543" s="13" t="s">
        <v>53</v>
      </c>
      <c r="B543" s="197" t="s">
        <v>10</v>
      </c>
      <c r="C543" s="5" t="s">
        <v>43</v>
      </c>
      <c r="D543" s="5" t="s">
        <v>45</v>
      </c>
      <c r="E543" s="23"/>
      <c r="F543" s="23"/>
      <c r="G543" s="28">
        <f>G544</f>
        <v>15060157.14</v>
      </c>
      <c r="H543" s="28"/>
      <c r="J543" s="26"/>
    </row>
    <row r="544" spans="1:10" ht="63">
      <c r="A544" s="1" t="s">
        <v>102</v>
      </c>
      <c r="B544" s="196" t="s">
        <v>10</v>
      </c>
      <c r="C544" s="2" t="s">
        <v>43</v>
      </c>
      <c r="D544" s="2" t="s">
        <v>45</v>
      </c>
      <c r="E544" s="2" t="s">
        <v>552</v>
      </c>
      <c r="F544" s="2"/>
      <c r="G544" s="33">
        <f>G545</f>
        <v>15060157.14</v>
      </c>
      <c r="H544" s="33"/>
      <c r="J544" s="26"/>
    </row>
    <row r="545" spans="1:10" ht="63">
      <c r="A545" s="3" t="s">
        <v>4</v>
      </c>
      <c r="B545" s="77" t="s">
        <v>10</v>
      </c>
      <c r="C545" s="4" t="s">
        <v>43</v>
      </c>
      <c r="D545" s="4" t="s">
        <v>45</v>
      </c>
      <c r="E545" s="4" t="s">
        <v>553</v>
      </c>
      <c r="F545" s="4"/>
      <c r="G545" s="29">
        <f>G549+G554+G546+G557</f>
        <v>15060157.14</v>
      </c>
      <c r="H545" s="29"/>
      <c r="J545" s="26"/>
    </row>
    <row r="546" spans="1:10" ht="35.25" customHeight="1">
      <c r="A546" s="3" t="s">
        <v>275</v>
      </c>
      <c r="B546" s="77" t="s">
        <v>10</v>
      </c>
      <c r="C546" s="4" t="s">
        <v>43</v>
      </c>
      <c r="D546" s="4" t="s">
        <v>45</v>
      </c>
      <c r="E546" s="4" t="s">
        <v>276</v>
      </c>
      <c r="F546" s="4"/>
      <c r="G546" s="29">
        <f>G547</f>
        <v>2702387.68</v>
      </c>
      <c r="H546" s="29"/>
      <c r="J546" s="26"/>
    </row>
    <row r="547" spans="1:10" ht="63">
      <c r="A547" s="3" t="s">
        <v>753</v>
      </c>
      <c r="B547" s="77" t="s">
        <v>10</v>
      </c>
      <c r="C547" s="4" t="s">
        <v>43</v>
      </c>
      <c r="D547" s="4" t="s">
        <v>45</v>
      </c>
      <c r="E547" s="4" t="s">
        <v>277</v>
      </c>
      <c r="F547" s="4"/>
      <c r="G547" s="29">
        <f>G548</f>
        <v>2702387.68</v>
      </c>
      <c r="H547" s="29"/>
      <c r="J547" s="26"/>
    </row>
    <row r="548" spans="1:10" ht="47.25">
      <c r="A548" s="3" t="s">
        <v>676</v>
      </c>
      <c r="B548" s="77" t="s">
        <v>10</v>
      </c>
      <c r="C548" s="4" t="s">
        <v>43</v>
      </c>
      <c r="D548" s="4" t="s">
        <v>45</v>
      </c>
      <c r="E548" s="4" t="s">
        <v>277</v>
      </c>
      <c r="F548" s="4" t="s">
        <v>447</v>
      </c>
      <c r="G548" s="29">
        <f>2702387.68</f>
        <v>2702387.68</v>
      </c>
      <c r="H548" s="29"/>
      <c r="J548" s="26"/>
    </row>
    <row r="549" spans="1:10" ht="63">
      <c r="A549" s="3" t="s">
        <v>554</v>
      </c>
      <c r="B549" s="77" t="s">
        <v>10</v>
      </c>
      <c r="C549" s="4" t="s">
        <v>43</v>
      </c>
      <c r="D549" s="4" t="s">
        <v>45</v>
      </c>
      <c r="E549" s="4" t="s">
        <v>555</v>
      </c>
      <c r="F549" s="4"/>
      <c r="G549" s="29">
        <f>G550+G552</f>
        <v>8463936.52</v>
      </c>
      <c r="H549" s="29"/>
      <c r="J549" s="26"/>
    </row>
    <row r="550" spans="1:10" ht="47.25">
      <c r="A550" s="3" t="s">
        <v>756</v>
      </c>
      <c r="B550" s="77" t="s">
        <v>10</v>
      </c>
      <c r="C550" s="4" t="s">
        <v>43</v>
      </c>
      <c r="D550" s="4" t="s">
        <v>45</v>
      </c>
      <c r="E550" s="4" t="s">
        <v>556</v>
      </c>
      <c r="F550" s="4"/>
      <c r="G550" s="29">
        <f>G551</f>
        <v>7478368.859999999</v>
      </c>
      <c r="H550" s="29"/>
      <c r="J550" s="26"/>
    </row>
    <row r="551" spans="1:10" ht="47.25">
      <c r="A551" s="3" t="s">
        <v>701</v>
      </c>
      <c r="B551" s="77" t="s">
        <v>10</v>
      </c>
      <c r="C551" s="4" t="s">
        <v>43</v>
      </c>
      <c r="D551" s="4" t="s">
        <v>45</v>
      </c>
      <c r="E551" s="4" t="s">
        <v>556</v>
      </c>
      <c r="F551" s="4" t="s">
        <v>605</v>
      </c>
      <c r="G551" s="29">
        <f>9405515-2700000+2700000-985567.66-1209581.96+268003.48</f>
        <v>7478368.859999999</v>
      </c>
      <c r="H551" s="29"/>
      <c r="J551" s="26"/>
    </row>
    <row r="552" spans="1:10" ht="31.5">
      <c r="A552" s="3" t="s">
        <v>523</v>
      </c>
      <c r="B552" s="77" t="s">
        <v>10</v>
      </c>
      <c r="C552" s="4" t="s">
        <v>43</v>
      </c>
      <c r="D552" s="4" t="s">
        <v>45</v>
      </c>
      <c r="E552" s="4" t="s">
        <v>1086</v>
      </c>
      <c r="F552" s="4"/>
      <c r="G552" s="29">
        <f>G553</f>
        <v>985567.66</v>
      </c>
      <c r="H552" s="29"/>
      <c r="J552" s="26"/>
    </row>
    <row r="553" spans="1:10" ht="47.25">
      <c r="A553" s="3" t="s">
        <v>701</v>
      </c>
      <c r="B553" s="77" t="s">
        <v>10</v>
      </c>
      <c r="C553" s="4" t="s">
        <v>43</v>
      </c>
      <c r="D553" s="4" t="s">
        <v>45</v>
      </c>
      <c r="E553" s="4" t="s">
        <v>1086</v>
      </c>
      <c r="F553" s="4" t="s">
        <v>605</v>
      </c>
      <c r="G553" s="29">
        <f>985567.66</f>
        <v>985567.66</v>
      </c>
      <c r="H553" s="29"/>
      <c r="J553" s="26"/>
    </row>
    <row r="554" spans="1:10" ht="63">
      <c r="A554" s="3" t="s">
        <v>557</v>
      </c>
      <c r="B554" s="77" t="s">
        <v>10</v>
      </c>
      <c r="C554" s="4" t="s">
        <v>43</v>
      </c>
      <c r="D554" s="4" t="s">
        <v>45</v>
      </c>
      <c r="E554" s="4" t="s">
        <v>558</v>
      </c>
      <c r="F554" s="4"/>
      <c r="G554" s="29">
        <f>G556</f>
        <v>2684250.98</v>
      </c>
      <c r="H554" s="29"/>
      <c r="J554" s="26"/>
    </row>
    <row r="555" spans="1:10" ht="47.25">
      <c r="A555" s="3" t="s">
        <v>756</v>
      </c>
      <c r="B555" s="77" t="s">
        <v>10</v>
      </c>
      <c r="C555" s="4" t="s">
        <v>43</v>
      </c>
      <c r="D555" s="4" t="s">
        <v>45</v>
      </c>
      <c r="E555" s="4" t="s">
        <v>559</v>
      </c>
      <c r="F555" s="4"/>
      <c r="G555" s="29">
        <f>G556</f>
        <v>2684250.98</v>
      </c>
      <c r="H555" s="29"/>
      <c r="J555" s="26"/>
    </row>
    <row r="556" spans="1:16" ht="47.25">
      <c r="A556" s="3" t="s">
        <v>701</v>
      </c>
      <c r="B556" s="77" t="s">
        <v>10</v>
      </c>
      <c r="C556" s="4" t="s">
        <v>43</v>
      </c>
      <c r="D556" s="4" t="s">
        <v>45</v>
      </c>
      <c r="E556" s="4" t="s">
        <v>559</v>
      </c>
      <c r="F556" s="4" t="s">
        <v>605</v>
      </c>
      <c r="G556" s="29">
        <f>6440322+40000-816445.54-241357.2-2738268.28</f>
        <v>2684250.98</v>
      </c>
      <c r="H556" s="29"/>
      <c r="J556" s="26"/>
      <c r="P556" s="26"/>
    </row>
    <row r="557" spans="1:10" ht="63">
      <c r="A557" s="3" t="s">
        <v>1095</v>
      </c>
      <c r="B557" s="77" t="s">
        <v>10</v>
      </c>
      <c r="C557" s="4" t="s">
        <v>43</v>
      </c>
      <c r="D557" s="4" t="s">
        <v>45</v>
      </c>
      <c r="E557" s="4" t="s">
        <v>1096</v>
      </c>
      <c r="F557" s="4"/>
      <c r="G557" s="29">
        <f>G558</f>
        <v>1209581.96</v>
      </c>
      <c r="H557" s="29"/>
      <c r="J557" s="26"/>
    </row>
    <row r="558" spans="1:10" ht="47.25">
      <c r="A558" s="3" t="s">
        <v>756</v>
      </c>
      <c r="B558" s="77" t="s">
        <v>10</v>
      </c>
      <c r="C558" s="4" t="s">
        <v>43</v>
      </c>
      <c r="D558" s="4" t="s">
        <v>45</v>
      </c>
      <c r="E558" s="4" t="s">
        <v>1097</v>
      </c>
      <c r="F558" s="4"/>
      <c r="G558" s="29">
        <f>G559</f>
        <v>1209581.96</v>
      </c>
      <c r="H558" s="29"/>
      <c r="J558" s="26"/>
    </row>
    <row r="559" spans="1:10" ht="47.25">
      <c r="A559" s="3" t="s">
        <v>701</v>
      </c>
      <c r="B559" s="77" t="s">
        <v>10</v>
      </c>
      <c r="C559" s="4" t="s">
        <v>43</v>
      </c>
      <c r="D559" s="4" t="s">
        <v>45</v>
      </c>
      <c r="E559" s="4" t="s">
        <v>1097</v>
      </c>
      <c r="F559" s="4" t="s">
        <v>605</v>
      </c>
      <c r="G559" s="29">
        <f>1209581.96</f>
        <v>1209581.96</v>
      </c>
      <c r="H559" s="29"/>
      <c r="J559" s="26"/>
    </row>
    <row r="560" spans="1:10" ht="31.5">
      <c r="A560" s="13" t="s">
        <v>6</v>
      </c>
      <c r="B560" s="197" t="s">
        <v>10</v>
      </c>
      <c r="C560" s="5" t="s">
        <v>43</v>
      </c>
      <c r="D560" s="5" t="s">
        <v>43</v>
      </c>
      <c r="E560" s="5"/>
      <c r="F560" s="5"/>
      <c r="G560" s="28">
        <f>G561</f>
        <v>385087</v>
      </c>
      <c r="H560" s="28"/>
      <c r="J560" s="26"/>
    </row>
    <row r="561" spans="1:10" ht="78.75">
      <c r="A561" s="1" t="s">
        <v>106</v>
      </c>
      <c r="B561" s="196" t="s">
        <v>10</v>
      </c>
      <c r="C561" s="2" t="s">
        <v>43</v>
      </c>
      <c r="D561" s="2" t="s">
        <v>43</v>
      </c>
      <c r="E561" s="2" t="s">
        <v>725</v>
      </c>
      <c r="F561" s="2"/>
      <c r="G561" s="33">
        <f>G562</f>
        <v>385087</v>
      </c>
      <c r="H561" s="33"/>
      <c r="J561" s="26"/>
    </row>
    <row r="562" spans="1:10" ht="31.5">
      <c r="A562" s="3" t="s">
        <v>138</v>
      </c>
      <c r="B562" s="77" t="s">
        <v>10</v>
      </c>
      <c r="C562" s="4" t="s">
        <v>43</v>
      </c>
      <c r="D562" s="4" t="s">
        <v>43</v>
      </c>
      <c r="E562" s="4" t="s">
        <v>560</v>
      </c>
      <c r="F562" s="4"/>
      <c r="G562" s="29">
        <f>G563</f>
        <v>385087</v>
      </c>
      <c r="H562" s="29"/>
      <c r="J562" s="26"/>
    </row>
    <row r="563" spans="1:10" ht="47.25">
      <c r="A563" s="3" t="s">
        <v>249</v>
      </c>
      <c r="B563" s="77" t="s">
        <v>10</v>
      </c>
      <c r="C563" s="4" t="s">
        <v>43</v>
      </c>
      <c r="D563" s="4" t="s">
        <v>43</v>
      </c>
      <c r="E563" s="4" t="s">
        <v>561</v>
      </c>
      <c r="F563" s="4"/>
      <c r="G563" s="29">
        <f>G564</f>
        <v>385087</v>
      </c>
      <c r="H563" s="29"/>
      <c r="J563" s="26"/>
    </row>
    <row r="564" spans="1:10" ht="47.25">
      <c r="A564" s="3" t="s">
        <v>756</v>
      </c>
      <c r="B564" s="77" t="s">
        <v>10</v>
      </c>
      <c r="C564" s="4" t="s">
        <v>43</v>
      </c>
      <c r="D564" s="4" t="s">
        <v>43</v>
      </c>
      <c r="E564" s="4" t="s">
        <v>562</v>
      </c>
      <c r="F564" s="4"/>
      <c r="G564" s="29">
        <f>G565</f>
        <v>385087</v>
      </c>
      <c r="H564" s="29"/>
      <c r="J564" s="26"/>
    </row>
    <row r="565" spans="1:10" ht="47.25">
      <c r="A565" s="3" t="s">
        <v>701</v>
      </c>
      <c r="B565" s="77" t="s">
        <v>10</v>
      </c>
      <c r="C565" s="4" t="s">
        <v>43</v>
      </c>
      <c r="D565" s="4" t="s">
        <v>43</v>
      </c>
      <c r="E565" s="4" t="s">
        <v>562</v>
      </c>
      <c r="F565" s="4" t="s">
        <v>605</v>
      </c>
      <c r="G565" s="29">
        <v>385087</v>
      </c>
      <c r="H565" s="29"/>
      <c r="J565" s="26"/>
    </row>
    <row r="566" spans="1:10" ht="15.75">
      <c r="A566" s="13" t="s">
        <v>606</v>
      </c>
      <c r="B566" s="5" t="s">
        <v>10</v>
      </c>
      <c r="C566" s="5" t="s">
        <v>44</v>
      </c>
      <c r="D566" s="5"/>
      <c r="E566" s="5"/>
      <c r="F566" s="5"/>
      <c r="G566" s="28">
        <f aca="true" t="shared" si="5" ref="G566:G571">G567</f>
        <v>82431</v>
      </c>
      <c r="H566" s="28"/>
      <c r="J566" s="26"/>
    </row>
    <row r="567" spans="1:10" ht="15.75">
      <c r="A567" s="1" t="s">
        <v>737</v>
      </c>
      <c r="B567" s="77" t="s">
        <v>10</v>
      </c>
      <c r="C567" s="4" t="s">
        <v>44</v>
      </c>
      <c r="D567" s="4" t="s">
        <v>917</v>
      </c>
      <c r="E567" s="4"/>
      <c r="F567" s="4"/>
      <c r="G567" s="29">
        <f t="shared" si="5"/>
        <v>82431</v>
      </c>
      <c r="H567" s="29"/>
      <c r="J567" s="26"/>
    </row>
    <row r="568" spans="1:10" ht="63">
      <c r="A568" s="3" t="s">
        <v>107</v>
      </c>
      <c r="B568" s="77" t="s">
        <v>10</v>
      </c>
      <c r="C568" s="4" t="s">
        <v>44</v>
      </c>
      <c r="D568" s="4" t="s">
        <v>917</v>
      </c>
      <c r="E568" s="4" t="s">
        <v>682</v>
      </c>
      <c r="F568" s="4"/>
      <c r="G568" s="29">
        <f t="shared" si="5"/>
        <v>82431</v>
      </c>
      <c r="H568" s="29"/>
      <c r="J568" s="26"/>
    </row>
    <row r="569" spans="1:10" ht="63">
      <c r="A569" s="3" t="s">
        <v>1117</v>
      </c>
      <c r="B569" s="77" t="s">
        <v>10</v>
      </c>
      <c r="C569" s="4" t="s">
        <v>44</v>
      </c>
      <c r="D569" s="4" t="s">
        <v>917</v>
      </c>
      <c r="E569" s="4" t="s">
        <v>1118</v>
      </c>
      <c r="F569" s="4"/>
      <c r="G569" s="29">
        <f t="shared" si="5"/>
        <v>82431</v>
      </c>
      <c r="H569" s="29"/>
      <c r="J569" s="26"/>
    </row>
    <row r="570" spans="1:10" ht="31.5">
      <c r="A570" s="3" t="s">
        <v>1119</v>
      </c>
      <c r="B570" s="77" t="s">
        <v>10</v>
      </c>
      <c r="C570" s="4" t="s">
        <v>44</v>
      </c>
      <c r="D570" s="4" t="s">
        <v>917</v>
      </c>
      <c r="E570" s="4" t="s">
        <v>1120</v>
      </c>
      <c r="F570" s="4"/>
      <c r="G570" s="29">
        <f t="shared" si="5"/>
        <v>82431</v>
      </c>
      <c r="H570" s="29"/>
      <c r="J570" s="26"/>
    </row>
    <row r="571" spans="1:10" ht="47.25">
      <c r="A571" s="3" t="s">
        <v>756</v>
      </c>
      <c r="B571" s="77" t="s">
        <v>10</v>
      </c>
      <c r="C571" s="4" t="s">
        <v>44</v>
      </c>
      <c r="D571" s="4" t="s">
        <v>917</v>
      </c>
      <c r="E571" s="4" t="s">
        <v>1121</v>
      </c>
      <c r="F571" s="4"/>
      <c r="G571" s="29">
        <f t="shared" si="5"/>
        <v>82431</v>
      </c>
      <c r="H571" s="29"/>
      <c r="J571" s="26"/>
    </row>
    <row r="572" spans="1:10" ht="47.25">
      <c r="A572" s="3" t="s">
        <v>701</v>
      </c>
      <c r="B572" s="77" t="s">
        <v>10</v>
      </c>
      <c r="C572" s="4" t="s">
        <v>44</v>
      </c>
      <c r="D572" s="4" t="s">
        <v>917</v>
      </c>
      <c r="E572" s="4" t="s">
        <v>1121</v>
      </c>
      <c r="F572" s="4" t="s">
        <v>605</v>
      </c>
      <c r="G572" s="29">
        <f>82431</f>
        <v>82431</v>
      </c>
      <c r="H572" s="29"/>
      <c r="J572" s="26"/>
    </row>
    <row r="573" spans="1:10" ht="15.75">
      <c r="A573" s="13" t="s">
        <v>54</v>
      </c>
      <c r="B573" s="197" t="s">
        <v>10</v>
      </c>
      <c r="C573" s="5" t="s">
        <v>48</v>
      </c>
      <c r="D573" s="5"/>
      <c r="E573" s="5"/>
      <c r="F573" s="5"/>
      <c r="G573" s="28">
        <f>G574</f>
        <v>1214000</v>
      </c>
      <c r="H573" s="28">
        <f>H574</f>
        <v>1214000</v>
      </c>
      <c r="J573" s="26"/>
    </row>
    <row r="574" spans="1:10" ht="31.5">
      <c r="A574" s="1" t="s">
        <v>738</v>
      </c>
      <c r="B574" s="196" t="s">
        <v>10</v>
      </c>
      <c r="C574" s="2" t="s">
        <v>48</v>
      </c>
      <c r="D574" s="2" t="s">
        <v>47</v>
      </c>
      <c r="E574" s="2"/>
      <c r="F574" s="2"/>
      <c r="G574" s="33">
        <f aca="true" t="shared" si="6" ref="G574:H580">G575</f>
        <v>1214000</v>
      </c>
      <c r="H574" s="33">
        <f t="shared" si="6"/>
        <v>1214000</v>
      </c>
      <c r="J574" s="26"/>
    </row>
    <row r="575" spans="1:10" ht="94.5">
      <c r="A575" s="1" t="s">
        <v>1035</v>
      </c>
      <c r="B575" s="196" t="s">
        <v>10</v>
      </c>
      <c r="C575" s="2" t="s">
        <v>48</v>
      </c>
      <c r="D575" s="2" t="s">
        <v>47</v>
      </c>
      <c r="E575" s="2" t="s">
        <v>977</v>
      </c>
      <c r="F575" s="2"/>
      <c r="G575" s="33">
        <f t="shared" si="6"/>
        <v>1214000</v>
      </c>
      <c r="H575" s="33">
        <f t="shared" si="6"/>
        <v>1214000</v>
      </c>
      <c r="J575" s="26"/>
    </row>
    <row r="576" spans="1:10" ht="47.25">
      <c r="A576" s="3" t="s">
        <v>475</v>
      </c>
      <c r="B576" s="77" t="s">
        <v>10</v>
      </c>
      <c r="C576" s="4" t="s">
        <v>48</v>
      </c>
      <c r="D576" s="4" t="s">
        <v>47</v>
      </c>
      <c r="E576" s="4" t="s">
        <v>563</v>
      </c>
      <c r="F576" s="2"/>
      <c r="G576" s="29">
        <f t="shared" si="6"/>
        <v>1214000</v>
      </c>
      <c r="H576" s="29">
        <f t="shared" si="6"/>
        <v>1214000</v>
      </c>
      <c r="J576" s="26"/>
    </row>
    <row r="577" spans="1:8" ht="63">
      <c r="A577" s="3" t="s">
        <v>1147</v>
      </c>
      <c r="B577" s="77" t="s">
        <v>10</v>
      </c>
      <c r="C577" s="4" t="s">
        <v>48</v>
      </c>
      <c r="D577" s="4" t="s">
        <v>47</v>
      </c>
      <c r="E577" s="4" t="s">
        <v>564</v>
      </c>
      <c r="F577" s="2"/>
      <c r="G577" s="29">
        <f>G580+G578</f>
        <v>1214000</v>
      </c>
      <c r="H577" s="29">
        <f>H580+H578</f>
        <v>1214000</v>
      </c>
    </row>
    <row r="578" spans="1:8" ht="94.5">
      <c r="A578" s="193" t="s">
        <v>1156</v>
      </c>
      <c r="B578" s="77" t="s">
        <v>10</v>
      </c>
      <c r="C578" s="4" t="s">
        <v>48</v>
      </c>
      <c r="D578" s="4" t="s">
        <v>47</v>
      </c>
      <c r="E578" s="4" t="s">
        <v>1158</v>
      </c>
      <c r="F578" s="4"/>
      <c r="G578" s="29">
        <f>G579</f>
        <v>1214000</v>
      </c>
      <c r="H578" s="29">
        <f>H579</f>
        <v>1214000</v>
      </c>
    </row>
    <row r="579" spans="1:8" ht="31.5">
      <c r="A579" s="193" t="s">
        <v>565</v>
      </c>
      <c r="B579" s="77" t="s">
        <v>10</v>
      </c>
      <c r="C579" s="4" t="s">
        <v>48</v>
      </c>
      <c r="D579" s="4" t="s">
        <v>47</v>
      </c>
      <c r="E579" s="4" t="s">
        <v>1158</v>
      </c>
      <c r="F579" s="4" t="s">
        <v>566</v>
      </c>
      <c r="G579" s="29">
        <f>1214000</f>
        <v>1214000</v>
      </c>
      <c r="H579" s="29">
        <f>G579</f>
        <v>1214000</v>
      </c>
    </row>
    <row r="580" spans="1:8" ht="103.5" customHeight="1">
      <c r="A580" s="193" t="s">
        <v>1156</v>
      </c>
      <c r="B580" s="77" t="s">
        <v>10</v>
      </c>
      <c r="C580" s="4" t="s">
        <v>48</v>
      </c>
      <c r="D580" s="4" t="s">
        <v>47</v>
      </c>
      <c r="E580" s="4" t="s">
        <v>1157</v>
      </c>
      <c r="F580" s="4"/>
      <c r="G580" s="29">
        <f t="shared" si="6"/>
        <v>0</v>
      </c>
      <c r="H580" s="33"/>
    </row>
    <row r="581" spans="1:8" ht="31.5">
      <c r="A581" s="194" t="s">
        <v>565</v>
      </c>
      <c r="B581" s="195" t="s">
        <v>10</v>
      </c>
      <c r="C581" s="7" t="s">
        <v>48</v>
      </c>
      <c r="D581" s="7" t="s">
        <v>47</v>
      </c>
      <c r="E581" s="4" t="s">
        <v>1157</v>
      </c>
      <c r="F581" s="7" t="s">
        <v>566</v>
      </c>
      <c r="G581" s="31">
        <f>287990-287990</f>
        <v>0</v>
      </c>
      <c r="H581" s="31"/>
    </row>
    <row r="582" spans="1:8" ht="58.5">
      <c r="A582" s="34" t="s">
        <v>569</v>
      </c>
      <c r="B582" s="24" t="s">
        <v>12</v>
      </c>
      <c r="C582" s="24"/>
      <c r="D582" s="24"/>
      <c r="E582" s="5"/>
      <c r="F582" s="5"/>
      <c r="G582" s="28">
        <f>G583+G621+G628</f>
        <v>23725218.520000003</v>
      </c>
      <c r="H582" s="28"/>
    </row>
    <row r="583" spans="1:8" ht="31.5">
      <c r="A583" s="1" t="s">
        <v>59</v>
      </c>
      <c r="B583" s="2" t="s">
        <v>12</v>
      </c>
      <c r="C583" s="2" t="s">
        <v>917</v>
      </c>
      <c r="D583" s="2"/>
      <c r="E583" s="2"/>
      <c r="F583" s="2"/>
      <c r="G583" s="33">
        <f>G584+G599+G595</f>
        <v>11921835.16</v>
      </c>
      <c r="H583" s="33"/>
    </row>
    <row r="584" spans="1:8" ht="94.5">
      <c r="A584" s="1" t="s">
        <v>599</v>
      </c>
      <c r="B584" s="2" t="s">
        <v>12</v>
      </c>
      <c r="C584" s="2" t="s">
        <v>917</v>
      </c>
      <c r="D584" s="2" t="s">
        <v>50</v>
      </c>
      <c r="E584" s="2"/>
      <c r="F584" s="2"/>
      <c r="G584" s="33">
        <f>G585</f>
        <v>10388358</v>
      </c>
      <c r="H584" s="33"/>
    </row>
    <row r="585" spans="1:8" ht="94.5">
      <c r="A585" s="59" t="s">
        <v>103</v>
      </c>
      <c r="B585" s="4" t="s">
        <v>12</v>
      </c>
      <c r="C585" s="4" t="s">
        <v>917</v>
      </c>
      <c r="D585" s="4" t="s">
        <v>50</v>
      </c>
      <c r="E585" s="4" t="s">
        <v>1042</v>
      </c>
      <c r="F585" s="4"/>
      <c r="G585" s="29">
        <f>G586</f>
        <v>10388358</v>
      </c>
      <c r="H585" s="29"/>
    </row>
    <row r="586" spans="1:10" ht="47.25">
      <c r="A586" s="59" t="s">
        <v>125</v>
      </c>
      <c r="B586" s="4" t="s">
        <v>12</v>
      </c>
      <c r="C586" s="4" t="s">
        <v>917</v>
      </c>
      <c r="D586" s="4" t="s">
        <v>50</v>
      </c>
      <c r="E586" s="4" t="s">
        <v>1041</v>
      </c>
      <c r="F586" s="4"/>
      <c r="G586" s="29">
        <f>G587+G592</f>
        <v>10388358</v>
      </c>
      <c r="H586" s="29"/>
      <c r="J586" s="26"/>
    </row>
    <row r="587" spans="1:10" ht="63">
      <c r="A587" s="59" t="s">
        <v>1043</v>
      </c>
      <c r="B587" s="4" t="s">
        <v>12</v>
      </c>
      <c r="C587" s="4" t="s">
        <v>917</v>
      </c>
      <c r="D587" s="4" t="s">
        <v>50</v>
      </c>
      <c r="E587" s="4" t="s">
        <v>1044</v>
      </c>
      <c r="F587" s="4"/>
      <c r="G587" s="29">
        <f>G588+G590</f>
        <v>7114686.7299999995</v>
      </c>
      <c r="H587" s="29"/>
      <c r="J587" s="26"/>
    </row>
    <row r="588" spans="1:8" ht="47.25">
      <c r="A588" s="59" t="s">
        <v>589</v>
      </c>
      <c r="B588" s="4" t="s">
        <v>12</v>
      </c>
      <c r="C588" s="4" t="s">
        <v>917</v>
      </c>
      <c r="D588" s="4" t="s">
        <v>50</v>
      </c>
      <c r="E588" s="4" t="s">
        <v>1045</v>
      </c>
      <c r="F588" s="4"/>
      <c r="G588" s="29">
        <f>G589</f>
        <v>6670695.7299999995</v>
      </c>
      <c r="H588" s="29"/>
    </row>
    <row r="589" spans="1:10" ht="110.25">
      <c r="A589" s="59" t="s">
        <v>507</v>
      </c>
      <c r="B589" s="4" t="s">
        <v>12</v>
      </c>
      <c r="C589" s="4" t="s">
        <v>917</v>
      </c>
      <c r="D589" s="4" t="s">
        <v>50</v>
      </c>
      <c r="E589" s="4" t="s">
        <v>1045</v>
      </c>
      <c r="F589" s="4" t="s">
        <v>604</v>
      </c>
      <c r="G589" s="29">
        <f>5709832.55+960863.18</f>
        <v>6670695.7299999995</v>
      </c>
      <c r="H589" s="29"/>
      <c r="J589" s="26"/>
    </row>
    <row r="590" spans="1:10" ht="94.5">
      <c r="A590" s="3" t="s">
        <v>587</v>
      </c>
      <c r="B590" s="4" t="s">
        <v>12</v>
      </c>
      <c r="C590" s="4" t="s">
        <v>917</v>
      </c>
      <c r="D590" s="4" t="s">
        <v>50</v>
      </c>
      <c r="E590" s="4" t="s">
        <v>1046</v>
      </c>
      <c r="F590" s="4"/>
      <c r="G590" s="29">
        <f>G591</f>
        <v>443991</v>
      </c>
      <c r="H590" s="29"/>
      <c r="J590" s="26"/>
    </row>
    <row r="591" spans="1:8" ht="110.25">
      <c r="A591" s="3" t="s">
        <v>506</v>
      </c>
      <c r="B591" s="4" t="s">
        <v>12</v>
      </c>
      <c r="C591" s="4" t="s">
        <v>917</v>
      </c>
      <c r="D591" s="4" t="s">
        <v>50</v>
      </c>
      <c r="E591" s="4" t="s">
        <v>1046</v>
      </c>
      <c r="F591" s="4" t="s">
        <v>604</v>
      </c>
      <c r="G591" s="29">
        <v>443991</v>
      </c>
      <c r="H591" s="29"/>
    </row>
    <row r="592" spans="1:8" ht="47.25">
      <c r="A592" s="3" t="s">
        <v>1047</v>
      </c>
      <c r="B592" s="4" t="s">
        <v>12</v>
      </c>
      <c r="C592" s="4" t="s">
        <v>917</v>
      </c>
      <c r="D592" s="4" t="s">
        <v>50</v>
      </c>
      <c r="E592" s="4" t="s">
        <v>1048</v>
      </c>
      <c r="F592" s="4"/>
      <c r="G592" s="29">
        <f>G593</f>
        <v>3273671.27</v>
      </c>
      <c r="H592" s="29"/>
    </row>
    <row r="593" spans="1:10" ht="47.25">
      <c r="A593" s="59" t="s">
        <v>589</v>
      </c>
      <c r="B593" s="4" t="s">
        <v>12</v>
      </c>
      <c r="C593" s="4" t="s">
        <v>917</v>
      </c>
      <c r="D593" s="4" t="s">
        <v>50</v>
      </c>
      <c r="E593" s="4" t="s">
        <v>1049</v>
      </c>
      <c r="F593" s="4"/>
      <c r="G593" s="29">
        <f>G594</f>
        <v>3273671.27</v>
      </c>
      <c r="H593" s="29"/>
      <c r="J593" s="26"/>
    </row>
    <row r="594" spans="1:8" ht="110.25">
      <c r="A594" s="59" t="s">
        <v>507</v>
      </c>
      <c r="B594" s="4" t="s">
        <v>12</v>
      </c>
      <c r="C594" s="4" t="s">
        <v>917</v>
      </c>
      <c r="D594" s="4" t="s">
        <v>50</v>
      </c>
      <c r="E594" s="4" t="s">
        <v>1049</v>
      </c>
      <c r="F594" s="4" t="s">
        <v>604</v>
      </c>
      <c r="G594" s="29">
        <f>2514340.45+759330.82</f>
        <v>3273671.27</v>
      </c>
      <c r="H594" s="29"/>
    </row>
    <row r="595" spans="1:8" ht="15.75">
      <c r="A595" s="13" t="s">
        <v>740</v>
      </c>
      <c r="B595" s="5" t="s">
        <v>12</v>
      </c>
      <c r="C595" s="5" t="s">
        <v>917</v>
      </c>
      <c r="D595" s="5" t="s">
        <v>144</v>
      </c>
      <c r="E595" s="5"/>
      <c r="F595" s="5"/>
      <c r="G595" s="110">
        <f>G596</f>
        <v>500000</v>
      </c>
      <c r="H595" s="110"/>
    </row>
    <row r="596" spans="1:8" ht="15.75">
      <c r="A596" s="3" t="s">
        <v>97</v>
      </c>
      <c r="B596" s="4" t="s">
        <v>12</v>
      </c>
      <c r="C596" s="4" t="s">
        <v>917</v>
      </c>
      <c r="D596" s="4" t="s">
        <v>144</v>
      </c>
      <c r="E596" s="4" t="s">
        <v>734</v>
      </c>
      <c r="F596" s="4"/>
      <c r="G596" s="29">
        <f>G597</f>
        <v>500000</v>
      </c>
      <c r="H596" s="29"/>
    </row>
    <row r="597" spans="1:8" ht="31.5">
      <c r="A597" s="3" t="s">
        <v>98</v>
      </c>
      <c r="B597" s="4" t="s">
        <v>12</v>
      </c>
      <c r="C597" s="4" t="s">
        <v>917</v>
      </c>
      <c r="D597" s="4" t="s">
        <v>144</v>
      </c>
      <c r="E597" s="4" t="s">
        <v>1050</v>
      </c>
      <c r="F597" s="4"/>
      <c r="G597" s="29">
        <f>G598</f>
        <v>500000</v>
      </c>
      <c r="H597" s="29"/>
    </row>
    <row r="598" spans="1:8" ht="15.75">
      <c r="A598" s="3" t="s">
        <v>1040</v>
      </c>
      <c r="B598" s="4" t="s">
        <v>12</v>
      </c>
      <c r="C598" s="4" t="s">
        <v>917</v>
      </c>
      <c r="D598" s="4" t="s">
        <v>144</v>
      </c>
      <c r="E598" s="4" t="s">
        <v>1050</v>
      </c>
      <c r="F598" s="4" t="s">
        <v>608</v>
      </c>
      <c r="G598" s="29">
        <v>500000</v>
      </c>
      <c r="H598" s="29"/>
    </row>
    <row r="599" spans="1:16" ht="31.5">
      <c r="A599" s="13" t="s">
        <v>741</v>
      </c>
      <c r="B599" s="5" t="s">
        <v>12</v>
      </c>
      <c r="C599" s="5" t="s">
        <v>917</v>
      </c>
      <c r="D599" s="5" t="s">
        <v>602</v>
      </c>
      <c r="E599" s="5"/>
      <c r="F599" s="5"/>
      <c r="G599" s="110">
        <f>G600+G617</f>
        <v>1033477.16</v>
      </c>
      <c r="H599" s="110"/>
      <c r="P599" s="26"/>
    </row>
    <row r="600" spans="1:8" ht="63">
      <c r="A600" s="3" t="s">
        <v>104</v>
      </c>
      <c r="B600" s="4" t="s">
        <v>12</v>
      </c>
      <c r="C600" s="4" t="s">
        <v>917</v>
      </c>
      <c r="D600" s="4" t="s">
        <v>602</v>
      </c>
      <c r="E600" s="4" t="s">
        <v>705</v>
      </c>
      <c r="F600" s="4"/>
      <c r="G600" s="29">
        <f>G605+G601</f>
        <v>348945</v>
      </c>
      <c r="H600" s="29"/>
    </row>
    <row r="601" spans="1:8" ht="47.25">
      <c r="A601" s="3" t="s">
        <v>123</v>
      </c>
      <c r="B601" s="77" t="s">
        <v>12</v>
      </c>
      <c r="C601" s="4" t="s">
        <v>917</v>
      </c>
      <c r="D601" s="4" t="s">
        <v>602</v>
      </c>
      <c r="E601" s="4" t="s">
        <v>706</v>
      </c>
      <c r="F601" s="4"/>
      <c r="G601" s="29">
        <f>G602</f>
        <v>162000</v>
      </c>
      <c r="H601" s="29"/>
    </row>
    <row r="602" spans="1:8" ht="47.25">
      <c r="A602" s="3" t="s">
        <v>1099</v>
      </c>
      <c r="B602" s="77" t="s">
        <v>12</v>
      </c>
      <c r="C602" s="4" t="s">
        <v>917</v>
      </c>
      <c r="D602" s="4" t="s">
        <v>602</v>
      </c>
      <c r="E602" s="4" t="s">
        <v>215</v>
      </c>
      <c r="F602" s="4"/>
      <c r="G602" s="29">
        <f>G603</f>
        <v>162000</v>
      </c>
      <c r="H602" s="29"/>
    </row>
    <row r="603" spans="1:8" ht="31.5">
      <c r="A603" s="3" t="s">
        <v>523</v>
      </c>
      <c r="B603" s="77" t="s">
        <v>12</v>
      </c>
      <c r="C603" s="4" t="s">
        <v>917</v>
      </c>
      <c r="D603" s="4" t="s">
        <v>602</v>
      </c>
      <c r="E603" s="4" t="s">
        <v>1100</v>
      </c>
      <c r="F603" s="4"/>
      <c r="G603" s="29">
        <f>G604</f>
        <v>162000</v>
      </c>
      <c r="H603" s="29"/>
    </row>
    <row r="604" spans="1:8" ht="47.25">
      <c r="A604" s="3" t="s">
        <v>701</v>
      </c>
      <c r="B604" s="77" t="s">
        <v>12</v>
      </c>
      <c r="C604" s="4" t="s">
        <v>917</v>
      </c>
      <c r="D604" s="4" t="s">
        <v>602</v>
      </c>
      <c r="E604" s="4" t="s">
        <v>1100</v>
      </c>
      <c r="F604" s="4" t="s">
        <v>605</v>
      </c>
      <c r="G604" s="29">
        <v>162000</v>
      </c>
      <c r="H604" s="29"/>
    </row>
    <row r="605" spans="1:8" ht="47.25">
      <c r="A605" s="3" t="s">
        <v>133</v>
      </c>
      <c r="B605" s="4" t="s">
        <v>12</v>
      </c>
      <c r="C605" s="4" t="s">
        <v>917</v>
      </c>
      <c r="D605" s="4" t="s">
        <v>602</v>
      </c>
      <c r="E605" s="4" t="s">
        <v>708</v>
      </c>
      <c r="F605" s="4"/>
      <c r="G605" s="29">
        <f>G606+G610+G613</f>
        <v>186945</v>
      </c>
      <c r="H605" s="29"/>
    </row>
    <row r="606" spans="1:8" ht="78.75">
      <c r="A606" s="3" t="s">
        <v>711</v>
      </c>
      <c r="B606" s="4" t="s">
        <v>12</v>
      </c>
      <c r="C606" s="4" t="s">
        <v>917</v>
      </c>
      <c r="D606" s="4" t="s">
        <v>602</v>
      </c>
      <c r="E606" s="4" t="s">
        <v>673</v>
      </c>
      <c r="F606" s="60"/>
      <c r="G606" s="29">
        <f>G607</f>
        <v>95750</v>
      </c>
      <c r="H606" s="29"/>
    </row>
    <row r="607" spans="1:8" ht="55.5" customHeight="1">
      <c r="A607" s="3" t="s">
        <v>590</v>
      </c>
      <c r="B607" s="4" t="s">
        <v>12</v>
      </c>
      <c r="C607" s="4" t="s">
        <v>917</v>
      </c>
      <c r="D607" s="4" t="s">
        <v>602</v>
      </c>
      <c r="E607" s="4" t="s">
        <v>1111</v>
      </c>
      <c r="F607" s="60"/>
      <c r="G607" s="29">
        <f>G609+G608</f>
        <v>95750</v>
      </c>
      <c r="H607" s="29"/>
    </row>
    <row r="608" spans="1:8" ht="110.25">
      <c r="A608" s="3" t="s">
        <v>92</v>
      </c>
      <c r="B608" s="4" t="s">
        <v>12</v>
      </c>
      <c r="C608" s="4" t="s">
        <v>917</v>
      </c>
      <c r="D608" s="4" t="s">
        <v>602</v>
      </c>
      <c r="E608" s="4" t="s">
        <v>1111</v>
      </c>
      <c r="F608" s="60">
        <v>100</v>
      </c>
      <c r="G608" s="29">
        <v>10000</v>
      </c>
      <c r="H608" s="29"/>
    </row>
    <row r="609" spans="1:8" ht="47.25">
      <c r="A609" s="3" t="s">
        <v>701</v>
      </c>
      <c r="B609" s="4" t="s">
        <v>12</v>
      </c>
      <c r="C609" s="4" t="s">
        <v>917</v>
      </c>
      <c r="D609" s="4" t="s">
        <v>602</v>
      </c>
      <c r="E609" s="4" t="s">
        <v>1111</v>
      </c>
      <c r="F609" s="60">
        <v>200</v>
      </c>
      <c r="G609" s="29">
        <f>40000+45750</f>
        <v>85750</v>
      </c>
      <c r="H609" s="29"/>
    </row>
    <row r="610" spans="1:8" ht="31.5">
      <c r="A610" s="3" t="s">
        <v>217</v>
      </c>
      <c r="B610" s="4" t="s">
        <v>12</v>
      </c>
      <c r="C610" s="4" t="s">
        <v>917</v>
      </c>
      <c r="D610" s="4" t="s">
        <v>602</v>
      </c>
      <c r="E610" s="4" t="s">
        <v>218</v>
      </c>
      <c r="F610" s="60"/>
      <c r="G610" s="29">
        <f>G611</f>
        <v>42695</v>
      </c>
      <c r="H610" s="29"/>
    </row>
    <row r="611" spans="1:8" ht="54.75" customHeight="1">
      <c r="A611" s="3" t="s">
        <v>590</v>
      </c>
      <c r="B611" s="4" t="s">
        <v>12</v>
      </c>
      <c r="C611" s="4" t="s">
        <v>917</v>
      </c>
      <c r="D611" s="4" t="s">
        <v>602</v>
      </c>
      <c r="E611" s="4" t="s">
        <v>1112</v>
      </c>
      <c r="F611" s="60"/>
      <c r="G611" s="29">
        <f>G612</f>
        <v>42695</v>
      </c>
      <c r="H611" s="29"/>
    </row>
    <row r="612" spans="1:8" ht="47.25">
      <c r="A612" s="3" t="s">
        <v>701</v>
      </c>
      <c r="B612" s="4" t="s">
        <v>12</v>
      </c>
      <c r="C612" s="4" t="s">
        <v>917</v>
      </c>
      <c r="D612" s="4" t="s">
        <v>602</v>
      </c>
      <c r="E612" s="4" t="s">
        <v>1112</v>
      </c>
      <c r="F612" s="60">
        <v>200</v>
      </c>
      <c r="G612" s="29">
        <v>42695</v>
      </c>
      <c r="H612" s="29"/>
    </row>
    <row r="613" spans="1:8" ht="63">
      <c r="A613" s="3" t="s">
        <v>237</v>
      </c>
      <c r="B613" s="4" t="s">
        <v>12</v>
      </c>
      <c r="C613" s="4" t="s">
        <v>917</v>
      </c>
      <c r="D613" s="4" t="s">
        <v>602</v>
      </c>
      <c r="E613" s="4" t="s">
        <v>220</v>
      </c>
      <c r="F613" s="60"/>
      <c r="G613" s="29">
        <f>G614</f>
        <v>48500</v>
      </c>
      <c r="H613" s="29"/>
    </row>
    <row r="614" spans="1:8" ht="47.25">
      <c r="A614" s="3" t="s">
        <v>590</v>
      </c>
      <c r="B614" s="4" t="s">
        <v>12</v>
      </c>
      <c r="C614" s="4" t="s">
        <v>917</v>
      </c>
      <c r="D614" s="4" t="s">
        <v>602</v>
      </c>
      <c r="E614" s="4" t="s">
        <v>1110</v>
      </c>
      <c r="F614" s="60"/>
      <c r="G614" s="29">
        <f>G615+G616</f>
        <v>48500</v>
      </c>
      <c r="H614" s="29"/>
    </row>
    <row r="615" spans="1:8" ht="110.25">
      <c r="A615" s="3" t="s">
        <v>506</v>
      </c>
      <c r="B615" s="4" t="s">
        <v>12</v>
      </c>
      <c r="C615" s="4" t="s">
        <v>917</v>
      </c>
      <c r="D615" s="4" t="s">
        <v>602</v>
      </c>
      <c r="E615" s="4" t="s">
        <v>1110</v>
      </c>
      <c r="F615" s="60">
        <v>100</v>
      </c>
      <c r="G615" s="29">
        <f>1500+27000</f>
        <v>28500</v>
      </c>
      <c r="H615" s="29"/>
    </row>
    <row r="616" spans="1:8" ht="47.25">
      <c r="A616" s="3" t="s">
        <v>701</v>
      </c>
      <c r="B616" s="4" t="s">
        <v>12</v>
      </c>
      <c r="C616" s="4" t="s">
        <v>917</v>
      </c>
      <c r="D616" s="4" t="s">
        <v>602</v>
      </c>
      <c r="E616" s="4" t="s">
        <v>1110</v>
      </c>
      <c r="F616" s="60">
        <v>200</v>
      </c>
      <c r="G616" s="29">
        <f>27000+20000-27000</f>
        <v>20000</v>
      </c>
      <c r="H616" s="29"/>
    </row>
    <row r="617" spans="1:8" ht="15.75">
      <c r="A617" s="3" t="s">
        <v>91</v>
      </c>
      <c r="B617" s="77" t="s">
        <v>12</v>
      </c>
      <c r="C617" s="4" t="s">
        <v>917</v>
      </c>
      <c r="D617" s="4" t="s">
        <v>602</v>
      </c>
      <c r="E617" s="4" t="s">
        <v>734</v>
      </c>
      <c r="F617" s="60"/>
      <c r="G617" s="29">
        <f>G618</f>
        <v>684532.16</v>
      </c>
      <c r="H617" s="29"/>
    </row>
    <row r="618" spans="1:8" ht="31.5">
      <c r="A618" s="3" t="s">
        <v>920</v>
      </c>
      <c r="B618" s="77" t="s">
        <v>12</v>
      </c>
      <c r="C618" s="4" t="s">
        <v>917</v>
      </c>
      <c r="D618" s="4" t="s">
        <v>602</v>
      </c>
      <c r="E618" s="4" t="s">
        <v>921</v>
      </c>
      <c r="F618" s="60"/>
      <c r="G618" s="29">
        <f>G620+G619</f>
        <v>684532.16</v>
      </c>
      <c r="H618" s="29"/>
    </row>
    <row r="619" spans="1:8" ht="47.25">
      <c r="A619" s="3" t="s">
        <v>701</v>
      </c>
      <c r="B619" s="4" t="s">
        <v>12</v>
      </c>
      <c r="C619" s="4" t="s">
        <v>917</v>
      </c>
      <c r="D619" s="4" t="s">
        <v>602</v>
      </c>
      <c r="E619" s="4" t="s">
        <v>921</v>
      </c>
      <c r="F619" s="60">
        <v>200</v>
      </c>
      <c r="G619" s="29">
        <f>121635.83+45591.19+339144.63+146975.79</f>
        <v>653347.4400000001</v>
      </c>
      <c r="H619" s="29"/>
    </row>
    <row r="620" spans="1:8" ht="15.75">
      <c r="A620" s="6" t="s">
        <v>1040</v>
      </c>
      <c r="B620" s="195" t="s">
        <v>12</v>
      </c>
      <c r="C620" s="7" t="s">
        <v>917</v>
      </c>
      <c r="D620" s="7" t="s">
        <v>602</v>
      </c>
      <c r="E620" s="7" t="s">
        <v>921</v>
      </c>
      <c r="F620" s="216">
        <v>800</v>
      </c>
      <c r="G620" s="31">
        <f>9143.72+4849+2000+9783+5409</f>
        <v>31184.72</v>
      </c>
      <c r="H620" s="31"/>
    </row>
    <row r="621" spans="1:8" ht="15.75">
      <c r="A621" s="1" t="s">
        <v>61</v>
      </c>
      <c r="B621" s="2" t="s">
        <v>12</v>
      </c>
      <c r="C621" s="2" t="s">
        <v>50</v>
      </c>
      <c r="D621" s="2"/>
      <c r="E621" s="2"/>
      <c r="F621" s="2"/>
      <c r="G621" s="33">
        <f aca="true" t="shared" si="7" ref="G621:G626">G622</f>
        <v>768183.39</v>
      </c>
      <c r="H621" s="29"/>
    </row>
    <row r="622" spans="1:8" ht="15.75">
      <c r="A622" s="1" t="s">
        <v>597</v>
      </c>
      <c r="B622" s="2" t="s">
        <v>12</v>
      </c>
      <c r="C622" s="2" t="s">
        <v>50</v>
      </c>
      <c r="D622" s="2" t="s">
        <v>48</v>
      </c>
      <c r="E622" s="2"/>
      <c r="F622" s="2"/>
      <c r="G622" s="33">
        <f t="shared" si="7"/>
        <v>768183.39</v>
      </c>
      <c r="H622" s="29"/>
    </row>
    <row r="623" spans="1:8" ht="47.25">
      <c r="A623" s="3" t="s">
        <v>1034</v>
      </c>
      <c r="B623" s="4" t="s">
        <v>12</v>
      </c>
      <c r="C623" s="4" t="s">
        <v>50</v>
      </c>
      <c r="D623" s="4" t="s">
        <v>48</v>
      </c>
      <c r="E623" s="4" t="s">
        <v>712</v>
      </c>
      <c r="F623" s="4"/>
      <c r="G623" s="29">
        <f>G624</f>
        <v>768183.39</v>
      </c>
      <c r="H623" s="29"/>
    </row>
    <row r="624" spans="1:8" ht="63">
      <c r="A624" s="3" t="s">
        <v>94</v>
      </c>
      <c r="B624" s="4" t="s">
        <v>12</v>
      </c>
      <c r="C624" s="4" t="s">
        <v>50</v>
      </c>
      <c r="D624" s="4" t="s">
        <v>48</v>
      </c>
      <c r="E624" s="4" t="s">
        <v>713</v>
      </c>
      <c r="F624" s="4"/>
      <c r="G624" s="29">
        <f t="shared" si="7"/>
        <v>768183.39</v>
      </c>
      <c r="H624" s="29"/>
    </row>
    <row r="625" spans="1:8" ht="47.25">
      <c r="A625" s="3" t="s">
        <v>299</v>
      </c>
      <c r="B625" s="4" t="s">
        <v>12</v>
      </c>
      <c r="C625" s="4" t="s">
        <v>50</v>
      </c>
      <c r="D625" s="4" t="s">
        <v>48</v>
      </c>
      <c r="E625" s="4" t="s">
        <v>300</v>
      </c>
      <c r="F625" s="4"/>
      <c r="G625" s="29">
        <f>G626</f>
        <v>768183.39</v>
      </c>
      <c r="H625" s="29"/>
    </row>
    <row r="626" spans="1:8" ht="31.5">
      <c r="A626" s="3" t="s">
        <v>523</v>
      </c>
      <c r="B626" s="4" t="s">
        <v>12</v>
      </c>
      <c r="C626" s="4" t="s">
        <v>50</v>
      </c>
      <c r="D626" s="4" t="s">
        <v>48</v>
      </c>
      <c r="E626" s="4" t="s">
        <v>301</v>
      </c>
      <c r="F626" s="4"/>
      <c r="G626" s="29">
        <f t="shared" si="7"/>
        <v>768183.39</v>
      </c>
      <c r="H626" s="29"/>
    </row>
    <row r="627" spans="1:8" ht="47.25">
      <c r="A627" s="3" t="s">
        <v>701</v>
      </c>
      <c r="B627" s="4" t="s">
        <v>12</v>
      </c>
      <c r="C627" s="4" t="s">
        <v>50</v>
      </c>
      <c r="D627" s="4" t="s">
        <v>48</v>
      </c>
      <c r="E627" s="4" t="s">
        <v>301</v>
      </c>
      <c r="F627" s="4" t="s">
        <v>605</v>
      </c>
      <c r="G627" s="29">
        <f>1045183.39-65000-197000-15000</f>
        <v>768183.39</v>
      </c>
      <c r="H627" s="29"/>
    </row>
    <row r="628" spans="1:8" ht="31.5">
      <c r="A628" s="68" t="s">
        <v>143</v>
      </c>
      <c r="B628" s="2" t="s">
        <v>12</v>
      </c>
      <c r="C628" s="2" t="s">
        <v>602</v>
      </c>
      <c r="D628" s="2"/>
      <c r="E628" s="2"/>
      <c r="F628" s="2"/>
      <c r="G628" s="33">
        <f aca="true" t="shared" si="8" ref="G628:G633">G629</f>
        <v>11035199.97</v>
      </c>
      <c r="H628" s="33"/>
    </row>
    <row r="629" spans="1:8" ht="47.25">
      <c r="A629" s="68" t="s">
        <v>126</v>
      </c>
      <c r="B629" s="2" t="s">
        <v>12</v>
      </c>
      <c r="C629" s="2" t="s">
        <v>602</v>
      </c>
      <c r="D629" s="2" t="s">
        <v>917</v>
      </c>
      <c r="E629" s="4"/>
      <c r="F629" s="4"/>
      <c r="G629" s="33">
        <f t="shared" si="8"/>
        <v>11035199.97</v>
      </c>
      <c r="H629" s="33"/>
    </row>
    <row r="630" spans="1:8" ht="94.5">
      <c r="A630" s="59" t="s">
        <v>103</v>
      </c>
      <c r="B630" s="4" t="s">
        <v>12</v>
      </c>
      <c r="C630" s="4" t="s">
        <v>602</v>
      </c>
      <c r="D630" s="4" t="s">
        <v>917</v>
      </c>
      <c r="E630" s="4" t="s">
        <v>1042</v>
      </c>
      <c r="F630" s="4"/>
      <c r="G630" s="29">
        <f t="shared" si="8"/>
        <v>11035199.97</v>
      </c>
      <c r="H630" s="29"/>
    </row>
    <row r="631" spans="1:8" ht="47.25">
      <c r="A631" s="59" t="s">
        <v>127</v>
      </c>
      <c r="B631" s="4" t="s">
        <v>12</v>
      </c>
      <c r="C631" s="4" t="s">
        <v>602</v>
      </c>
      <c r="D631" s="4" t="s">
        <v>917</v>
      </c>
      <c r="E631" s="4" t="s">
        <v>1051</v>
      </c>
      <c r="F631" s="4"/>
      <c r="G631" s="29">
        <f t="shared" si="8"/>
        <v>11035199.97</v>
      </c>
      <c r="H631" s="29"/>
    </row>
    <row r="632" spans="1:8" ht="63">
      <c r="A632" s="59" t="s">
        <v>1052</v>
      </c>
      <c r="B632" s="4" t="s">
        <v>12</v>
      </c>
      <c r="C632" s="4" t="s">
        <v>602</v>
      </c>
      <c r="D632" s="4" t="s">
        <v>917</v>
      </c>
      <c r="E632" s="4" t="s">
        <v>1053</v>
      </c>
      <c r="F632" s="4"/>
      <c r="G632" s="29">
        <f t="shared" si="8"/>
        <v>11035199.97</v>
      </c>
      <c r="H632" s="29"/>
    </row>
    <row r="633" spans="1:8" ht="31.5">
      <c r="A633" s="59" t="s">
        <v>128</v>
      </c>
      <c r="B633" s="4" t="s">
        <v>12</v>
      </c>
      <c r="C633" s="4" t="s">
        <v>602</v>
      </c>
      <c r="D633" s="4" t="s">
        <v>917</v>
      </c>
      <c r="E633" s="4" t="s">
        <v>1054</v>
      </c>
      <c r="F633" s="4"/>
      <c r="G633" s="29">
        <f t="shared" si="8"/>
        <v>11035199.97</v>
      </c>
      <c r="H633" s="29"/>
    </row>
    <row r="634" spans="1:8" ht="31.5">
      <c r="A634" s="199" t="s">
        <v>117</v>
      </c>
      <c r="B634" s="7" t="s">
        <v>12</v>
      </c>
      <c r="C634" s="7" t="s">
        <v>602</v>
      </c>
      <c r="D634" s="7" t="s">
        <v>917</v>
      </c>
      <c r="E634" s="7" t="s">
        <v>1054</v>
      </c>
      <c r="F634" s="7" t="s">
        <v>607</v>
      </c>
      <c r="G634" s="31">
        <v>11035199.97</v>
      </c>
      <c r="H634" s="31"/>
    </row>
    <row r="635" spans="1:10" ht="58.5">
      <c r="A635" s="34" t="s">
        <v>537</v>
      </c>
      <c r="B635" s="11" t="s">
        <v>538</v>
      </c>
      <c r="C635" s="5"/>
      <c r="D635" s="5"/>
      <c r="E635" s="5"/>
      <c r="F635" s="5"/>
      <c r="G635" s="28">
        <f>G636+G677+G687+G793+G670</f>
        <v>1312696178.4899998</v>
      </c>
      <c r="H635" s="28">
        <f>H636+H677+H687+H793</f>
        <v>715252223</v>
      </c>
      <c r="J635" s="26"/>
    </row>
    <row r="636" spans="1:10" ht="31.5">
      <c r="A636" s="1" t="s">
        <v>59</v>
      </c>
      <c r="B636" s="2" t="s">
        <v>538</v>
      </c>
      <c r="C636" s="2" t="s">
        <v>917</v>
      </c>
      <c r="D636" s="9"/>
      <c r="E636" s="2"/>
      <c r="F636" s="2"/>
      <c r="G636" s="33">
        <f>G637+G663</f>
        <v>16020548.429999998</v>
      </c>
      <c r="H636" s="33"/>
      <c r="J636" s="26"/>
    </row>
    <row r="637" spans="1:10" ht="94.5">
      <c r="A637" s="1" t="s">
        <v>599</v>
      </c>
      <c r="B637" s="2" t="s">
        <v>538</v>
      </c>
      <c r="C637" s="2" t="s">
        <v>917</v>
      </c>
      <c r="D637" s="2" t="s">
        <v>50</v>
      </c>
      <c r="E637" s="2"/>
      <c r="F637" s="2"/>
      <c r="G637" s="33">
        <f>G638</f>
        <v>15855210.429999998</v>
      </c>
      <c r="H637" s="33"/>
      <c r="J637" s="26"/>
    </row>
    <row r="638" spans="1:8" ht="47.25">
      <c r="A638" s="3" t="s">
        <v>102</v>
      </c>
      <c r="B638" s="4" t="s">
        <v>538</v>
      </c>
      <c r="C638" s="4" t="s">
        <v>917</v>
      </c>
      <c r="D638" s="4" t="s">
        <v>50</v>
      </c>
      <c r="E638" s="4" t="s">
        <v>552</v>
      </c>
      <c r="F638" s="2"/>
      <c r="G638" s="29">
        <f>G639</f>
        <v>15855210.429999998</v>
      </c>
      <c r="H638" s="33"/>
    </row>
    <row r="639" spans="1:8" ht="63">
      <c r="A639" s="21" t="s">
        <v>533</v>
      </c>
      <c r="B639" s="4" t="s">
        <v>538</v>
      </c>
      <c r="C639" s="4" t="s">
        <v>917</v>
      </c>
      <c r="D639" s="4" t="s">
        <v>50</v>
      </c>
      <c r="E639" s="4" t="s">
        <v>326</v>
      </c>
      <c r="F639" s="4"/>
      <c r="G639" s="29">
        <f>G640+G644+G649+G655</f>
        <v>15855210.429999998</v>
      </c>
      <c r="H639" s="33"/>
    </row>
    <row r="640" spans="1:8" ht="129.75" customHeight="1">
      <c r="A640" s="200" t="s">
        <v>252</v>
      </c>
      <c r="B640" s="281" t="s">
        <v>538</v>
      </c>
      <c r="C640" s="281" t="s">
        <v>917</v>
      </c>
      <c r="D640" s="281" t="s">
        <v>50</v>
      </c>
      <c r="E640" s="281" t="s">
        <v>327</v>
      </c>
      <c r="F640" s="281"/>
      <c r="G640" s="280">
        <f>G642</f>
        <v>797662.85</v>
      </c>
      <c r="H640" s="282"/>
    </row>
    <row r="641" spans="1:8" ht="78.75">
      <c r="A641" s="201" t="s">
        <v>253</v>
      </c>
      <c r="B641" s="281"/>
      <c r="C641" s="281"/>
      <c r="D641" s="281"/>
      <c r="E641" s="281"/>
      <c r="F641" s="281"/>
      <c r="G641" s="280"/>
      <c r="H641" s="282"/>
    </row>
    <row r="642" spans="1:10" ht="47.25">
      <c r="A642" s="21" t="s">
        <v>589</v>
      </c>
      <c r="B642" s="4" t="s">
        <v>538</v>
      </c>
      <c r="C642" s="4" t="s">
        <v>917</v>
      </c>
      <c r="D642" s="4" t="s">
        <v>50</v>
      </c>
      <c r="E642" s="4" t="s">
        <v>328</v>
      </c>
      <c r="F642" s="4"/>
      <c r="G642" s="29">
        <f>G643</f>
        <v>797662.85</v>
      </c>
      <c r="H642" s="33"/>
      <c r="J642" s="26"/>
    </row>
    <row r="643" spans="1:8" ht="110.25">
      <c r="A643" s="21" t="s">
        <v>506</v>
      </c>
      <c r="B643" s="4" t="s">
        <v>538</v>
      </c>
      <c r="C643" s="4" t="s">
        <v>917</v>
      </c>
      <c r="D643" s="4" t="s">
        <v>50</v>
      </c>
      <c r="E643" s="4" t="s">
        <v>328</v>
      </c>
      <c r="F643" s="4" t="s">
        <v>604</v>
      </c>
      <c r="G643" s="29">
        <v>797662.85</v>
      </c>
      <c r="H643" s="33"/>
    </row>
    <row r="644" spans="1:10" ht="110.25">
      <c r="A644" s="21" t="s">
        <v>329</v>
      </c>
      <c r="B644" s="4" t="s">
        <v>538</v>
      </c>
      <c r="C644" s="4" t="s">
        <v>917</v>
      </c>
      <c r="D644" s="4" t="s">
        <v>50</v>
      </c>
      <c r="E644" s="4" t="s">
        <v>330</v>
      </c>
      <c r="F644" s="4"/>
      <c r="G644" s="29">
        <f>G645+G647</f>
        <v>1015551.47</v>
      </c>
      <c r="H644" s="33"/>
      <c r="J644" s="26"/>
    </row>
    <row r="645" spans="1:10" ht="47.25">
      <c r="A645" s="21" t="s">
        <v>589</v>
      </c>
      <c r="B645" s="4" t="s">
        <v>538</v>
      </c>
      <c r="C645" s="4" t="s">
        <v>917</v>
      </c>
      <c r="D645" s="4" t="s">
        <v>50</v>
      </c>
      <c r="E645" s="4" t="s">
        <v>331</v>
      </c>
      <c r="F645" s="4"/>
      <c r="G645" s="29">
        <f>G646</f>
        <v>955551.47</v>
      </c>
      <c r="H645" s="33"/>
      <c r="J645" s="26"/>
    </row>
    <row r="646" spans="1:8" ht="110.25">
      <c r="A646" s="21" t="s">
        <v>506</v>
      </c>
      <c r="B646" s="4" t="s">
        <v>538</v>
      </c>
      <c r="C646" s="4" t="s">
        <v>917</v>
      </c>
      <c r="D646" s="4" t="s">
        <v>50</v>
      </c>
      <c r="E646" s="4" t="s">
        <v>331</v>
      </c>
      <c r="F646" s="4" t="s">
        <v>604</v>
      </c>
      <c r="G646" s="29">
        <v>955551.47</v>
      </c>
      <c r="H646" s="33"/>
    </row>
    <row r="647" spans="1:10" ht="94.5">
      <c r="A647" s="21" t="s">
        <v>587</v>
      </c>
      <c r="B647" s="4" t="s">
        <v>538</v>
      </c>
      <c r="C647" s="4" t="s">
        <v>917</v>
      </c>
      <c r="D647" s="4" t="s">
        <v>50</v>
      </c>
      <c r="E647" s="4" t="s">
        <v>332</v>
      </c>
      <c r="F647" s="4"/>
      <c r="G647" s="29">
        <f>G648</f>
        <v>60000</v>
      </c>
      <c r="H647" s="33"/>
      <c r="J647" s="26"/>
    </row>
    <row r="648" spans="1:10" ht="110.25">
      <c r="A648" s="21" t="s">
        <v>506</v>
      </c>
      <c r="B648" s="4" t="s">
        <v>538</v>
      </c>
      <c r="C648" s="4" t="s">
        <v>917</v>
      </c>
      <c r="D648" s="4" t="s">
        <v>50</v>
      </c>
      <c r="E648" s="4" t="s">
        <v>332</v>
      </c>
      <c r="F648" s="4" t="s">
        <v>604</v>
      </c>
      <c r="G648" s="29">
        <v>60000</v>
      </c>
      <c r="H648" s="33"/>
      <c r="J648" s="26"/>
    </row>
    <row r="649" spans="1:10" ht="110.25">
      <c r="A649" s="200" t="s">
        <v>254</v>
      </c>
      <c r="B649" s="281" t="s">
        <v>538</v>
      </c>
      <c r="C649" s="281" t="s">
        <v>917</v>
      </c>
      <c r="D649" s="281" t="s">
        <v>50</v>
      </c>
      <c r="E649" s="281" t="s">
        <v>333</v>
      </c>
      <c r="F649" s="281"/>
      <c r="G649" s="280">
        <f>G651+G653</f>
        <v>3989369.13</v>
      </c>
      <c r="H649" s="282"/>
      <c r="J649" s="26"/>
    </row>
    <row r="650" spans="1:10" ht="63">
      <c r="A650" s="202" t="s">
        <v>255</v>
      </c>
      <c r="B650" s="281"/>
      <c r="C650" s="281"/>
      <c r="D650" s="281"/>
      <c r="E650" s="281"/>
      <c r="F650" s="281"/>
      <c r="G650" s="280"/>
      <c r="H650" s="282"/>
      <c r="J650" s="26"/>
    </row>
    <row r="651" spans="1:10" ht="47.25">
      <c r="A651" s="21" t="s">
        <v>589</v>
      </c>
      <c r="B651" s="4" t="s">
        <v>538</v>
      </c>
      <c r="C651" s="4" t="s">
        <v>917</v>
      </c>
      <c r="D651" s="4" t="s">
        <v>50</v>
      </c>
      <c r="E651" s="4" t="s">
        <v>334</v>
      </c>
      <c r="F651" s="4"/>
      <c r="G651" s="29">
        <f>G652</f>
        <v>3901605.13</v>
      </c>
      <c r="H651" s="33"/>
      <c r="J651" s="26"/>
    </row>
    <row r="652" spans="1:10" ht="110.25">
      <c r="A652" s="21" t="s">
        <v>506</v>
      </c>
      <c r="B652" s="4" t="s">
        <v>538</v>
      </c>
      <c r="C652" s="4" t="s">
        <v>917</v>
      </c>
      <c r="D652" s="4" t="s">
        <v>50</v>
      </c>
      <c r="E652" s="4" t="s">
        <v>334</v>
      </c>
      <c r="F652" s="4" t="s">
        <v>604</v>
      </c>
      <c r="G652" s="29">
        <v>3901605.13</v>
      </c>
      <c r="H652" s="33"/>
      <c r="J652" s="26"/>
    </row>
    <row r="653" spans="1:10" ht="94.5">
      <c r="A653" s="21" t="s">
        <v>587</v>
      </c>
      <c r="B653" s="4" t="s">
        <v>538</v>
      </c>
      <c r="C653" s="4" t="s">
        <v>917</v>
      </c>
      <c r="D653" s="4" t="s">
        <v>50</v>
      </c>
      <c r="E653" s="4" t="s">
        <v>335</v>
      </c>
      <c r="F653" s="4"/>
      <c r="G653" s="29">
        <f>G654</f>
        <v>87764</v>
      </c>
      <c r="H653" s="33"/>
      <c r="J653" s="26"/>
    </row>
    <row r="654" spans="1:10" ht="110.25">
      <c r="A654" s="21" t="s">
        <v>506</v>
      </c>
      <c r="B654" s="4" t="s">
        <v>538</v>
      </c>
      <c r="C654" s="4" t="s">
        <v>917</v>
      </c>
      <c r="D654" s="4" t="s">
        <v>50</v>
      </c>
      <c r="E654" s="4" t="s">
        <v>335</v>
      </c>
      <c r="F654" s="4" t="s">
        <v>604</v>
      </c>
      <c r="G654" s="29">
        <v>87764</v>
      </c>
      <c r="H654" s="33"/>
      <c r="J654" s="26"/>
    </row>
    <row r="655" spans="1:10" ht="126">
      <c r="A655" s="200" t="s">
        <v>1151</v>
      </c>
      <c r="B655" s="281" t="s">
        <v>538</v>
      </c>
      <c r="C655" s="281" t="s">
        <v>917</v>
      </c>
      <c r="D655" s="281" t="s">
        <v>50</v>
      </c>
      <c r="E655" s="281" t="s">
        <v>336</v>
      </c>
      <c r="F655" s="281"/>
      <c r="G655" s="280">
        <f>G657+G661+G659</f>
        <v>10052626.979999999</v>
      </c>
      <c r="H655" s="282"/>
      <c r="J655" s="26"/>
    </row>
    <row r="656" spans="1:10" ht="84.75" customHeight="1">
      <c r="A656" s="202" t="s">
        <v>64</v>
      </c>
      <c r="B656" s="281"/>
      <c r="C656" s="281"/>
      <c r="D656" s="281"/>
      <c r="E656" s="281"/>
      <c r="F656" s="281"/>
      <c r="G656" s="280"/>
      <c r="H656" s="282"/>
      <c r="J656" s="26"/>
    </row>
    <row r="657" spans="1:10" ht="47.25">
      <c r="A657" s="21" t="s">
        <v>589</v>
      </c>
      <c r="B657" s="4" t="s">
        <v>538</v>
      </c>
      <c r="C657" s="4" t="s">
        <v>917</v>
      </c>
      <c r="D657" s="4" t="s">
        <v>50</v>
      </c>
      <c r="E657" s="4" t="s">
        <v>337</v>
      </c>
      <c r="F657" s="4"/>
      <c r="G657" s="29">
        <f>G658</f>
        <v>9947626.979999999</v>
      </c>
      <c r="H657" s="33"/>
      <c r="J657" s="26"/>
    </row>
    <row r="658" spans="1:10" ht="110.25">
      <c r="A658" s="21" t="s">
        <v>506</v>
      </c>
      <c r="B658" s="4" t="s">
        <v>538</v>
      </c>
      <c r="C658" s="4" t="s">
        <v>917</v>
      </c>
      <c r="D658" s="4" t="s">
        <v>50</v>
      </c>
      <c r="E658" s="4" t="s">
        <v>337</v>
      </c>
      <c r="F658" s="4" t="s">
        <v>604</v>
      </c>
      <c r="G658" s="29">
        <f>4987408.55+3809691.58+1150526.85</f>
        <v>9947626.979999999</v>
      </c>
      <c r="H658" s="33"/>
      <c r="J658" s="26"/>
    </row>
    <row r="659" spans="1:10" ht="47.25">
      <c r="A659" s="21" t="s">
        <v>590</v>
      </c>
      <c r="B659" s="4" t="s">
        <v>538</v>
      </c>
      <c r="C659" s="4" t="s">
        <v>917</v>
      </c>
      <c r="D659" s="4" t="s">
        <v>50</v>
      </c>
      <c r="E659" s="4" t="s">
        <v>338</v>
      </c>
      <c r="F659" s="4"/>
      <c r="G659" s="29">
        <f>G660</f>
        <v>1800</v>
      </c>
      <c r="H659" s="33"/>
      <c r="J659" s="26"/>
    </row>
    <row r="660" spans="1:10" ht="110.25">
      <c r="A660" s="21" t="s">
        <v>506</v>
      </c>
      <c r="B660" s="4" t="s">
        <v>538</v>
      </c>
      <c r="C660" s="4" t="s">
        <v>917</v>
      </c>
      <c r="D660" s="4" t="s">
        <v>50</v>
      </c>
      <c r="E660" s="4" t="s">
        <v>338</v>
      </c>
      <c r="F660" s="4" t="s">
        <v>604</v>
      </c>
      <c r="G660" s="29">
        <v>1800</v>
      </c>
      <c r="H660" s="33"/>
      <c r="J660" s="26"/>
    </row>
    <row r="661" spans="1:10" ht="94.5">
      <c r="A661" s="21" t="s">
        <v>587</v>
      </c>
      <c r="B661" s="4" t="s">
        <v>538</v>
      </c>
      <c r="C661" s="4" t="s">
        <v>917</v>
      </c>
      <c r="D661" s="4" t="s">
        <v>50</v>
      </c>
      <c r="E661" s="4" t="s">
        <v>339</v>
      </c>
      <c r="F661" s="4"/>
      <c r="G661" s="29">
        <f>G662</f>
        <v>103200</v>
      </c>
      <c r="H661" s="33"/>
      <c r="J661" s="26"/>
    </row>
    <row r="662" spans="1:10" ht="110.25">
      <c r="A662" s="21" t="s">
        <v>506</v>
      </c>
      <c r="B662" s="4" t="s">
        <v>538</v>
      </c>
      <c r="C662" s="4" t="s">
        <v>917</v>
      </c>
      <c r="D662" s="4" t="s">
        <v>50</v>
      </c>
      <c r="E662" s="4" t="s">
        <v>339</v>
      </c>
      <c r="F662" s="4" t="s">
        <v>604</v>
      </c>
      <c r="G662" s="29">
        <f>105000-1800</f>
        <v>103200</v>
      </c>
      <c r="H662" s="33"/>
      <c r="J662" s="26"/>
    </row>
    <row r="663" spans="1:10" ht="31.5">
      <c r="A663" s="1" t="s">
        <v>741</v>
      </c>
      <c r="B663" s="2" t="s">
        <v>538</v>
      </c>
      <c r="C663" s="2" t="s">
        <v>917</v>
      </c>
      <c r="D663" s="2" t="s">
        <v>602</v>
      </c>
      <c r="E663" s="2"/>
      <c r="F663" s="2"/>
      <c r="G663" s="33">
        <f>G664</f>
        <v>165338</v>
      </c>
      <c r="H663" s="33"/>
      <c r="J663" s="26"/>
    </row>
    <row r="664" spans="1:10" ht="63">
      <c r="A664" s="27" t="s">
        <v>104</v>
      </c>
      <c r="B664" s="4" t="s">
        <v>538</v>
      </c>
      <c r="C664" s="4" t="s">
        <v>917</v>
      </c>
      <c r="D664" s="4" t="s">
        <v>602</v>
      </c>
      <c r="E664" s="4" t="s">
        <v>705</v>
      </c>
      <c r="F664" s="2"/>
      <c r="G664" s="33">
        <f>G665</f>
        <v>165338</v>
      </c>
      <c r="H664" s="33"/>
      <c r="J664" s="26"/>
    </row>
    <row r="665" spans="1:10" ht="47.25">
      <c r="A665" s="3" t="s">
        <v>133</v>
      </c>
      <c r="B665" s="4" t="s">
        <v>538</v>
      </c>
      <c r="C665" s="4" t="s">
        <v>917</v>
      </c>
      <c r="D665" s="4" t="s">
        <v>602</v>
      </c>
      <c r="E665" s="4" t="s">
        <v>708</v>
      </c>
      <c r="F665" s="4"/>
      <c r="G665" s="29">
        <f>G666</f>
        <v>165338</v>
      </c>
      <c r="H665" s="33"/>
      <c r="J665" s="26"/>
    </row>
    <row r="666" spans="1:10" ht="78.75">
      <c r="A666" s="3" t="s">
        <v>711</v>
      </c>
      <c r="B666" s="4" t="s">
        <v>538</v>
      </c>
      <c r="C666" s="4" t="s">
        <v>917</v>
      </c>
      <c r="D666" s="4" t="s">
        <v>602</v>
      </c>
      <c r="E666" s="4" t="s">
        <v>673</v>
      </c>
      <c r="F666" s="60"/>
      <c r="G666" s="29">
        <f>G667</f>
        <v>165338</v>
      </c>
      <c r="H666" s="33"/>
      <c r="J666" s="26"/>
    </row>
    <row r="667" spans="1:10" ht="36.75" customHeight="1">
      <c r="A667" s="3" t="s">
        <v>590</v>
      </c>
      <c r="B667" s="4" t="s">
        <v>538</v>
      </c>
      <c r="C667" s="4" t="s">
        <v>917</v>
      </c>
      <c r="D667" s="4" t="s">
        <v>602</v>
      </c>
      <c r="E667" s="4" t="s">
        <v>1111</v>
      </c>
      <c r="F667" s="60"/>
      <c r="G667" s="29">
        <f>G668+G669</f>
        <v>165338</v>
      </c>
      <c r="H667" s="33"/>
      <c r="J667" s="26"/>
    </row>
    <row r="668" spans="1:10" ht="110.25">
      <c r="A668" s="3" t="s">
        <v>506</v>
      </c>
      <c r="B668" s="4" t="s">
        <v>538</v>
      </c>
      <c r="C668" s="4" t="s">
        <v>917</v>
      </c>
      <c r="D668" s="4" t="s">
        <v>602</v>
      </c>
      <c r="E668" s="4" t="s">
        <v>1111</v>
      </c>
      <c r="F668" s="60">
        <v>100</v>
      </c>
      <c r="G668" s="29">
        <v>71588</v>
      </c>
      <c r="H668" s="33"/>
      <c r="J668" s="26"/>
    </row>
    <row r="669" spans="1:10" ht="47.25">
      <c r="A669" s="3" t="s">
        <v>701</v>
      </c>
      <c r="B669" s="4" t="s">
        <v>538</v>
      </c>
      <c r="C669" s="4" t="s">
        <v>917</v>
      </c>
      <c r="D669" s="4" t="s">
        <v>602</v>
      </c>
      <c r="E669" s="4" t="s">
        <v>1111</v>
      </c>
      <c r="F669" s="60">
        <v>200</v>
      </c>
      <c r="G669" s="29">
        <v>93750</v>
      </c>
      <c r="H669" s="33"/>
      <c r="J669" s="26"/>
    </row>
    <row r="670" spans="1:10" ht="47.25">
      <c r="A670" s="1" t="s">
        <v>60</v>
      </c>
      <c r="B670" s="2" t="s">
        <v>538</v>
      </c>
      <c r="C670" s="2" t="s">
        <v>47</v>
      </c>
      <c r="D670" s="2"/>
      <c r="E670" s="2"/>
      <c r="F670" s="215"/>
      <c r="G670" s="33">
        <f aca="true" t="shared" si="9" ref="G670:G675">G671</f>
        <v>331474</v>
      </c>
      <c r="H670" s="33"/>
      <c r="J670" s="26"/>
    </row>
    <row r="671" spans="1:10" ht="47.25">
      <c r="A671" s="3" t="s">
        <v>746</v>
      </c>
      <c r="B671" s="4" t="s">
        <v>538</v>
      </c>
      <c r="C671" s="4" t="s">
        <v>47</v>
      </c>
      <c r="D671" s="4" t="s">
        <v>567</v>
      </c>
      <c r="E671" s="4"/>
      <c r="F671" s="60"/>
      <c r="G671" s="29">
        <f t="shared" si="9"/>
        <v>331474</v>
      </c>
      <c r="H671" s="33"/>
      <c r="J671" s="26"/>
    </row>
    <row r="672" spans="1:10" ht="63">
      <c r="A672" s="3" t="s">
        <v>108</v>
      </c>
      <c r="B672" s="4" t="s">
        <v>538</v>
      </c>
      <c r="C672" s="4" t="s">
        <v>47</v>
      </c>
      <c r="D672" s="4" t="s">
        <v>567</v>
      </c>
      <c r="E672" s="4" t="s">
        <v>630</v>
      </c>
      <c r="F672" s="60"/>
      <c r="G672" s="29">
        <f t="shared" si="9"/>
        <v>331474</v>
      </c>
      <c r="H672" s="33"/>
      <c r="J672" s="26"/>
    </row>
    <row r="673" spans="1:10" ht="63">
      <c r="A673" s="3" t="s">
        <v>130</v>
      </c>
      <c r="B673" s="4" t="s">
        <v>538</v>
      </c>
      <c r="C673" s="4" t="s">
        <v>47</v>
      </c>
      <c r="D673" s="4" t="s">
        <v>567</v>
      </c>
      <c r="E673" s="4" t="s">
        <v>631</v>
      </c>
      <c r="F673" s="60"/>
      <c r="G673" s="29">
        <f t="shared" si="9"/>
        <v>331474</v>
      </c>
      <c r="H673" s="33"/>
      <c r="J673" s="26"/>
    </row>
    <row r="674" spans="1:10" ht="47.25">
      <c r="A674" s="3" t="s">
        <v>178</v>
      </c>
      <c r="B674" s="4" t="s">
        <v>538</v>
      </c>
      <c r="C674" s="4" t="s">
        <v>47</v>
      </c>
      <c r="D674" s="4" t="s">
        <v>567</v>
      </c>
      <c r="E674" s="4" t="s">
        <v>179</v>
      </c>
      <c r="F674" s="60"/>
      <c r="G674" s="29">
        <f t="shared" si="9"/>
        <v>331474</v>
      </c>
      <c r="H674" s="33"/>
      <c r="J674" s="26"/>
    </row>
    <row r="675" spans="1:10" ht="47.25">
      <c r="A675" s="3" t="s">
        <v>131</v>
      </c>
      <c r="B675" s="4" t="s">
        <v>538</v>
      </c>
      <c r="C675" s="4" t="s">
        <v>47</v>
      </c>
      <c r="D675" s="4" t="s">
        <v>567</v>
      </c>
      <c r="E675" s="4" t="s">
        <v>282</v>
      </c>
      <c r="F675" s="60"/>
      <c r="G675" s="29">
        <f t="shared" si="9"/>
        <v>331474</v>
      </c>
      <c r="H675" s="33"/>
      <c r="J675" s="26"/>
    </row>
    <row r="676" spans="1:10" ht="63">
      <c r="A676" s="3" t="s">
        <v>525</v>
      </c>
      <c r="B676" s="4" t="s">
        <v>538</v>
      </c>
      <c r="C676" s="4" t="s">
        <v>47</v>
      </c>
      <c r="D676" s="4" t="s">
        <v>567</v>
      </c>
      <c r="E676" s="4" t="s">
        <v>282</v>
      </c>
      <c r="F676" s="60">
        <v>600</v>
      </c>
      <c r="G676" s="29">
        <f>100000+231474</f>
        <v>331474</v>
      </c>
      <c r="H676" s="33"/>
      <c r="J676" s="26"/>
    </row>
    <row r="677" spans="1:10" ht="15.75">
      <c r="A677" s="13" t="s">
        <v>61</v>
      </c>
      <c r="B677" s="5" t="s">
        <v>538</v>
      </c>
      <c r="C677" s="5" t="s">
        <v>50</v>
      </c>
      <c r="D677" s="5"/>
      <c r="E677" s="5"/>
      <c r="F677" s="5"/>
      <c r="G677" s="28">
        <f>G678</f>
        <v>6220050.29</v>
      </c>
      <c r="H677" s="28"/>
      <c r="J677" s="26"/>
    </row>
    <row r="678" spans="1:10" ht="15.75">
      <c r="A678" s="3" t="s">
        <v>597</v>
      </c>
      <c r="B678" s="4" t="s">
        <v>538</v>
      </c>
      <c r="C678" s="4" t="s">
        <v>50</v>
      </c>
      <c r="D678" s="4" t="s">
        <v>48</v>
      </c>
      <c r="E678" s="4"/>
      <c r="F678" s="4"/>
      <c r="G678" s="33">
        <f>G679</f>
        <v>6220050.29</v>
      </c>
      <c r="H678" s="33"/>
      <c r="J678" s="26"/>
    </row>
    <row r="679" spans="1:10" ht="47.25">
      <c r="A679" s="3" t="s">
        <v>1034</v>
      </c>
      <c r="B679" s="4" t="s">
        <v>538</v>
      </c>
      <c r="C679" s="4" t="s">
        <v>50</v>
      </c>
      <c r="D679" s="4" t="s">
        <v>48</v>
      </c>
      <c r="E679" s="4" t="s">
        <v>712</v>
      </c>
      <c r="F679" s="4"/>
      <c r="G679" s="33">
        <f>G680</f>
        <v>6220050.29</v>
      </c>
      <c r="H679" s="33"/>
      <c r="J679" s="26"/>
    </row>
    <row r="680" spans="1:10" ht="63">
      <c r="A680" s="3" t="s">
        <v>94</v>
      </c>
      <c r="B680" s="4" t="s">
        <v>538</v>
      </c>
      <c r="C680" s="4" t="s">
        <v>50</v>
      </c>
      <c r="D680" s="4" t="s">
        <v>48</v>
      </c>
      <c r="E680" s="4" t="s">
        <v>713</v>
      </c>
      <c r="F680" s="4"/>
      <c r="G680" s="29">
        <f>G681+G684</f>
        <v>6220050.29</v>
      </c>
      <c r="H680" s="33"/>
      <c r="J680" s="26"/>
    </row>
    <row r="681" spans="1:10" ht="65.25" customHeight="1">
      <c r="A681" s="3" t="s">
        <v>299</v>
      </c>
      <c r="B681" s="4" t="s">
        <v>538</v>
      </c>
      <c r="C681" s="4" t="s">
        <v>50</v>
      </c>
      <c r="D681" s="4" t="s">
        <v>48</v>
      </c>
      <c r="E681" s="4" t="s">
        <v>300</v>
      </c>
      <c r="F681" s="4"/>
      <c r="G681" s="29">
        <f>G682</f>
        <v>857742.29</v>
      </c>
      <c r="H681" s="33"/>
      <c r="J681" s="26"/>
    </row>
    <row r="682" spans="1:10" ht="31.5">
      <c r="A682" s="3" t="s">
        <v>523</v>
      </c>
      <c r="B682" s="4" t="s">
        <v>538</v>
      </c>
      <c r="C682" s="4" t="s">
        <v>50</v>
      </c>
      <c r="D682" s="4" t="s">
        <v>48</v>
      </c>
      <c r="E682" s="4" t="s">
        <v>301</v>
      </c>
      <c r="F682" s="4"/>
      <c r="G682" s="29">
        <f>G683</f>
        <v>857742.29</v>
      </c>
      <c r="H682" s="33"/>
      <c r="J682" s="26"/>
    </row>
    <row r="683" spans="1:10" ht="47.25">
      <c r="A683" s="3" t="s">
        <v>701</v>
      </c>
      <c r="B683" s="4" t="s">
        <v>538</v>
      </c>
      <c r="C683" s="4" t="s">
        <v>50</v>
      </c>
      <c r="D683" s="4" t="s">
        <v>48</v>
      </c>
      <c r="E683" s="4" t="s">
        <v>301</v>
      </c>
      <c r="F683" s="4" t="s">
        <v>605</v>
      </c>
      <c r="G683" s="29">
        <v>857742.29</v>
      </c>
      <c r="H683" s="33"/>
      <c r="J683" s="26"/>
    </row>
    <row r="684" spans="1:10" ht="47.25">
      <c r="A684" s="3" t="s">
        <v>307</v>
      </c>
      <c r="B684" s="4" t="s">
        <v>538</v>
      </c>
      <c r="C684" s="4" t="s">
        <v>50</v>
      </c>
      <c r="D684" s="4" t="s">
        <v>48</v>
      </c>
      <c r="E684" s="4" t="s">
        <v>308</v>
      </c>
      <c r="F684" s="4"/>
      <c r="G684" s="29">
        <f>G685</f>
        <v>5362308</v>
      </c>
      <c r="H684" s="33"/>
      <c r="J684" s="26"/>
    </row>
    <row r="685" spans="1:10" ht="31.5">
      <c r="A685" s="3" t="s">
        <v>523</v>
      </c>
      <c r="B685" s="4" t="s">
        <v>538</v>
      </c>
      <c r="C685" s="4" t="s">
        <v>50</v>
      </c>
      <c r="D685" s="4" t="s">
        <v>48</v>
      </c>
      <c r="E685" s="4" t="s">
        <v>309</v>
      </c>
      <c r="F685" s="4"/>
      <c r="G685" s="29">
        <f>G686</f>
        <v>5362308</v>
      </c>
      <c r="H685" s="33"/>
      <c r="J685" s="26"/>
    </row>
    <row r="686" spans="1:10" ht="63">
      <c r="A686" s="3" t="s">
        <v>525</v>
      </c>
      <c r="B686" s="4" t="s">
        <v>538</v>
      </c>
      <c r="C686" s="4" t="s">
        <v>50</v>
      </c>
      <c r="D686" s="4" t="s">
        <v>48</v>
      </c>
      <c r="E686" s="4" t="s">
        <v>309</v>
      </c>
      <c r="F686" s="4" t="s">
        <v>609</v>
      </c>
      <c r="G686" s="29">
        <v>5362308</v>
      </c>
      <c r="H686" s="33"/>
      <c r="J686" s="26"/>
    </row>
    <row r="687" spans="1:10" ht="18.75">
      <c r="A687" s="203" t="s">
        <v>51</v>
      </c>
      <c r="B687" s="2" t="s">
        <v>538</v>
      </c>
      <c r="C687" s="2" t="s">
        <v>43</v>
      </c>
      <c r="D687" s="2"/>
      <c r="E687" s="2"/>
      <c r="F687" s="4"/>
      <c r="G687" s="33">
        <f>G688+G717+G754+G765</f>
        <v>1229859410.7699997</v>
      </c>
      <c r="H687" s="33">
        <f>H688+H717+H754+H765</f>
        <v>654987528</v>
      </c>
      <c r="J687" s="26"/>
    </row>
    <row r="688" spans="1:10" ht="15.75">
      <c r="A688" s="1" t="s">
        <v>52</v>
      </c>
      <c r="B688" s="2" t="s">
        <v>538</v>
      </c>
      <c r="C688" s="2" t="s">
        <v>43</v>
      </c>
      <c r="D688" s="2" t="s">
        <v>917</v>
      </c>
      <c r="E688" s="2"/>
      <c r="F688" s="4"/>
      <c r="G688" s="33">
        <f>G689</f>
        <v>510088381.17999995</v>
      </c>
      <c r="H688" s="33">
        <f>H689</f>
        <v>308016369</v>
      </c>
      <c r="J688" s="26"/>
    </row>
    <row r="689" spans="1:10" ht="47.25">
      <c r="A689" s="3" t="s">
        <v>102</v>
      </c>
      <c r="B689" s="4" t="s">
        <v>538</v>
      </c>
      <c r="C689" s="4" t="s">
        <v>43</v>
      </c>
      <c r="D689" s="4" t="s">
        <v>917</v>
      </c>
      <c r="E689" s="4" t="s">
        <v>552</v>
      </c>
      <c r="F689" s="4"/>
      <c r="G689" s="29">
        <f>G690+G710</f>
        <v>510088381.17999995</v>
      </c>
      <c r="H689" s="29">
        <f>H690+H710</f>
        <v>308016369</v>
      </c>
      <c r="J689" s="26"/>
    </row>
    <row r="690" spans="1:10" ht="47.25">
      <c r="A690" s="3" t="s">
        <v>530</v>
      </c>
      <c r="B690" s="4" t="s">
        <v>538</v>
      </c>
      <c r="C690" s="4" t="s">
        <v>43</v>
      </c>
      <c r="D690" s="4" t="s">
        <v>917</v>
      </c>
      <c r="E690" s="4" t="s">
        <v>340</v>
      </c>
      <c r="F690" s="4"/>
      <c r="G690" s="29">
        <f>G691+G702+G707</f>
        <v>502730568.29999995</v>
      </c>
      <c r="H690" s="29">
        <f>H691+H702+H707</f>
        <v>308016369</v>
      </c>
      <c r="J690" s="26"/>
    </row>
    <row r="691" spans="1:10" ht="110.25">
      <c r="A691" s="3" t="s">
        <v>341</v>
      </c>
      <c r="B691" s="4" t="s">
        <v>538</v>
      </c>
      <c r="C691" s="4" t="s">
        <v>43</v>
      </c>
      <c r="D691" s="4" t="s">
        <v>917</v>
      </c>
      <c r="E691" s="4" t="s">
        <v>342</v>
      </c>
      <c r="F691" s="4"/>
      <c r="G691" s="29">
        <f>G692+G694+G696+G698+G700</f>
        <v>308129226.13</v>
      </c>
      <c r="H691" s="29">
        <f>H692+H694+H696+H698+H700</f>
        <v>308016369</v>
      </c>
      <c r="J691" s="26"/>
    </row>
    <row r="692" spans="1:10" ht="110.25">
      <c r="A692" s="3" t="s">
        <v>343</v>
      </c>
      <c r="B692" s="4" t="s">
        <v>538</v>
      </c>
      <c r="C692" s="4" t="s">
        <v>43</v>
      </c>
      <c r="D692" s="4" t="s">
        <v>917</v>
      </c>
      <c r="E692" s="4" t="s">
        <v>344</v>
      </c>
      <c r="F692" s="4"/>
      <c r="G692" s="29">
        <f>G693</f>
        <v>306311700</v>
      </c>
      <c r="H692" s="29">
        <f>H693</f>
        <v>306311700</v>
      </c>
      <c r="J692" s="26"/>
    </row>
    <row r="693" spans="1:10" ht="63">
      <c r="A693" s="3" t="s">
        <v>525</v>
      </c>
      <c r="B693" s="4" t="s">
        <v>538</v>
      </c>
      <c r="C693" s="4" t="s">
        <v>43</v>
      </c>
      <c r="D693" s="4" t="s">
        <v>917</v>
      </c>
      <c r="E693" s="4" t="s">
        <v>344</v>
      </c>
      <c r="F693" s="4" t="s">
        <v>609</v>
      </c>
      <c r="G693" s="29">
        <v>306311700</v>
      </c>
      <c r="H693" s="29">
        <f>G693</f>
        <v>306311700</v>
      </c>
      <c r="J693" s="26"/>
    </row>
    <row r="694" spans="1:10" ht="126">
      <c r="A694" s="3" t="s">
        <v>859</v>
      </c>
      <c r="B694" s="4" t="s">
        <v>538</v>
      </c>
      <c r="C694" s="4" t="s">
        <v>43</v>
      </c>
      <c r="D694" s="4" t="s">
        <v>917</v>
      </c>
      <c r="E694" s="4" t="s">
        <v>345</v>
      </c>
      <c r="F694" s="4"/>
      <c r="G694" s="29">
        <f>G695</f>
        <v>1150930</v>
      </c>
      <c r="H694" s="29">
        <f>H695</f>
        <v>1150930</v>
      </c>
      <c r="J694" s="26"/>
    </row>
    <row r="695" spans="1:10" ht="63">
      <c r="A695" s="3" t="s">
        <v>525</v>
      </c>
      <c r="B695" s="4" t="s">
        <v>538</v>
      </c>
      <c r="C695" s="4" t="s">
        <v>43</v>
      </c>
      <c r="D695" s="4" t="s">
        <v>917</v>
      </c>
      <c r="E695" s="4" t="s">
        <v>345</v>
      </c>
      <c r="F695" s="4" t="s">
        <v>609</v>
      </c>
      <c r="G695" s="29">
        <v>1150930</v>
      </c>
      <c r="H695" s="29">
        <f>G695</f>
        <v>1150930</v>
      </c>
      <c r="J695" s="26"/>
    </row>
    <row r="696" spans="1:10" ht="126">
      <c r="A696" s="3" t="s">
        <v>859</v>
      </c>
      <c r="B696" s="4" t="s">
        <v>538</v>
      </c>
      <c r="C696" s="4" t="s">
        <v>43</v>
      </c>
      <c r="D696" s="4" t="s">
        <v>917</v>
      </c>
      <c r="E696" s="4" t="s">
        <v>346</v>
      </c>
      <c r="F696" s="4"/>
      <c r="G696" s="29">
        <f>G697</f>
        <v>82156</v>
      </c>
      <c r="H696" s="29"/>
      <c r="J696" s="26"/>
    </row>
    <row r="697" spans="1:10" ht="63">
      <c r="A697" s="3" t="s">
        <v>525</v>
      </c>
      <c r="B697" s="4" t="s">
        <v>538</v>
      </c>
      <c r="C697" s="4" t="s">
        <v>43</v>
      </c>
      <c r="D697" s="4" t="s">
        <v>917</v>
      </c>
      <c r="E697" s="4" t="s">
        <v>346</v>
      </c>
      <c r="F697" s="4" t="s">
        <v>609</v>
      </c>
      <c r="G697" s="29">
        <v>82156</v>
      </c>
      <c r="H697" s="29"/>
      <c r="J697" s="26"/>
    </row>
    <row r="698" spans="1:10" ht="126">
      <c r="A698" s="3" t="s">
        <v>347</v>
      </c>
      <c r="B698" s="4" t="s">
        <v>538</v>
      </c>
      <c r="C698" s="4" t="s">
        <v>43</v>
      </c>
      <c r="D698" s="4" t="s">
        <v>917</v>
      </c>
      <c r="E698" s="4" t="s">
        <v>348</v>
      </c>
      <c r="F698" s="4"/>
      <c r="G698" s="29">
        <f>G699</f>
        <v>553739</v>
      </c>
      <c r="H698" s="29">
        <f>H699</f>
        <v>553739</v>
      </c>
      <c r="J698" s="26"/>
    </row>
    <row r="699" spans="1:10" ht="63">
      <c r="A699" s="3" t="s">
        <v>525</v>
      </c>
      <c r="B699" s="4" t="s">
        <v>538</v>
      </c>
      <c r="C699" s="4" t="s">
        <v>43</v>
      </c>
      <c r="D699" s="4" t="s">
        <v>917</v>
      </c>
      <c r="E699" s="4" t="s">
        <v>348</v>
      </c>
      <c r="F699" s="4" t="s">
        <v>609</v>
      </c>
      <c r="G699" s="29">
        <v>553739</v>
      </c>
      <c r="H699" s="29">
        <f>G699</f>
        <v>553739</v>
      </c>
      <c r="J699" s="26"/>
    </row>
    <row r="700" spans="1:10" ht="126">
      <c r="A700" s="3" t="s">
        <v>347</v>
      </c>
      <c r="B700" s="4" t="s">
        <v>538</v>
      </c>
      <c r="C700" s="4" t="s">
        <v>43</v>
      </c>
      <c r="D700" s="4" t="s">
        <v>917</v>
      </c>
      <c r="E700" s="4" t="s">
        <v>349</v>
      </c>
      <c r="F700" s="4"/>
      <c r="G700" s="29">
        <f>G701</f>
        <v>30701.13</v>
      </c>
      <c r="H700" s="29"/>
      <c r="J700" s="26"/>
    </row>
    <row r="701" spans="1:10" ht="63">
      <c r="A701" s="3" t="s">
        <v>525</v>
      </c>
      <c r="B701" s="4" t="s">
        <v>538</v>
      </c>
      <c r="C701" s="4" t="s">
        <v>43</v>
      </c>
      <c r="D701" s="4" t="s">
        <v>917</v>
      </c>
      <c r="E701" s="4" t="s">
        <v>349</v>
      </c>
      <c r="F701" s="4" t="s">
        <v>609</v>
      </c>
      <c r="G701" s="29">
        <v>30701.13</v>
      </c>
      <c r="H701" s="29"/>
      <c r="J701" s="26"/>
    </row>
    <row r="702" spans="1:10" ht="78.75">
      <c r="A702" s="3" t="s">
        <v>350</v>
      </c>
      <c r="B702" s="4" t="s">
        <v>538</v>
      </c>
      <c r="C702" s="4" t="s">
        <v>43</v>
      </c>
      <c r="D702" s="4" t="s">
        <v>917</v>
      </c>
      <c r="E702" s="4" t="s">
        <v>351</v>
      </c>
      <c r="F702" s="4"/>
      <c r="G702" s="29">
        <f>G703+G705</f>
        <v>187412174.53</v>
      </c>
      <c r="H702" s="29"/>
      <c r="J702" s="26"/>
    </row>
    <row r="703" spans="1:10" ht="94.5">
      <c r="A703" s="3" t="s">
        <v>749</v>
      </c>
      <c r="B703" s="4" t="s">
        <v>538</v>
      </c>
      <c r="C703" s="4" t="s">
        <v>43</v>
      </c>
      <c r="D703" s="4" t="s">
        <v>917</v>
      </c>
      <c r="E703" s="4" t="s">
        <v>352</v>
      </c>
      <c r="F703" s="4"/>
      <c r="G703" s="29">
        <f>G704</f>
        <v>181419742.53</v>
      </c>
      <c r="H703" s="29"/>
      <c r="J703" s="26"/>
    </row>
    <row r="704" spans="1:10" ht="63">
      <c r="A704" s="3" t="s">
        <v>525</v>
      </c>
      <c r="B704" s="4" t="s">
        <v>538</v>
      </c>
      <c r="C704" s="4" t="s">
        <v>43</v>
      </c>
      <c r="D704" s="4" t="s">
        <v>917</v>
      </c>
      <c r="E704" s="4" t="s">
        <v>352</v>
      </c>
      <c r="F704" s="4" t="s">
        <v>609</v>
      </c>
      <c r="G704" s="29">
        <f>181173162.67+7689590-650000-493000-6300010.14</f>
        <v>181419742.53</v>
      </c>
      <c r="H704" s="29"/>
      <c r="J704" s="26"/>
    </row>
    <row r="705" spans="1:10" ht="31.5">
      <c r="A705" s="3" t="s">
        <v>523</v>
      </c>
      <c r="B705" s="4" t="s">
        <v>538</v>
      </c>
      <c r="C705" s="4" t="s">
        <v>43</v>
      </c>
      <c r="D705" s="4" t="s">
        <v>917</v>
      </c>
      <c r="E705" s="4" t="s">
        <v>1098</v>
      </c>
      <c r="F705" s="4"/>
      <c r="G705" s="29">
        <f>G706</f>
        <v>5992432</v>
      </c>
      <c r="H705" s="29"/>
      <c r="J705" s="26"/>
    </row>
    <row r="706" spans="1:10" ht="63">
      <c r="A706" s="3" t="s">
        <v>525</v>
      </c>
      <c r="B706" s="4" t="s">
        <v>538</v>
      </c>
      <c r="C706" s="4" t="s">
        <v>43</v>
      </c>
      <c r="D706" s="4" t="s">
        <v>917</v>
      </c>
      <c r="E706" s="4" t="s">
        <v>1098</v>
      </c>
      <c r="F706" s="4" t="s">
        <v>609</v>
      </c>
      <c r="G706" s="29">
        <f>5992432</f>
        <v>5992432</v>
      </c>
      <c r="H706" s="29"/>
      <c r="J706" s="26"/>
    </row>
    <row r="707" spans="1:13" s="16" customFormat="1" ht="31.5">
      <c r="A707" s="3" t="s">
        <v>356</v>
      </c>
      <c r="B707" s="4" t="s">
        <v>538</v>
      </c>
      <c r="C707" s="4" t="s">
        <v>43</v>
      </c>
      <c r="D707" s="4" t="s">
        <v>917</v>
      </c>
      <c r="E707" s="4" t="s">
        <v>357</v>
      </c>
      <c r="F707" s="4"/>
      <c r="G707" s="29">
        <f>G709</f>
        <v>7189167.64</v>
      </c>
      <c r="H707" s="29"/>
      <c r="I707" s="48"/>
      <c r="J707" s="48"/>
      <c r="M707" s="159"/>
    </row>
    <row r="708" spans="1:13" s="16" customFormat="1" ht="94.5">
      <c r="A708" s="3" t="s">
        <v>749</v>
      </c>
      <c r="B708" s="4" t="s">
        <v>538</v>
      </c>
      <c r="C708" s="4" t="s">
        <v>43</v>
      </c>
      <c r="D708" s="4" t="s">
        <v>917</v>
      </c>
      <c r="E708" s="4" t="s">
        <v>358</v>
      </c>
      <c r="F708" s="4"/>
      <c r="G708" s="29">
        <f>G709</f>
        <v>7189167.64</v>
      </c>
      <c r="H708" s="29"/>
      <c r="I708" s="48"/>
      <c r="J708" s="48"/>
      <c r="M708" s="159"/>
    </row>
    <row r="709" spans="1:10" ht="63">
      <c r="A709" s="3" t="s">
        <v>525</v>
      </c>
      <c r="B709" s="4" t="s">
        <v>538</v>
      </c>
      <c r="C709" s="4" t="s">
        <v>43</v>
      </c>
      <c r="D709" s="4" t="s">
        <v>917</v>
      </c>
      <c r="E709" s="4" t="s">
        <v>358</v>
      </c>
      <c r="F709" s="4" t="s">
        <v>609</v>
      </c>
      <c r="G709" s="29">
        <f>6503695+685472.64</f>
        <v>7189167.64</v>
      </c>
      <c r="H709" s="29"/>
      <c r="J709" s="26"/>
    </row>
    <row r="710" spans="1:10" ht="63">
      <c r="A710" s="3" t="s">
        <v>4</v>
      </c>
      <c r="B710" s="4" t="s">
        <v>538</v>
      </c>
      <c r="C710" s="4" t="s">
        <v>43</v>
      </c>
      <c r="D710" s="4" t="s">
        <v>917</v>
      </c>
      <c r="E710" s="4" t="s">
        <v>553</v>
      </c>
      <c r="F710" s="4"/>
      <c r="G710" s="29">
        <f>G711+G714</f>
        <v>7357812.88</v>
      </c>
      <c r="H710" s="29"/>
      <c r="J710" s="26"/>
    </row>
    <row r="711" spans="1:10" ht="31.5">
      <c r="A711" s="3" t="s">
        <v>922</v>
      </c>
      <c r="B711" s="4" t="s">
        <v>538</v>
      </c>
      <c r="C711" s="4" t="s">
        <v>43</v>
      </c>
      <c r="D711" s="4" t="s">
        <v>917</v>
      </c>
      <c r="E711" s="4" t="s">
        <v>923</v>
      </c>
      <c r="F711" s="4"/>
      <c r="G711" s="29">
        <f>G712</f>
        <v>6300010.14</v>
      </c>
      <c r="H711" s="29"/>
      <c r="J711" s="26"/>
    </row>
    <row r="712" spans="1:10" ht="31.5">
      <c r="A712" s="3" t="s">
        <v>523</v>
      </c>
      <c r="B712" s="4" t="s">
        <v>538</v>
      </c>
      <c r="C712" s="4" t="s">
        <v>43</v>
      </c>
      <c r="D712" s="4" t="s">
        <v>917</v>
      </c>
      <c r="E712" s="4" t="s">
        <v>1079</v>
      </c>
      <c r="F712" s="4"/>
      <c r="G712" s="29">
        <f>G713</f>
        <v>6300010.14</v>
      </c>
      <c r="H712" s="29"/>
      <c r="J712" s="26"/>
    </row>
    <row r="713" spans="1:10" ht="47.25">
      <c r="A713" s="3" t="s">
        <v>701</v>
      </c>
      <c r="B713" s="4" t="s">
        <v>538</v>
      </c>
      <c r="C713" s="4" t="s">
        <v>43</v>
      </c>
      <c r="D713" s="4" t="s">
        <v>917</v>
      </c>
      <c r="E713" s="4" t="s">
        <v>1079</v>
      </c>
      <c r="F713" s="4" t="s">
        <v>605</v>
      </c>
      <c r="G713" s="29">
        <f>6300010.14</f>
        <v>6300010.14</v>
      </c>
      <c r="H713" s="29"/>
      <c r="J713" s="26"/>
    </row>
    <row r="714" spans="1:10" ht="63">
      <c r="A714" s="3" t="s">
        <v>557</v>
      </c>
      <c r="B714" s="4" t="s">
        <v>538</v>
      </c>
      <c r="C714" s="4" t="s">
        <v>43</v>
      </c>
      <c r="D714" s="4" t="s">
        <v>917</v>
      </c>
      <c r="E714" s="4" t="s">
        <v>558</v>
      </c>
      <c r="F714" s="4"/>
      <c r="G714" s="29">
        <f>G715</f>
        <v>1057802.74</v>
      </c>
      <c r="H714" s="29"/>
      <c r="J714" s="26"/>
    </row>
    <row r="715" spans="1:10" ht="31.5">
      <c r="A715" s="3" t="s">
        <v>523</v>
      </c>
      <c r="B715" s="4" t="s">
        <v>538</v>
      </c>
      <c r="C715" s="4" t="s">
        <v>43</v>
      </c>
      <c r="D715" s="4" t="s">
        <v>917</v>
      </c>
      <c r="E715" s="4" t="s">
        <v>1116</v>
      </c>
      <c r="F715" s="4"/>
      <c r="G715" s="29">
        <f>G716</f>
        <v>1057802.74</v>
      </c>
      <c r="H715" s="29"/>
      <c r="J715" s="26"/>
    </row>
    <row r="716" spans="1:10" ht="63">
      <c r="A716" s="3" t="s">
        <v>525</v>
      </c>
      <c r="B716" s="4" t="s">
        <v>538</v>
      </c>
      <c r="C716" s="4" t="s">
        <v>43</v>
      </c>
      <c r="D716" s="4" t="s">
        <v>917</v>
      </c>
      <c r="E716" s="4" t="s">
        <v>1116</v>
      </c>
      <c r="F716" s="4" t="s">
        <v>609</v>
      </c>
      <c r="G716" s="29">
        <f>816445.54+241357.2</f>
        <v>1057802.74</v>
      </c>
      <c r="H716" s="29"/>
      <c r="J716" s="26"/>
    </row>
    <row r="717" spans="1:10" ht="15.75">
      <c r="A717" s="1" t="s">
        <v>53</v>
      </c>
      <c r="B717" s="2" t="s">
        <v>538</v>
      </c>
      <c r="C717" s="2" t="s">
        <v>43</v>
      </c>
      <c r="D717" s="2" t="s">
        <v>45</v>
      </c>
      <c r="E717" s="4"/>
      <c r="F717" s="4"/>
      <c r="G717" s="33">
        <f>G718</f>
        <v>640061924.66</v>
      </c>
      <c r="H717" s="33">
        <f>H718</f>
        <v>329312659</v>
      </c>
      <c r="J717" s="26"/>
    </row>
    <row r="718" spans="1:10" ht="47.25">
      <c r="A718" s="3" t="s">
        <v>102</v>
      </c>
      <c r="B718" s="4" t="s">
        <v>538</v>
      </c>
      <c r="C718" s="4" t="s">
        <v>43</v>
      </c>
      <c r="D718" s="4" t="s">
        <v>45</v>
      </c>
      <c r="E718" s="4" t="s">
        <v>552</v>
      </c>
      <c r="F718" s="4"/>
      <c r="G718" s="29">
        <f>G719</f>
        <v>640061924.66</v>
      </c>
      <c r="H718" s="29">
        <f>H719</f>
        <v>329312659</v>
      </c>
      <c r="J718" s="26"/>
    </row>
    <row r="719" spans="1:10" ht="63">
      <c r="A719" s="3" t="s">
        <v>529</v>
      </c>
      <c r="B719" s="4" t="s">
        <v>538</v>
      </c>
      <c r="C719" s="4" t="s">
        <v>43</v>
      </c>
      <c r="D719" s="4" t="s">
        <v>45</v>
      </c>
      <c r="E719" s="4" t="s">
        <v>498</v>
      </c>
      <c r="F719" s="4"/>
      <c r="G719" s="29">
        <f>G720+G727+G734+G737+G741+G744+G751</f>
        <v>640061924.66</v>
      </c>
      <c r="H719" s="29">
        <f>H720+H727+H734+H737+H741+H744+H751</f>
        <v>329312659</v>
      </c>
      <c r="J719" s="26"/>
    </row>
    <row r="720" spans="1:10" ht="78.75">
      <c r="A720" s="3" t="s">
        <v>499</v>
      </c>
      <c r="B720" s="4" t="s">
        <v>538</v>
      </c>
      <c r="C720" s="4" t="s">
        <v>43</v>
      </c>
      <c r="D720" s="4" t="s">
        <v>45</v>
      </c>
      <c r="E720" s="4" t="s">
        <v>500</v>
      </c>
      <c r="F720" s="4"/>
      <c r="G720" s="29">
        <f>G721+G723+G725</f>
        <v>131200291.36</v>
      </c>
      <c r="H720" s="29">
        <f>H721+H723+H725</f>
        <v>131187006</v>
      </c>
      <c r="J720" s="26"/>
    </row>
    <row r="721" spans="1:8" ht="126">
      <c r="A721" s="3" t="s">
        <v>347</v>
      </c>
      <c r="B721" s="4" t="s">
        <v>538</v>
      </c>
      <c r="C721" s="4" t="s">
        <v>43</v>
      </c>
      <c r="D721" s="4" t="s">
        <v>45</v>
      </c>
      <c r="E721" s="4" t="s">
        <v>928</v>
      </c>
      <c r="F721" s="4"/>
      <c r="G721" s="29">
        <f>G722</f>
        <v>239756</v>
      </c>
      <c r="H721" s="29">
        <f>H722</f>
        <v>239756</v>
      </c>
    </row>
    <row r="722" spans="1:8" ht="63">
      <c r="A722" s="3" t="s">
        <v>525</v>
      </c>
      <c r="B722" s="4" t="s">
        <v>538</v>
      </c>
      <c r="C722" s="4" t="s">
        <v>43</v>
      </c>
      <c r="D722" s="4" t="s">
        <v>45</v>
      </c>
      <c r="E722" s="4" t="s">
        <v>928</v>
      </c>
      <c r="F722" s="4" t="s">
        <v>609</v>
      </c>
      <c r="G722" s="29">
        <v>239756</v>
      </c>
      <c r="H722" s="29">
        <f>G722</f>
        <v>239756</v>
      </c>
    </row>
    <row r="723" spans="1:8" ht="126">
      <c r="A723" s="3" t="s">
        <v>347</v>
      </c>
      <c r="B723" s="4" t="s">
        <v>538</v>
      </c>
      <c r="C723" s="4" t="s">
        <v>43</v>
      </c>
      <c r="D723" s="4" t="s">
        <v>45</v>
      </c>
      <c r="E723" s="4" t="s">
        <v>929</v>
      </c>
      <c r="F723" s="4"/>
      <c r="G723" s="29">
        <f>G724</f>
        <v>13285.36</v>
      </c>
      <c r="H723" s="29"/>
    </row>
    <row r="724" spans="1:8" ht="63">
      <c r="A724" s="3" t="s">
        <v>525</v>
      </c>
      <c r="B724" s="4" t="s">
        <v>538</v>
      </c>
      <c r="C724" s="4" t="s">
        <v>43</v>
      </c>
      <c r="D724" s="4" t="s">
        <v>45</v>
      </c>
      <c r="E724" s="4" t="s">
        <v>929</v>
      </c>
      <c r="F724" s="4" t="s">
        <v>609</v>
      </c>
      <c r="G724" s="29">
        <v>13285.36</v>
      </c>
      <c r="H724" s="29"/>
    </row>
    <row r="725" spans="1:8" ht="94.5">
      <c r="A725" s="3" t="s">
        <v>501</v>
      </c>
      <c r="B725" s="4" t="s">
        <v>538</v>
      </c>
      <c r="C725" s="4" t="s">
        <v>43</v>
      </c>
      <c r="D725" s="4" t="s">
        <v>45</v>
      </c>
      <c r="E725" s="4" t="s">
        <v>502</v>
      </c>
      <c r="F725" s="4"/>
      <c r="G725" s="29">
        <f>G726</f>
        <v>130947250</v>
      </c>
      <c r="H725" s="29">
        <f>H726</f>
        <v>130947250</v>
      </c>
    </row>
    <row r="726" spans="1:8" ht="63">
      <c r="A726" s="3" t="s">
        <v>525</v>
      </c>
      <c r="B726" s="4" t="s">
        <v>538</v>
      </c>
      <c r="C726" s="4" t="s">
        <v>43</v>
      </c>
      <c r="D726" s="4" t="s">
        <v>45</v>
      </c>
      <c r="E726" s="4" t="s">
        <v>502</v>
      </c>
      <c r="F726" s="4" t="s">
        <v>609</v>
      </c>
      <c r="G726" s="29">
        <v>130947250</v>
      </c>
      <c r="H726" s="29">
        <f>G726</f>
        <v>130947250</v>
      </c>
    </row>
    <row r="727" spans="1:8" ht="78.75">
      <c r="A727" s="3" t="s">
        <v>503</v>
      </c>
      <c r="B727" s="4" t="s">
        <v>538</v>
      </c>
      <c r="C727" s="4" t="s">
        <v>43</v>
      </c>
      <c r="D727" s="4" t="s">
        <v>45</v>
      </c>
      <c r="E727" s="4" t="s">
        <v>504</v>
      </c>
      <c r="F727" s="4"/>
      <c r="G727" s="29">
        <f>G728+G730+G732</f>
        <v>164744560.15</v>
      </c>
      <c r="H727" s="29">
        <f>H728+H730+H732</f>
        <v>164733203</v>
      </c>
    </row>
    <row r="728" spans="1:8" ht="126">
      <c r="A728" s="3" t="s">
        <v>347</v>
      </c>
      <c r="B728" s="4" t="s">
        <v>538</v>
      </c>
      <c r="C728" s="4" t="s">
        <v>43</v>
      </c>
      <c r="D728" s="4" t="s">
        <v>45</v>
      </c>
      <c r="E728" s="4" t="s">
        <v>930</v>
      </c>
      <c r="F728" s="4"/>
      <c r="G728" s="29">
        <f>G729</f>
        <v>204953</v>
      </c>
      <c r="H728" s="29">
        <f>H729</f>
        <v>204953</v>
      </c>
    </row>
    <row r="729" spans="1:8" ht="63">
      <c r="A729" s="3" t="s">
        <v>525</v>
      </c>
      <c r="B729" s="4" t="s">
        <v>538</v>
      </c>
      <c r="C729" s="4" t="s">
        <v>43</v>
      </c>
      <c r="D729" s="4" t="s">
        <v>45</v>
      </c>
      <c r="E729" s="4" t="s">
        <v>930</v>
      </c>
      <c r="F729" s="4" t="s">
        <v>609</v>
      </c>
      <c r="G729" s="29">
        <v>204953</v>
      </c>
      <c r="H729" s="29">
        <f>G729</f>
        <v>204953</v>
      </c>
    </row>
    <row r="730" spans="1:8" ht="126">
      <c r="A730" s="3" t="s">
        <v>347</v>
      </c>
      <c r="B730" s="4" t="s">
        <v>538</v>
      </c>
      <c r="C730" s="4" t="s">
        <v>43</v>
      </c>
      <c r="D730" s="4" t="s">
        <v>45</v>
      </c>
      <c r="E730" s="4" t="s">
        <v>931</v>
      </c>
      <c r="F730" s="4"/>
      <c r="G730" s="29">
        <f>G731</f>
        <v>11357.15</v>
      </c>
      <c r="H730" s="29"/>
    </row>
    <row r="731" spans="1:8" ht="63">
      <c r="A731" s="3" t="s">
        <v>525</v>
      </c>
      <c r="B731" s="4" t="s">
        <v>538</v>
      </c>
      <c r="C731" s="4" t="s">
        <v>43</v>
      </c>
      <c r="D731" s="4" t="s">
        <v>45</v>
      </c>
      <c r="E731" s="4" t="s">
        <v>931</v>
      </c>
      <c r="F731" s="4" t="s">
        <v>609</v>
      </c>
      <c r="G731" s="29">
        <v>11357.15</v>
      </c>
      <c r="H731" s="29"/>
    </row>
    <row r="732" spans="1:8" ht="94.5">
      <c r="A732" s="3" t="s">
        <v>501</v>
      </c>
      <c r="B732" s="4" t="s">
        <v>538</v>
      </c>
      <c r="C732" s="4" t="s">
        <v>43</v>
      </c>
      <c r="D732" s="4" t="s">
        <v>45</v>
      </c>
      <c r="E732" s="4" t="s">
        <v>505</v>
      </c>
      <c r="F732" s="4"/>
      <c r="G732" s="29">
        <f>G733</f>
        <v>164528250</v>
      </c>
      <c r="H732" s="29">
        <f>H733</f>
        <v>164528250</v>
      </c>
    </row>
    <row r="733" spans="1:8" ht="63">
      <c r="A733" s="3" t="s">
        <v>525</v>
      </c>
      <c r="B733" s="4" t="s">
        <v>538</v>
      </c>
      <c r="C733" s="4" t="s">
        <v>43</v>
      </c>
      <c r="D733" s="4" t="s">
        <v>45</v>
      </c>
      <c r="E733" s="4" t="s">
        <v>505</v>
      </c>
      <c r="F733" s="4" t="s">
        <v>609</v>
      </c>
      <c r="G733" s="29">
        <v>164528250</v>
      </c>
      <c r="H733" s="29">
        <f>G733</f>
        <v>164528250</v>
      </c>
    </row>
    <row r="734" spans="1:8" ht="78.75">
      <c r="A734" s="3" t="s">
        <v>256</v>
      </c>
      <c r="B734" s="4" t="s">
        <v>538</v>
      </c>
      <c r="C734" s="4" t="s">
        <v>43</v>
      </c>
      <c r="D734" s="4" t="s">
        <v>45</v>
      </c>
      <c r="E734" s="4" t="s">
        <v>257</v>
      </c>
      <c r="F734" s="4"/>
      <c r="G734" s="29">
        <f>G735</f>
        <v>30434100</v>
      </c>
      <c r="H734" s="29">
        <f>H735</f>
        <v>30434100</v>
      </c>
    </row>
    <row r="735" spans="1:8" ht="94.5">
      <c r="A735" s="3" t="s">
        <v>501</v>
      </c>
      <c r="B735" s="4" t="s">
        <v>538</v>
      </c>
      <c r="C735" s="4" t="s">
        <v>43</v>
      </c>
      <c r="D735" s="4" t="s">
        <v>45</v>
      </c>
      <c r="E735" s="4" t="s">
        <v>258</v>
      </c>
      <c r="F735" s="4"/>
      <c r="G735" s="29">
        <f>G736</f>
        <v>30434100</v>
      </c>
      <c r="H735" s="29">
        <f>H736</f>
        <v>30434100</v>
      </c>
    </row>
    <row r="736" spans="1:8" ht="63">
      <c r="A736" s="3" t="s">
        <v>525</v>
      </c>
      <c r="B736" s="4" t="s">
        <v>538</v>
      </c>
      <c r="C736" s="4" t="s">
        <v>43</v>
      </c>
      <c r="D736" s="4" t="s">
        <v>45</v>
      </c>
      <c r="E736" s="4" t="s">
        <v>258</v>
      </c>
      <c r="F736" s="4" t="s">
        <v>609</v>
      </c>
      <c r="G736" s="29">
        <v>30434100</v>
      </c>
      <c r="H736" s="29">
        <f>G736</f>
        <v>30434100</v>
      </c>
    </row>
    <row r="737" spans="1:8" ht="141.75">
      <c r="A737" s="204" t="s">
        <v>65</v>
      </c>
      <c r="B737" s="281" t="s">
        <v>538</v>
      </c>
      <c r="C737" s="281" t="s">
        <v>43</v>
      </c>
      <c r="D737" s="281" t="s">
        <v>45</v>
      </c>
      <c r="E737" s="281" t="s">
        <v>259</v>
      </c>
      <c r="F737" s="281"/>
      <c r="G737" s="280">
        <f>G739</f>
        <v>100923704.24</v>
      </c>
      <c r="H737" s="286"/>
    </row>
    <row r="738" spans="1:8" ht="63">
      <c r="A738" s="3" t="s">
        <v>66</v>
      </c>
      <c r="B738" s="281"/>
      <c r="C738" s="281"/>
      <c r="D738" s="281"/>
      <c r="E738" s="281"/>
      <c r="F738" s="281"/>
      <c r="G738" s="280"/>
      <c r="H738" s="286"/>
    </row>
    <row r="739" spans="1:8" ht="94.5">
      <c r="A739" s="3" t="s">
        <v>749</v>
      </c>
      <c r="B739" s="4" t="s">
        <v>538</v>
      </c>
      <c r="C739" s="4" t="s">
        <v>43</v>
      </c>
      <c r="D739" s="4" t="s">
        <v>45</v>
      </c>
      <c r="E739" s="4" t="s">
        <v>260</v>
      </c>
      <c r="F739" s="4"/>
      <c r="G739" s="29">
        <f>G740</f>
        <v>100923704.24</v>
      </c>
      <c r="H739" s="29"/>
    </row>
    <row r="740" spans="1:8" ht="63">
      <c r="A740" s="3" t="s">
        <v>525</v>
      </c>
      <c r="B740" s="4" t="s">
        <v>538</v>
      </c>
      <c r="C740" s="4" t="s">
        <v>43</v>
      </c>
      <c r="D740" s="4" t="s">
        <v>45</v>
      </c>
      <c r="E740" s="4" t="s">
        <v>260</v>
      </c>
      <c r="F740" s="4" t="s">
        <v>609</v>
      </c>
      <c r="G740" s="29">
        <v>100923704.24</v>
      </c>
      <c r="H740" s="29"/>
    </row>
    <row r="741" spans="1:8" ht="31.5">
      <c r="A741" s="3" t="s">
        <v>356</v>
      </c>
      <c r="B741" s="4" t="s">
        <v>538</v>
      </c>
      <c r="C741" s="4" t="s">
        <v>43</v>
      </c>
      <c r="D741" s="4" t="s">
        <v>45</v>
      </c>
      <c r="E741" s="4" t="s">
        <v>264</v>
      </c>
      <c r="F741" s="4"/>
      <c r="G741" s="29">
        <f>G742</f>
        <v>4640955.4</v>
      </c>
      <c r="H741" s="29"/>
    </row>
    <row r="742" spans="1:8" ht="94.5">
      <c r="A742" s="3" t="s">
        <v>749</v>
      </c>
      <c r="B742" s="4" t="s">
        <v>538</v>
      </c>
      <c r="C742" s="4" t="s">
        <v>43</v>
      </c>
      <c r="D742" s="4" t="s">
        <v>45</v>
      </c>
      <c r="E742" s="4" t="s">
        <v>265</v>
      </c>
      <c r="F742" s="4"/>
      <c r="G742" s="29">
        <f>G743</f>
        <v>4640955.4</v>
      </c>
      <c r="H742" s="29"/>
    </row>
    <row r="743" spans="1:8" ht="63">
      <c r="A743" s="3" t="s">
        <v>525</v>
      </c>
      <c r="B743" s="4" t="s">
        <v>538</v>
      </c>
      <c r="C743" s="4" t="s">
        <v>43</v>
      </c>
      <c r="D743" s="4" t="s">
        <v>45</v>
      </c>
      <c r="E743" s="4" t="s">
        <v>265</v>
      </c>
      <c r="F743" s="4" t="s">
        <v>609</v>
      </c>
      <c r="G743" s="29">
        <f>5326428.04-685472.64</f>
        <v>4640955.4</v>
      </c>
      <c r="H743" s="29"/>
    </row>
    <row r="744" spans="1:8" ht="63">
      <c r="A744" s="3" t="s">
        <v>266</v>
      </c>
      <c r="B744" s="4" t="s">
        <v>538</v>
      </c>
      <c r="C744" s="4" t="s">
        <v>43</v>
      </c>
      <c r="D744" s="4" t="s">
        <v>45</v>
      </c>
      <c r="E744" s="4" t="s">
        <v>267</v>
      </c>
      <c r="F744" s="4"/>
      <c r="G744" s="29">
        <f>G745+G747+G749</f>
        <v>205584063.51999998</v>
      </c>
      <c r="H744" s="29">
        <f>H745+H747+H749</f>
        <v>2958350</v>
      </c>
    </row>
    <row r="745" spans="1:8" ht="94.5">
      <c r="A745" s="3" t="s">
        <v>749</v>
      </c>
      <c r="B745" s="4" t="s">
        <v>538</v>
      </c>
      <c r="C745" s="4" t="s">
        <v>43</v>
      </c>
      <c r="D745" s="4" t="s">
        <v>45</v>
      </c>
      <c r="E745" s="4" t="s">
        <v>268</v>
      </c>
      <c r="F745" s="4"/>
      <c r="G745" s="29">
        <f>G746</f>
        <v>199958653.01</v>
      </c>
      <c r="H745" s="29"/>
    </row>
    <row r="746" spans="1:8" ht="63">
      <c r="A746" s="3" t="s">
        <v>525</v>
      </c>
      <c r="B746" s="4" t="s">
        <v>538</v>
      </c>
      <c r="C746" s="4" t="s">
        <v>43</v>
      </c>
      <c r="D746" s="4" t="s">
        <v>45</v>
      </c>
      <c r="E746" s="4" t="s">
        <v>268</v>
      </c>
      <c r="F746" s="4" t="s">
        <v>609</v>
      </c>
      <c r="G746" s="29">
        <f>202951085.01-2992432</f>
        <v>199958653.01</v>
      </c>
      <c r="H746" s="29"/>
    </row>
    <row r="747" spans="1:8" ht="126">
      <c r="A747" s="3" t="s">
        <v>859</v>
      </c>
      <c r="B747" s="4" t="s">
        <v>538</v>
      </c>
      <c r="C747" s="4" t="s">
        <v>43</v>
      </c>
      <c r="D747" s="4" t="s">
        <v>45</v>
      </c>
      <c r="E747" s="4" t="s">
        <v>269</v>
      </c>
      <c r="F747" s="4"/>
      <c r="G747" s="29">
        <f>G748</f>
        <v>2958350</v>
      </c>
      <c r="H747" s="29">
        <f>G747</f>
        <v>2958350</v>
      </c>
    </row>
    <row r="748" spans="1:8" ht="63">
      <c r="A748" s="3" t="s">
        <v>525</v>
      </c>
      <c r="B748" s="4" t="s">
        <v>538</v>
      </c>
      <c r="C748" s="4" t="s">
        <v>43</v>
      </c>
      <c r="D748" s="4" t="s">
        <v>45</v>
      </c>
      <c r="E748" s="4" t="s">
        <v>269</v>
      </c>
      <c r="F748" s="4" t="s">
        <v>609</v>
      </c>
      <c r="G748" s="29">
        <v>2958350</v>
      </c>
      <c r="H748" s="29">
        <f>G748</f>
        <v>2958350</v>
      </c>
    </row>
    <row r="749" spans="1:8" ht="126">
      <c r="A749" s="3" t="s">
        <v>859</v>
      </c>
      <c r="B749" s="4" t="s">
        <v>538</v>
      </c>
      <c r="C749" s="4" t="s">
        <v>43</v>
      </c>
      <c r="D749" s="4" t="s">
        <v>45</v>
      </c>
      <c r="E749" s="4" t="s">
        <v>925</v>
      </c>
      <c r="F749" s="4"/>
      <c r="G749" s="29">
        <f>G750</f>
        <v>2667060.51</v>
      </c>
      <c r="H749" s="29"/>
    </row>
    <row r="750" spans="1:8" ht="63">
      <c r="A750" s="3" t="s">
        <v>525</v>
      </c>
      <c r="B750" s="4" t="s">
        <v>538</v>
      </c>
      <c r="C750" s="4" t="s">
        <v>43</v>
      </c>
      <c r="D750" s="4" t="s">
        <v>45</v>
      </c>
      <c r="E750" s="4" t="s">
        <v>925</v>
      </c>
      <c r="F750" s="4" t="s">
        <v>609</v>
      </c>
      <c r="G750" s="29">
        <v>2667060.51</v>
      </c>
      <c r="H750" s="29"/>
    </row>
    <row r="751" spans="1:8" ht="31.5">
      <c r="A751" s="3" t="s">
        <v>356</v>
      </c>
      <c r="B751" s="4" t="s">
        <v>538</v>
      </c>
      <c r="C751" s="4" t="s">
        <v>43</v>
      </c>
      <c r="D751" s="4" t="s">
        <v>45</v>
      </c>
      <c r="E751" s="4" t="s">
        <v>926</v>
      </c>
      <c r="F751" s="4"/>
      <c r="G751" s="29">
        <f>G752</f>
        <v>2534249.99</v>
      </c>
      <c r="H751" s="29"/>
    </row>
    <row r="752" spans="1:8" ht="94.5">
      <c r="A752" s="3" t="s">
        <v>749</v>
      </c>
      <c r="B752" s="4" t="s">
        <v>538</v>
      </c>
      <c r="C752" s="4" t="s">
        <v>43</v>
      </c>
      <c r="D752" s="4" t="s">
        <v>45</v>
      </c>
      <c r="E752" s="4" t="s">
        <v>927</v>
      </c>
      <c r="F752" s="4"/>
      <c r="G752" s="29">
        <f>G753</f>
        <v>2534249.99</v>
      </c>
      <c r="H752" s="29"/>
    </row>
    <row r="753" spans="1:8" ht="63">
      <c r="A753" s="3" t="s">
        <v>525</v>
      </c>
      <c r="B753" s="4" t="s">
        <v>538</v>
      </c>
      <c r="C753" s="4" t="s">
        <v>43</v>
      </c>
      <c r="D753" s="4" t="s">
        <v>45</v>
      </c>
      <c r="E753" s="4" t="s">
        <v>927</v>
      </c>
      <c r="F753" s="4" t="s">
        <v>609</v>
      </c>
      <c r="G753" s="29">
        <v>2534249.99</v>
      </c>
      <c r="H753" s="29"/>
    </row>
    <row r="754" spans="1:8" ht="31.5">
      <c r="A754" s="13" t="s">
        <v>6</v>
      </c>
      <c r="B754" s="5" t="s">
        <v>538</v>
      </c>
      <c r="C754" s="5" t="s">
        <v>43</v>
      </c>
      <c r="D754" s="5" t="s">
        <v>43</v>
      </c>
      <c r="E754" s="23"/>
      <c r="F754" s="23"/>
      <c r="G754" s="28">
        <f>G755</f>
        <v>12187134.1</v>
      </c>
      <c r="H754" s="28">
        <f>H755</f>
        <v>3124600</v>
      </c>
    </row>
    <row r="755" spans="1:8" ht="47.25">
      <c r="A755" s="3" t="s">
        <v>102</v>
      </c>
      <c r="B755" s="4" t="s">
        <v>538</v>
      </c>
      <c r="C755" s="4" t="s">
        <v>43</v>
      </c>
      <c r="D755" s="4" t="s">
        <v>43</v>
      </c>
      <c r="E755" s="4" t="s">
        <v>552</v>
      </c>
      <c r="F755" s="4"/>
      <c r="G755" s="29">
        <f>G756</f>
        <v>12187134.1</v>
      </c>
      <c r="H755" s="29">
        <f>H756</f>
        <v>3124600</v>
      </c>
    </row>
    <row r="756" spans="1:8" ht="63">
      <c r="A756" s="3" t="s">
        <v>752</v>
      </c>
      <c r="B756" s="4" t="s">
        <v>538</v>
      </c>
      <c r="C756" s="4" t="s">
        <v>43</v>
      </c>
      <c r="D756" s="4" t="s">
        <v>43</v>
      </c>
      <c r="E756" s="4" t="s">
        <v>932</v>
      </c>
      <c r="F756" s="4"/>
      <c r="G756" s="29">
        <f>G757+G760</f>
        <v>12187134.1</v>
      </c>
      <c r="H756" s="29">
        <f>H757+H760</f>
        <v>3124600</v>
      </c>
    </row>
    <row r="757" spans="1:8" ht="47.25">
      <c r="A757" s="3" t="s">
        <v>933</v>
      </c>
      <c r="B757" s="4" t="s">
        <v>538</v>
      </c>
      <c r="C757" s="4" t="s">
        <v>43</v>
      </c>
      <c r="D757" s="4" t="s">
        <v>43</v>
      </c>
      <c r="E757" s="4" t="s">
        <v>934</v>
      </c>
      <c r="F757" s="4"/>
      <c r="G757" s="29">
        <f>G758</f>
        <v>7038601.3</v>
      </c>
      <c r="H757" s="29"/>
    </row>
    <row r="758" spans="1:8" ht="49.5" customHeight="1">
      <c r="A758" s="3" t="s">
        <v>523</v>
      </c>
      <c r="B758" s="4" t="s">
        <v>538</v>
      </c>
      <c r="C758" s="4" t="s">
        <v>43</v>
      </c>
      <c r="D758" s="4" t="s">
        <v>43</v>
      </c>
      <c r="E758" s="4" t="s">
        <v>935</v>
      </c>
      <c r="F758" s="4"/>
      <c r="G758" s="29">
        <f>G759</f>
        <v>7038601.3</v>
      </c>
      <c r="H758" s="29"/>
    </row>
    <row r="759" spans="1:8" ht="68.25" customHeight="1">
      <c r="A759" s="3" t="s">
        <v>525</v>
      </c>
      <c r="B759" s="4" t="s">
        <v>538</v>
      </c>
      <c r="C759" s="4" t="s">
        <v>43</v>
      </c>
      <c r="D759" s="4" t="s">
        <v>43</v>
      </c>
      <c r="E759" s="4" t="s">
        <v>935</v>
      </c>
      <c r="F759" s="4" t="s">
        <v>609</v>
      </c>
      <c r="G759" s="29">
        <v>7038601.3</v>
      </c>
      <c r="H759" s="29"/>
    </row>
    <row r="760" spans="1:8" ht="63">
      <c r="A760" s="3" t="s">
        <v>936</v>
      </c>
      <c r="B760" s="4" t="s">
        <v>538</v>
      </c>
      <c r="C760" s="4" t="s">
        <v>43</v>
      </c>
      <c r="D760" s="4" t="s">
        <v>43</v>
      </c>
      <c r="E760" s="4" t="s">
        <v>937</v>
      </c>
      <c r="F760" s="4"/>
      <c r="G760" s="29">
        <f>G761+G763</f>
        <v>5148532.8</v>
      </c>
      <c r="H760" s="29">
        <f>H761+H763</f>
        <v>3124600</v>
      </c>
    </row>
    <row r="761" spans="1:8" ht="94.5">
      <c r="A761" s="3" t="s">
        <v>938</v>
      </c>
      <c r="B761" s="4" t="s">
        <v>538</v>
      </c>
      <c r="C761" s="4" t="s">
        <v>43</v>
      </c>
      <c r="D761" s="4" t="s">
        <v>43</v>
      </c>
      <c r="E761" s="4" t="s">
        <v>939</v>
      </c>
      <c r="F761" s="4"/>
      <c r="G761" s="29">
        <f>G762</f>
        <v>3124600</v>
      </c>
      <c r="H761" s="29">
        <f>H762</f>
        <v>3124600</v>
      </c>
    </row>
    <row r="762" spans="1:8" ht="63">
      <c r="A762" s="3" t="s">
        <v>525</v>
      </c>
      <c r="B762" s="4" t="s">
        <v>538</v>
      </c>
      <c r="C762" s="4" t="s">
        <v>43</v>
      </c>
      <c r="D762" s="4" t="s">
        <v>43</v>
      </c>
      <c r="E762" s="4" t="s">
        <v>939</v>
      </c>
      <c r="F762" s="4" t="s">
        <v>609</v>
      </c>
      <c r="G762" s="29">
        <f>3268700-144100</f>
        <v>3124600</v>
      </c>
      <c r="H762" s="29">
        <f>G762</f>
        <v>3124600</v>
      </c>
    </row>
    <row r="763" spans="1:8" ht="94.5">
      <c r="A763" s="3" t="s">
        <v>938</v>
      </c>
      <c r="B763" s="4" t="s">
        <v>538</v>
      </c>
      <c r="C763" s="4" t="s">
        <v>43</v>
      </c>
      <c r="D763" s="4" t="s">
        <v>43</v>
      </c>
      <c r="E763" s="4" t="s">
        <v>940</v>
      </c>
      <c r="F763" s="4"/>
      <c r="G763" s="29">
        <f>G764</f>
        <v>2023932.8</v>
      </c>
      <c r="H763" s="29"/>
    </row>
    <row r="764" spans="1:8" ht="63">
      <c r="A764" s="3" t="s">
        <v>525</v>
      </c>
      <c r="B764" s="4" t="s">
        <v>538</v>
      </c>
      <c r="C764" s="4" t="s">
        <v>43</v>
      </c>
      <c r="D764" s="4" t="s">
        <v>43</v>
      </c>
      <c r="E764" s="4" t="s">
        <v>940</v>
      </c>
      <c r="F764" s="4" t="s">
        <v>609</v>
      </c>
      <c r="G764" s="29">
        <v>2023932.8</v>
      </c>
      <c r="H764" s="29"/>
    </row>
    <row r="765" spans="1:8" ht="31.5">
      <c r="A765" s="13" t="s">
        <v>736</v>
      </c>
      <c r="B765" s="5" t="s">
        <v>538</v>
      </c>
      <c r="C765" s="5" t="s">
        <v>43</v>
      </c>
      <c r="D765" s="5" t="s">
        <v>46</v>
      </c>
      <c r="E765" s="23"/>
      <c r="F765" s="23"/>
      <c r="G765" s="28">
        <f>G766</f>
        <v>67521970.83</v>
      </c>
      <c r="H765" s="28">
        <f>H766</f>
        <v>14533900</v>
      </c>
    </row>
    <row r="766" spans="1:8" ht="47.25">
      <c r="A766" s="3" t="s">
        <v>102</v>
      </c>
      <c r="B766" s="4" t="s">
        <v>538</v>
      </c>
      <c r="C766" s="4" t="s">
        <v>43</v>
      </c>
      <c r="D766" s="4" t="s">
        <v>46</v>
      </c>
      <c r="E766" s="4" t="s">
        <v>552</v>
      </c>
      <c r="F766" s="4"/>
      <c r="G766" s="29">
        <f>G767+G774+G781</f>
        <v>67521970.83</v>
      </c>
      <c r="H766" s="29">
        <f>H767+H774+H781</f>
        <v>14533900</v>
      </c>
    </row>
    <row r="767" spans="1:8" ht="78.75">
      <c r="A767" s="3" t="s">
        <v>750</v>
      </c>
      <c r="B767" s="4" t="s">
        <v>538</v>
      </c>
      <c r="C767" s="4" t="s">
        <v>43</v>
      </c>
      <c r="D767" s="4" t="s">
        <v>46</v>
      </c>
      <c r="E767" s="4" t="s">
        <v>941</v>
      </c>
      <c r="F767" s="4"/>
      <c r="G767" s="29">
        <f>G768+G771</f>
        <v>20338952.75</v>
      </c>
      <c r="H767" s="29"/>
    </row>
    <row r="768" spans="1:8" ht="63">
      <c r="A768" s="3" t="s">
        <v>942</v>
      </c>
      <c r="B768" s="4" t="s">
        <v>538</v>
      </c>
      <c r="C768" s="4" t="s">
        <v>43</v>
      </c>
      <c r="D768" s="4" t="s">
        <v>46</v>
      </c>
      <c r="E768" s="4" t="s">
        <v>943</v>
      </c>
      <c r="F768" s="4"/>
      <c r="G768" s="29">
        <f>G769</f>
        <v>20043880</v>
      </c>
      <c r="H768" s="29"/>
    </row>
    <row r="769" spans="1:8" ht="94.5">
      <c r="A769" s="3" t="s">
        <v>749</v>
      </c>
      <c r="B769" s="4" t="s">
        <v>538</v>
      </c>
      <c r="C769" s="4" t="s">
        <v>43</v>
      </c>
      <c r="D769" s="4" t="s">
        <v>46</v>
      </c>
      <c r="E769" s="4" t="s">
        <v>632</v>
      </c>
      <c r="F769" s="4"/>
      <c r="G769" s="29">
        <f>G770</f>
        <v>20043880</v>
      </c>
      <c r="H769" s="29"/>
    </row>
    <row r="770" spans="1:8" ht="63">
      <c r="A770" s="3" t="s">
        <v>525</v>
      </c>
      <c r="B770" s="4" t="s">
        <v>538</v>
      </c>
      <c r="C770" s="4" t="s">
        <v>43</v>
      </c>
      <c r="D770" s="4" t="s">
        <v>46</v>
      </c>
      <c r="E770" s="4" t="s">
        <v>632</v>
      </c>
      <c r="F770" s="4" t="s">
        <v>609</v>
      </c>
      <c r="G770" s="29">
        <v>20043880</v>
      </c>
      <c r="H770" s="29"/>
    </row>
    <row r="771" spans="1:8" ht="31.5">
      <c r="A771" s="3" t="s">
        <v>356</v>
      </c>
      <c r="B771" s="4" t="s">
        <v>538</v>
      </c>
      <c r="C771" s="4" t="s">
        <v>43</v>
      </c>
      <c r="D771" s="4" t="s">
        <v>46</v>
      </c>
      <c r="E771" s="4" t="s">
        <v>633</v>
      </c>
      <c r="F771" s="4"/>
      <c r="G771" s="29">
        <f>G772</f>
        <v>295072.75</v>
      </c>
      <c r="H771" s="29"/>
    </row>
    <row r="772" spans="1:8" ht="94.5">
      <c r="A772" s="3" t="s">
        <v>749</v>
      </c>
      <c r="B772" s="4" t="s">
        <v>538</v>
      </c>
      <c r="C772" s="4" t="s">
        <v>43</v>
      </c>
      <c r="D772" s="4" t="s">
        <v>46</v>
      </c>
      <c r="E772" s="4" t="s">
        <v>634</v>
      </c>
      <c r="F772" s="4"/>
      <c r="G772" s="29">
        <f>G773</f>
        <v>295072.75</v>
      </c>
      <c r="H772" s="29"/>
    </row>
    <row r="773" spans="1:13" ht="63">
      <c r="A773" s="3" t="s">
        <v>525</v>
      </c>
      <c r="B773" s="4" t="s">
        <v>538</v>
      </c>
      <c r="C773" s="4" t="s">
        <v>43</v>
      </c>
      <c r="D773" s="4" t="s">
        <v>46</v>
      </c>
      <c r="E773" s="4" t="s">
        <v>634</v>
      </c>
      <c r="F773" s="4" t="s">
        <v>609</v>
      </c>
      <c r="G773" s="29">
        <v>295072.75</v>
      </c>
      <c r="H773" s="29"/>
      <c r="M773" s="158" t="s">
        <v>838</v>
      </c>
    </row>
    <row r="774" spans="1:14" ht="78.75">
      <c r="A774" s="3" t="s">
        <v>751</v>
      </c>
      <c r="B774" s="4" t="s">
        <v>538</v>
      </c>
      <c r="C774" s="4" t="s">
        <v>43</v>
      </c>
      <c r="D774" s="4" t="s">
        <v>46</v>
      </c>
      <c r="E774" s="4" t="s">
        <v>635</v>
      </c>
      <c r="F774" s="4"/>
      <c r="G774" s="29">
        <f>G775+G778</f>
        <v>26875448.32</v>
      </c>
      <c r="H774" s="29"/>
      <c r="J774" s="26"/>
      <c r="M774" s="158">
        <f>4575436.62-4412472</f>
        <v>162964.6200000001</v>
      </c>
      <c r="N774" s="26"/>
    </row>
    <row r="775" spans="1:8" ht="78.75">
      <c r="A775" s="3" t="s">
        <v>636</v>
      </c>
      <c r="B775" s="4" t="s">
        <v>538</v>
      </c>
      <c r="C775" s="4" t="s">
        <v>43</v>
      </c>
      <c r="D775" s="4" t="s">
        <v>46</v>
      </c>
      <c r="E775" s="4" t="s">
        <v>637</v>
      </c>
      <c r="F775" s="4"/>
      <c r="G775" s="29">
        <f>G776</f>
        <v>26580375.56</v>
      </c>
      <c r="H775" s="29"/>
    </row>
    <row r="776" spans="1:8" ht="94.5">
      <c r="A776" s="3" t="s">
        <v>749</v>
      </c>
      <c r="B776" s="4" t="s">
        <v>538</v>
      </c>
      <c r="C776" s="4" t="s">
        <v>43</v>
      </c>
      <c r="D776" s="4" t="s">
        <v>46</v>
      </c>
      <c r="E776" s="4" t="s">
        <v>638</v>
      </c>
      <c r="F776" s="4"/>
      <c r="G776" s="29">
        <f>G777</f>
        <v>26580375.56</v>
      </c>
      <c r="H776" s="29"/>
    </row>
    <row r="777" spans="1:10" ht="63">
      <c r="A777" s="3" t="s">
        <v>525</v>
      </c>
      <c r="B777" s="4" t="s">
        <v>538</v>
      </c>
      <c r="C777" s="4" t="s">
        <v>43</v>
      </c>
      <c r="D777" s="4" t="s">
        <v>46</v>
      </c>
      <c r="E777" s="4" t="s">
        <v>638</v>
      </c>
      <c r="F777" s="4" t="s">
        <v>609</v>
      </c>
      <c r="G777" s="29">
        <v>26580375.56</v>
      </c>
      <c r="H777" s="29"/>
      <c r="J777" s="26"/>
    </row>
    <row r="778" spans="1:8" ht="39.75" customHeight="1">
      <c r="A778" s="3" t="s">
        <v>356</v>
      </c>
      <c r="B778" s="4" t="s">
        <v>538</v>
      </c>
      <c r="C778" s="4" t="s">
        <v>43</v>
      </c>
      <c r="D778" s="4" t="s">
        <v>46</v>
      </c>
      <c r="E778" s="4" t="s">
        <v>639</v>
      </c>
      <c r="F778" s="4"/>
      <c r="G778" s="29">
        <f>G779</f>
        <v>295072.76</v>
      </c>
      <c r="H778" s="29"/>
    </row>
    <row r="779" spans="1:8" ht="120" customHeight="1">
      <c r="A779" s="3" t="s">
        <v>749</v>
      </c>
      <c r="B779" s="4" t="s">
        <v>538</v>
      </c>
      <c r="C779" s="4" t="s">
        <v>43</v>
      </c>
      <c r="D779" s="4" t="s">
        <v>46</v>
      </c>
      <c r="E779" s="4" t="s">
        <v>640</v>
      </c>
      <c r="F779" s="4"/>
      <c r="G779" s="29">
        <f>G780</f>
        <v>295072.76</v>
      </c>
      <c r="H779" s="29"/>
    </row>
    <row r="780" spans="1:8" ht="71.25" customHeight="1">
      <c r="A780" s="3" t="s">
        <v>525</v>
      </c>
      <c r="B780" s="4" t="s">
        <v>538</v>
      </c>
      <c r="C780" s="4" t="s">
        <v>43</v>
      </c>
      <c r="D780" s="4" t="s">
        <v>46</v>
      </c>
      <c r="E780" s="4" t="s">
        <v>640</v>
      </c>
      <c r="F780" s="4" t="s">
        <v>609</v>
      </c>
      <c r="G780" s="29">
        <v>295072.76</v>
      </c>
      <c r="H780" s="29"/>
    </row>
    <row r="781" spans="1:14" ht="31.5">
      <c r="A781" s="3" t="s">
        <v>526</v>
      </c>
      <c r="B781" s="4" t="s">
        <v>538</v>
      </c>
      <c r="C781" s="4" t="s">
        <v>43</v>
      </c>
      <c r="D781" s="4" t="s">
        <v>46</v>
      </c>
      <c r="E781" s="4" t="s">
        <v>641</v>
      </c>
      <c r="F781" s="4"/>
      <c r="G781" s="29">
        <f>G782+G787+G790</f>
        <v>20307569.76</v>
      </c>
      <c r="H781" s="29">
        <f>H782+H787</f>
        <v>14533900</v>
      </c>
      <c r="M781" s="158">
        <f>610403425.53-610566390.15</f>
        <v>-162964.62000000477</v>
      </c>
      <c r="N781" s="26"/>
    </row>
    <row r="782" spans="1:8" ht="47.25">
      <c r="A782" s="3" t="s">
        <v>642</v>
      </c>
      <c r="B782" s="4" t="s">
        <v>538</v>
      </c>
      <c r="C782" s="4" t="s">
        <v>43</v>
      </c>
      <c r="D782" s="4" t="s">
        <v>46</v>
      </c>
      <c r="E782" s="4" t="s">
        <v>643</v>
      </c>
      <c r="F782" s="4"/>
      <c r="G782" s="29">
        <f>G783+G785</f>
        <v>6875397</v>
      </c>
      <c r="H782" s="29">
        <f>H783+H785</f>
        <v>1396800</v>
      </c>
    </row>
    <row r="783" spans="1:8" ht="126">
      <c r="A783" s="3" t="s">
        <v>644</v>
      </c>
      <c r="B783" s="4" t="s">
        <v>538</v>
      </c>
      <c r="C783" s="4" t="s">
        <v>43</v>
      </c>
      <c r="D783" s="4" t="s">
        <v>46</v>
      </c>
      <c r="E783" s="4" t="s">
        <v>645</v>
      </c>
      <c r="F783" s="4"/>
      <c r="G783" s="29">
        <f>G784</f>
        <v>1396800</v>
      </c>
      <c r="H783" s="29">
        <f>H784</f>
        <v>1396800</v>
      </c>
    </row>
    <row r="784" spans="1:8" ht="63">
      <c r="A784" s="3" t="s">
        <v>525</v>
      </c>
      <c r="B784" s="4" t="s">
        <v>538</v>
      </c>
      <c r="C784" s="4" t="s">
        <v>43</v>
      </c>
      <c r="D784" s="4" t="s">
        <v>46</v>
      </c>
      <c r="E784" s="4" t="s">
        <v>645</v>
      </c>
      <c r="F784" s="4" t="s">
        <v>609</v>
      </c>
      <c r="G784" s="29">
        <v>1396800</v>
      </c>
      <c r="H784" s="29">
        <f>G784</f>
        <v>1396800</v>
      </c>
    </row>
    <row r="785" spans="1:8" ht="126">
      <c r="A785" s="3" t="s">
        <v>644</v>
      </c>
      <c r="B785" s="4" t="s">
        <v>538</v>
      </c>
      <c r="C785" s="4" t="s">
        <v>43</v>
      </c>
      <c r="D785" s="4" t="s">
        <v>46</v>
      </c>
      <c r="E785" s="4" t="s">
        <v>646</v>
      </c>
      <c r="F785" s="4"/>
      <c r="G785" s="29">
        <f>G786</f>
        <v>5478597</v>
      </c>
      <c r="H785" s="29"/>
    </row>
    <row r="786" spans="1:8" ht="63">
      <c r="A786" s="3" t="s">
        <v>525</v>
      </c>
      <c r="B786" s="4" t="s">
        <v>538</v>
      </c>
      <c r="C786" s="4" t="s">
        <v>43</v>
      </c>
      <c r="D786" s="4" t="s">
        <v>46</v>
      </c>
      <c r="E786" s="4" t="s">
        <v>646</v>
      </c>
      <c r="F786" s="4" t="s">
        <v>609</v>
      </c>
      <c r="G786" s="29">
        <v>5478597</v>
      </c>
      <c r="H786" s="29"/>
    </row>
    <row r="787" spans="1:8" ht="57" customHeight="1">
      <c r="A787" s="3" t="s">
        <v>647</v>
      </c>
      <c r="B787" s="4" t="s">
        <v>538</v>
      </c>
      <c r="C787" s="4" t="s">
        <v>43</v>
      </c>
      <c r="D787" s="4" t="s">
        <v>46</v>
      </c>
      <c r="E787" s="4" t="s">
        <v>648</v>
      </c>
      <c r="F787" s="4"/>
      <c r="G787" s="29">
        <f>G788</f>
        <v>13137100</v>
      </c>
      <c r="H787" s="29">
        <f>H788</f>
        <v>13137100</v>
      </c>
    </row>
    <row r="788" spans="1:8" ht="47.25">
      <c r="A788" s="3" t="s">
        <v>649</v>
      </c>
      <c r="B788" s="4" t="s">
        <v>538</v>
      </c>
      <c r="C788" s="4" t="s">
        <v>43</v>
      </c>
      <c r="D788" s="4" t="s">
        <v>46</v>
      </c>
      <c r="E788" s="4" t="s">
        <v>650</v>
      </c>
      <c r="F788" s="4"/>
      <c r="G788" s="29">
        <f>G789</f>
        <v>13137100</v>
      </c>
      <c r="H788" s="29">
        <f>H789</f>
        <v>13137100</v>
      </c>
    </row>
    <row r="789" spans="1:8" ht="63">
      <c r="A789" s="3" t="s">
        <v>525</v>
      </c>
      <c r="B789" s="4" t="s">
        <v>538</v>
      </c>
      <c r="C789" s="4" t="s">
        <v>43</v>
      </c>
      <c r="D789" s="4" t="s">
        <v>46</v>
      </c>
      <c r="E789" s="4" t="s">
        <v>650</v>
      </c>
      <c r="F789" s="4" t="s">
        <v>609</v>
      </c>
      <c r="G789" s="29">
        <v>13137100</v>
      </c>
      <c r="H789" s="29">
        <f>G789</f>
        <v>13137100</v>
      </c>
    </row>
    <row r="790" spans="1:8" ht="31.5">
      <c r="A790" s="3" t="s">
        <v>651</v>
      </c>
      <c r="B790" s="4" t="s">
        <v>538</v>
      </c>
      <c r="C790" s="4" t="s">
        <v>43</v>
      </c>
      <c r="D790" s="4" t="s">
        <v>46</v>
      </c>
      <c r="E790" s="4" t="s">
        <v>652</v>
      </c>
      <c r="F790" s="4"/>
      <c r="G790" s="29">
        <f>G791</f>
        <v>295072.76</v>
      </c>
      <c r="H790" s="29"/>
    </row>
    <row r="791" spans="1:8" ht="94.5">
      <c r="A791" s="3" t="s">
        <v>749</v>
      </c>
      <c r="B791" s="4" t="s">
        <v>538</v>
      </c>
      <c r="C791" s="4" t="s">
        <v>43</v>
      </c>
      <c r="D791" s="4" t="s">
        <v>46</v>
      </c>
      <c r="E791" s="4" t="s">
        <v>653</v>
      </c>
      <c r="F791" s="4"/>
      <c r="G791" s="29">
        <f>G792</f>
        <v>295072.76</v>
      </c>
      <c r="H791" s="29"/>
    </row>
    <row r="792" spans="1:8" ht="63">
      <c r="A792" s="3" t="s">
        <v>525</v>
      </c>
      <c r="B792" s="4" t="s">
        <v>538</v>
      </c>
      <c r="C792" s="4" t="s">
        <v>43</v>
      </c>
      <c r="D792" s="4" t="s">
        <v>46</v>
      </c>
      <c r="E792" s="4" t="s">
        <v>653</v>
      </c>
      <c r="F792" s="4" t="s">
        <v>609</v>
      </c>
      <c r="G792" s="29">
        <v>295072.76</v>
      </c>
      <c r="H792" s="29"/>
    </row>
    <row r="793" spans="1:8" ht="15.75">
      <c r="A793" s="13" t="s">
        <v>54</v>
      </c>
      <c r="B793" s="5" t="s">
        <v>538</v>
      </c>
      <c r="C793" s="5" t="s">
        <v>48</v>
      </c>
      <c r="D793" s="5"/>
      <c r="E793" s="5"/>
      <c r="F793" s="5"/>
      <c r="G793" s="28">
        <f>G794+G824</f>
        <v>60264695</v>
      </c>
      <c r="H793" s="28">
        <f>H794+H824</f>
        <v>60264695</v>
      </c>
    </row>
    <row r="794" spans="1:8" ht="31.5">
      <c r="A794" s="1" t="s">
        <v>738</v>
      </c>
      <c r="B794" s="2" t="s">
        <v>538</v>
      </c>
      <c r="C794" s="2" t="s">
        <v>48</v>
      </c>
      <c r="D794" s="2" t="s">
        <v>47</v>
      </c>
      <c r="E794" s="2"/>
      <c r="F794" s="2"/>
      <c r="G794" s="33">
        <f>G795</f>
        <v>3937695</v>
      </c>
      <c r="H794" s="33">
        <f>H795</f>
        <v>3937695</v>
      </c>
    </row>
    <row r="795" spans="1:8" ht="47.25">
      <c r="A795" s="3" t="s">
        <v>102</v>
      </c>
      <c r="B795" s="4" t="s">
        <v>538</v>
      </c>
      <c r="C795" s="4" t="s">
        <v>48</v>
      </c>
      <c r="D795" s="4" t="s">
        <v>47</v>
      </c>
      <c r="E795" s="4" t="s">
        <v>552</v>
      </c>
      <c r="F795" s="4"/>
      <c r="G795" s="29">
        <f>G796+G802+G808</f>
        <v>3937695</v>
      </c>
      <c r="H795" s="29">
        <f>H796+H802+H808</f>
        <v>3937695</v>
      </c>
    </row>
    <row r="796" spans="1:8" ht="47.25">
      <c r="A796" s="3" t="s">
        <v>530</v>
      </c>
      <c r="B796" s="4" t="s">
        <v>538</v>
      </c>
      <c r="C796" s="4" t="s">
        <v>48</v>
      </c>
      <c r="D796" s="4" t="s">
        <v>47</v>
      </c>
      <c r="E796" s="4" t="s">
        <v>340</v>
      </c>
      <c r="F796" s="4"/>
      <c r="G796" s="29">
        <f>G797</f>
        <v>742773</v>
      </c>
      <c r="H796" s="29">
        <f>H797</f>
        <v>742773</v>
      </c>
    </row>
    <row r="797" spans="1:8" ht="31.5">
      <c r="A797" s="3" t="s">
        <v>356</v>
      </c>
      <c r="B797" s="4" t="s">
        <v>538</v>
      </c>
      <c r="C797" s="4" t="s">
        <v>48</v>
      </c>
      <c r="D797" s="4" t="s">
        <v>47</v>
      </c>
      <c r="E797" s="4" t="s">
        <v>357</v>
      </c>
      <c r="F797" s="4"/>
      <c r="G797" s="29">
        <f>G798+G800</f>
        <v>742773</v>
      </c>
      <c r="H797" s="29">
        <f>H798+H800</f>
        <v>742773</v>
      </c>
    </row>
    <row r="798" spans="1:8" ht="126">
      <c r="A798" s="3" t="s">
        <v>359</v>
      </c>
      <c r="B798" s="4" t="s">
        <v>538</v>
      </c>
      <c r="C798" s="4" t="s">
        <v>48</v>
      </c>
      <c r="D798" s="4" t="s">
        <v>47</v>
      </c>
      <c r="E798" s="4" t="s">
        <v>360</v>
      </c>
      <c r="F798" s="4"/>
      <c r="G798" s="29">
        <f>G799</f>
        <v>1093</v>
      </c>
      <c r="H798" s="29">
        <f>H799</f>
        <v>1093</v>
      </c>
    </row>
    <row r="799" spans="1:8" ht="63">
      <c r="A799" s="3" t="s">
        <v>525</v>
      </c>
      <c r="B799" s="4" t="s">
        <v>538</v>
      </c>
      <c r="C799" s="4" t="s">
        <v>48</v>
      </c>
      <c r="D799" s="4" t="s">
        <v>47</v>
      </c>
      <c r="E799" s="4" t="s">
        <v>360</v>
      </c>
      <c r="F799" s="4" t="s">
        <v>609</v>
      </c>
      <c r="G799" s="29">
        <v>1093</v>
      </c>
      <c r="H799" s="29">
        <f>G799</f>
        <v>1093</v>
      </c>
    </row>
    <row r="800" spans="1:8" ht="126">
      <c r="A800" s="3" t="s">
        <v>496</v>
      </c>
      <c r="B800" s="4" t="s">
        <v>538</v>
      </c>
      <c r="C800" s="4" t="s">
        <v>48</v>
      </c>
      <c r="D800" s="4" t="s">
        <v>47</v>
      </c>
      <c r="E800" s="4" t="s">
        <v>497</v>
      </c>
      <c r="F800" s="4"/>
      <c r="G800" s="29">
        <f>G801</f>
        <v>741680</v>
      </c>
      <c r="H800" s="29">
        <f>H801</f>
        <v>741680</v>
      </c>
    </row>
    <row r="801" spans="1:8" ht="63">
      <c r="A801" s="3" t="s">
        <v>525</v>
      </c>
      <c r="B801" s="4" t="s">
        <v>538</v>
      </c>
      <c r="C801" s="4" t="s">
        <v>48</v>
      </c>
      <c r="D801" s="4" t="s">
        <v>47</v>
      </c>
      <c r="E801" s="4" t="s">
        <v>497</v>
      </c>
      <c r="F801" s="4" t="s">
        <v>609</v>
      </c>
      <c r="G801" s="29">
        <f>669680+72000</f>
        <v>741680</v>
      </c>
      <c r="H801" s="29">
        <f>G801</f>
        <v>741680</v>
      </c>
    </row>
    <row r="802" spans="1:8" ht="63">
      <c r="A802" s="3" t="s">
        <v>529</v>
      </c>
      <c r="B802" s="4" t="s">
        <v>538</v>
      </c>
      <c r="C802" s="4" t="s">
        <v>48</v>
      </c>
      <c r="D802" s="4" t="s">
        <v>47</v>
      </c>
      <c r="E802" s="4" t="s">
        <v>498</v>
      </c>
      <c r="F802" s="4"/>
      <c r="G802" s="29">
        <f>G803</f>
        <v>1295522</v>
      </c>
      <c r="H802" s="29">
        <f>H803</f>
        <v>1295522</v>
      </c>
    </row>
    <row r="803" spans="1:8" ht="31.5">
      <c r="A803" s="3" t="s">
        <v>356</v>
      </c>
      <c r="B803" s="4" t="s">
        <v>538</v>
      </c>
      <c r="C803" s="4" t="s">
        <v>48</v>
      </c>
      <c r="D803" s="4" t="s">
        <v>47</v>
      </c>
      <c r="E803" s="4" t="s">
        <v>264</v>
      </c>
      <c r="F803" s="4"/>
      <c r="G803" s="29">
        <f>G804+G806</f>
        <v>1295522</v>
      </c>
      <c r="H803" s="29">
        <f>H804+H806</f>
        <v>1295522</v>
      </c>
    </row>
    <row r="804" spans="1:8" ht="126">
      <c r="A804" s="3" t="s">
        <v>359</v>
      </c>
      <c r="B804" s="4" t="s">
        <v>538</v>
      </c>
      <c r="C804" s="4" t="s">
        <v>48</v>
      </c>
      <c r="D804" s="4" t="s">
        <v>47</v>
      </c>
      <c r="E804" s="4" t="s">
        <v>654</v>
      </c>
      <c r="F804" s="4"/>
      <c r="G804" s="29">
        <f>G805</f>
        <v>1240</v>
      </c>
      <c r="H804" s="29">
        <f>H805</f>
        <v>1240</v>
      </c>
    </row>
    <row r="805" spans="1:8" ht="63">
      <c r="A805" s="3" t="s">
        <v>525</v>
      </c>
      <c r="B805" s="4" t="s">
        <v>538</v>
      </c>
      <c r="C805" s="4" t="s">
        <v>48</v>
      </c>
      <c r="D805" s="4" t="s">
        <v>47</v>
      </c>
      <c r="E805" s="4" t="s">
        <v>654</v>
      </c>
      <c r="F805" s="4" t="s">
        <v>609</v>
      </c>
      <c r="G805" s="29">
        <v>1240</v>
      </c>
      <c r="H805" s="29">
        <f>G805</f>
        <v>1240</v>
      </c>
    </row>
    <row r="806" spans="1:8" ht="126">
      <c r="A806" s="3" t="s">
        <v>496</v>
      </c>
      <c r="B806" s="4" t="s">
        <v>538</v>
      </c>
      <c r="C806" s="4" t="s">
        <v>48</v>
      </c>
      <c r="D806" s="4" t="s">
        <v>47</v>
      </c>
      <c r="E806" s="4" t="s">
        <v>655</v>
      </c>
      <c r="F806" s="4"/>
      <c r="G806" s="29">
        <f>G807</f>
        <v>1294282</v>
      </c>
      <c r="H806" s="29">
        <f>H807</f>
        <v>1294282</v>
      </c>
    </row>
    <row r="807" spans="1:8" ht="63">
      <c r="A807" s="3" t="s">
        <v>525</v>
      </c>
      <c r="B807" s="4" t="s">
        <v>538</v>
      </c>
      <c r="C807" s="4" t="s">
        <v>48</v>
      </c>
      <c r="D807" s="4" t="s">
        <v>47</v>
      </c>
      <c r="E807" s="4" t="s">
        <v>655</v>
      </c>
      <c r="F807" s="4" t="s">
        <v>609</v>
      </c>
      <c r="G807" s="29">
        <f>871882+422400</f>
        <v>1294282</v>
      </c>
      <c r="H807" s="29">
        <f>G807</f>
        <v>1294282</v>
      </c>
    </row>
    <row r="808" spans="1:8" ht="63">
      <c r="A808" s="21" t="s">
        <v>533</v>
      </c>
      <c r="B808" s="4" t="s">
        <v>538</v>
      </c>
      <c r="C808" s="4" t="s">
        <v>48</v>
      </c>
      <c r="D808" s="4" t="s">
        <v>47</v>
      </c>
      <c r="E808" s="4" t="s">
        <v>326</v>
      </c>
      <c r="F808" s="4"/>
      <c r="G808" s="29">
        <f>G809+G814+G819</f>
        <v>1899400</v>
      </c>
      <c r="H808" s="29">
        <f>H809+H814+H819</f>
        <v>1899400</v>
      </c>
    </row>
    <row r="809" spans="1:8" ht="141.75">
      <c r="A809" s="200" t="s">
        <v>67</v>
      </c>
      <c r="B809" s="281" t="s">
        <v>538</v>
      </c>
      <c r="C809" s="281" t="s">
        <v>48</v>
      </c>
      <c r="D809" s="281" t="s">
        <v>47</v>
      </c>
      <c r="E809" s="281" t="s">
        <v>656</v>
      </c>
      <c r="F809" s="281"/>
      <c r="G809" s="280">
        <f>G811</f>
        <v>73600</v>
      </c>
      <c r="H809" s="280">
        <f>H811</f>
        <v>73600</v>
      </c>
    </row>
    <row r="810" spans="1:8" ht="94.5">
      <c r="A810" s="202" t="s">
        <v>68</v>
      </c>
      <c r="B810" s="281"/>
      <c r="C810" s="281"/>
      <c r="D810" s="281"/>
      <c r="E810" s="281"/>
      <c r="F810" s="281"/>
      <c r="G810" s="280"/>
      <c r="H810" s="280"/>
    </row>
    <row r="811" spans="1:8" ht="110.25">
      <c r="A811" s="21" t="s">
        <v>657</v>
      </c>
      <c r="B811" s="281" t="s">
        <v>538</v>
      </c>
      <c r="C811" s="281" t="s">
        <v>48</v>
      </c>
      <c r="D811" s="281" t="s">
        <v>47</v>
      </c>
      <c r="E811" s="281" t="s">
        <v>362</v>
      </c>
      <c r="F811" s="281"/>
      <c r="G811" s="280">
        <f>G813</f>
        <v>73600</v>
      </c>
      <c r="H811" s="280">
        <f>H813</f>
        <v>73600</v>
      </c>
    </row>
    <row r="812" spans="1:8" ht="110.25">
      <c r="A812" s="21" t="s">
        <v>361</v>
      </c>
      <c r="B812" s="281"/>
      <c r="C812" s="281"/>
      <c r="D812" s="281"/>
      <c r="E812" s="281"/>
      <c r="F812" s="281"/>
      <c r="G812" s="280"/>
      <c r="H812" s="280"/>
    </row>
    <row r="813" spans="1:8" ht="31.5">
      <c r="A813" s="21" t="s">
        <v>565</v>
      </c>
      <c r="B813" s="4" t="s">
        <v>538</v>
      </c>
      <c r="C813" s="4" t="s">
        <v>48</v>
      </c>
      <c r="D813" s="4" t="s">
        <v>47</v>
      </c>
      <c r="E813" s="4" t="s">
        <v>362</v>
      </c>
      <c r="F813" s="4" t="s">
        <v>566</v>
      </c>
      <c r="G813" s="29">
        <v>73600</v>
      </c>
      <c r="H813" s="29">
        <f>G813</f>
        <v>73600</v>
      </c>
    </row>
    <row r="814" spans="1:8" ht="141.75">
      <c r="A814" s="21" t="s">
        <v>363</v>
      </c>
      <c r="B814" s="4" t="s">
        <v>538</v>
      </c>
      <c r="C814" s="4" t="s">
        <v>48</v>
      </c>
      <c r="D814" s="4" t="s">
        <v>47</v>
      </c>
      <c r="E814" s="4" t="s">
        <v>364</v>
      </c>
      <c r="F814" s="4"/>
      <c r="G814" s="29">
        <f>G815+G817</f>
        <v>1616400</v>
      </c>
      <c r="H814" s="29">
        <f>H815+H817</f>
        <v>1616400</v>
      </c>
    </row>
    <row r="815" spans="1:8" ht="126">
      <c r="A815" s="21" t="s">
        <v>365</v>
      </c>
      <c r="B815" s="4" t="s">
        <v>538</v>
      </c>
      <c r="C815" s="4" t="s">
        <v>48</v>
      </c>
      <c r="D815" s="4" t="s">
        <v>47</v>
      </c>
      <c r="E815" s="4" t="s">
        <v>366</v>
      </c>
      <c r="F815" s="4"/>
      <c r="G815" s="29">
        <f>G816</f>
        <v>1594000</v>
      </c>
      <c r="H815" s="29">
        <f>H816</f>
        <v>1594000</v>
      </c>
    </row>
    <row r="816" spans="1:8" ht="31.5">
      <c r="A816" s="21" t="s">
        <v>565</v>
      </c>
      <c r="B816" s="4" t="s">
        <v>538</v>
      </c>
      <c r="C816" s="4" t="s">
        <v>48</v>
      </c>
      <c r="D816" s="4" t="s">
        <v>47</v>
      </c>
      <c r="E816" s="4" t="s">
        <v>366</v>
      </c>
      <c r="F816" s="4" t="s">
        <v>566</v>
      </c>
      <c r="G816" s="29">
        <v>1594000</v>
      </c>
      <c r="H816" s="29">
        <f>G816</f>
        <v>1594000</v>
      </c>
    </row>
    <row r="817" spans="1:8" ht="126">
      <c r="A817" s="21" t="s">
        <v>367</v>
      </c>
      <c r="B817" s="4" t="s">
        <v>538</v>
      </c>
      <c r="C817" s="4" t="s">
        <v>48</v>
      </c>
      <c r="D817" s="4" t="s">
        <v>47</v>
      </c>
      <c r="E817" s="4" t="s">
        <v>368</v>
      </c>
      <c r="F817" s="4"/>
      <c r="G817" s="29">
        <f>G818</f>
        <v>22400</v>
      </c>
      <c r="H817" s="29">
        <f>H818</f>
        <v>22400</v>
      </c>
    </row>
    <row r="818" spans="1:8" ht="110.25">
      <c r="A818" s="21" t="s">
        <v>92</v>
      </c>
      <c r="B818" s="4" t="s">
        <v>538</v>
      </c>
      <c r="C818" s="4" t="s">
        <v>48</v>
      </c>
      <c r="D818" s="4" t="s">
        <v>47</v>
      </c>
      <c r="E818" s="4" t="s">
        <v>368</v>
      </c>
      <c r="F818" s="4" t="s">
        <v>604</v>
      </c>
      <c r="G818" s="29">
        <v>22400</v>
      </c>
      <c r="H818" s="29">
        <f>G818</f>
        <v>22400</v>
      </c>
    </row>
    <row r="819" spans="1:8" ht="110.25">
      <c r="A819" s="200" t="s">
        <v>69</v>
      </c>
      <c r="B819" s="281" t="s">
        <v>538</v>
      </c>
      <c r="C819" s="281" t="s">
        <v>48</v>
      </c>
      <c r="D819" s="281" t="s">
        <v>47</v>
      </c>
      <c r="E819" s="281" t="s">
        <v>369</v>
      </c>
      <c r="F819" s="281"/>
      <c r="G819" s="280">
        <f>G821</f>
        <v>209400</v>
      </c>
      <c r="H819" s="280">
        <f>H821</f>
        <v>209400</v>
      </c>
    </row>
    <row r="820" spans="1:8" ht="47.25">
      <c r="A820" s="202" t="s">
        <v>70</v>
      </c>
      <c r="B820" s="281"/>
      <c r="C820" s="281"/>
      <c r="D820" s="281"/>
      <c r="E820" s="281"/>
      <c r="F820" s="281"/>
      <c r="G820" s="280"/>
      <c r="H820" s="280"/>
    </row>
    <row r="821" spans="1:8" ht="141.75">
      <c r="A821" s="200" t="s">
        <v>370</v>
      </c>
      <c r="B821" s="281" t="s">
        <v>538</v>
      </c>
      <c r="C821" s="281" t="s">
        <v>48</v>
      </c>
      <c r="D821" s="281" t="s">
        <v>47</v>
      </c>
      <c r="E821" s="281" t="s">
        <v>372</v>
      </c>
      <c r="F821" s="281"/>
      <c r="G821" s="280">
        <f>G823</f>
        <v>209400</v>
      </c>
      <c r="H821" s="280">
        <f>H823</f>
        <v>209400</v>
      </c>
    </row>
    <row r="822" spans="1:8" ht="94.5">
      <c r="A822" s="202" t="s">
        <v>371</v>
      </c>
      <c r="B822" s="281"/>
      <c r="C822" s="281"/>
      <c r="D822" s="281"/>
      <c r="E822" s="281"/>
      <c r="F822" s="281"/>
      <c r="G822" s="280"/>
      <c r="H822" s="280"/>
    </row>
    <row r="823" spans="1:8" ht="31.5">
      <c r="A823" s="21" t="s">
        <v>565</v>
      </c>
      <c r="B823" s="4" t="s">
        <v>538</v>
      </c>
      <c r="C823" s="4" t="s">
        <v>48</v>
      </c>
      <c r="D823" s="4" t="s">
        <v>47</v>
      </c>
      <c r="E823" s="4" t="s">
        <v>372</v>
      </c>
      <c r="F823" s="4" t="s">
        <v>566</v>
      </c>
      <c r="G823" s="29">
        <v>209400</v>
      </c>
      <c r="H823" s="29">
        <f>G823</f>
        <v>209400</v>
      </c>
    </row>
    <row r="824" spans="1:8" ht="15.75">
      <c r="A824" s="13" t="s">
        <v>445</v>
      </c>
      <c r="B824" s="5" t="s">
        <v>538</v>
      </c>
      <c r="C824" s="5" t="s">
        <v>48</v>
      </c>
      <c r="D824" s="5" t="s">
        <v>50</v>
      </c>
      <c r="E824" s="23"/>
      <c r="F824" s="23"/>
      <c r="G824" s="45">
        <f>G825</f>
        <v>56327000</v>
      </c>
      <c r="H824" s="45">
        <f>H825</f>
        <v>56327000</v>
      </c>
    </row>
    <row r="825" spans="1:8" ht="70.5" customHeight="1">
      <c r="A825" s="3" t="s">
        <v>102</v>
      </c>
      <c r="B825" s="4" t="s">
        <v>538</v>
      </c>
      <c r="C825" s="4" t="s">
        <v>48</v>
      </c>
      <c r="D825" s="4" t="s">
        <v>50</v>
      </c>
      <c r="E825" s="4" t="s">
        <v>552</v>
      </c>
      <c r="F825" s="4"/>
      <c r="G825" s="37">
        <f>G826+G835</f>
        <v>56327000</v>
      </c>
      <c r="H825" s="37">
        <f>H826+H835</f>
        <v>56327000</v>
      </c>
    </row>
    <row r="826" spans="1:8" ht="47.25">
      <c r="A826" s="3" t="s">
        <v>530</v>
      </c>
      <c r="B826" s="4" t="s">
        <v>538</v>
      </c>
      <c r="C826" s="4" t="s">
        <v>48</v>
      </c>
      <c r="D826" s="4" t="s">
        <v>50</v>
      </c>
      <c r="E826" s="4" t="s">
        <v>340</v>
      </c>
      <c r="F826" s="4"/>
      <c r="G826" s="37">
        <f>G827+G832</f>
        <v>17250200</v>
      </c>
      <c r="H826" s="37">
        <f>H827+H832</f>
        <v>17250200</v>
      </c>
    </row>
    <row r="827" spans="1:8" ht="63">
      <c r="A827" s="3" t="s">
        <v>1074</v>
      </c>
      <c r="B827" s="4" t="s">
        <v>538</v>
      </c>
      <c r="C827" s="4" t="s">
        <v>48</v>
      </c>
      <c r="D827" s="4" t="s">
        <v>50</v>
      </c>
      <c r="E827" s="4" t="s">
        <v>1075</v>
      </c>
      <c r="F827" s="4"/>
      <c r="G827" s="37">
        <f>G828</f>
        <v>420700</v>
      </c>
      <c r="H827" s="37">
        <f>H828</f>
        <v>420700</v>
      </c>
    </row>
    <row r="828" spans="1:8" ht="78.75">
      <c r="A828" s="3" t="s">
        <v>1076</v>
      </c>
      <c r="B828" s="281" t="s">
        <v>538</v>
      </c>
      <c r="C828" s="281" t="s">
        <v>48</v>
      </c>
      <c r="D828" s="281" t="s">
        <v>50</v>
      </c>
      <c r="E828" s="281" t="s">
        <v>1078</v>
      </c>
      <c r="F828" s="281"/>
      <c r="G828" s="280">
        <f>G830+G831</f>
        <v>420700</v>
      </c>
      <c r="H828" s="280">
        <f>H830+H831</f>
        <v>420700</v>
      </c>
    </row>
    <row r="829" spans="1:8" ht="110.25">
      <c r="A829" s="3" t="s">
        <v>1077</v>
      </c>
      <c r="B829" s="281"/>
      <c r="C829" s="281"/>
      <c r="D829" s="281"/>
      <c r="E829" s="281"/>
      <c r="F829" s="281"/>
      <c r="G829" s="280"/>
      <c r="H829" s="280"/>
    </row>
    <row r="830" spans="1:8" ht="47.25">
      <c r="A830" s="3" t="s">
        <v>701</v>
      </c>
      <c r="B830" s="4" t="s">
        <v>538</v>
      </c>
      <c r="C830" s="4" t="s">
        <v>48</v>
      </c>
      <c r="D830" s="4" t="s">
        <v>50</v>
      </c>
      <c r="E830" s="4" t="s">
        <v>1078</v>
      </c>
      <c r="F830" s="4" t="s">
        <v>605</v>
      </c>
      <c r="G830" s="37">
        <v>168257.5</v>
      </c>
      <c r="H830" s="37">
        <f>G830</f>
        <v>168257.5</v>
      </c>
    </row>
    <row r="831" spans="1:8" ht="63">
      <c r="A831" s="3" t="s">
        <v>525</v>
      </c>
      <c r="B831" s="4" t="s">
        <v>538</v>
      </c>
      <c r="C831" s="4" t="s">
        <v>48</v>
      </c>
      <c r="D831" s="4" t="s">
        <v>50</v>
      </c>
      <c r="E831" s="4" t="s">
        <v>1078</v>
      </c>
      <c r="F831" s="4" t="s">
        <v>609</v>
      </c>
      <c r="G831" s="37">
        <v>252442.5</v>
      </c>
      <c r="H831" s="37">
        <f>G831</f>
        <v>252442.5</v>
      </c>
    </row>
    <row r="832" spans="1:8" ht="47.25">
      <c r="A832" s="3" t="s">
        <v>373</v>
      </c>
      <c r="B832" s="4" t="s">
        <v>538</v>
      </c>
      <c r="C832" s="4" t="s">
        <v>48</v>
      </c>
      <c r="D832" s="4" t="s">
        <v>50</v>
      </c>
      <c r="E832" s="4" t="s">
        <v>1071</v>
      </c>
      <c r="F832" s="4"/>
      <c r="G832" s="37">
        <f>G833</f>
        <v>16829500</v>
      </c>
      <c r="H832" s="37">
        <f>H833</f>
        <v>16829500</v>
      </c>
    </row>
    <row r="833" spans="1:8" ht="110.25">
      <c r="A833" s="3" t="s">
        <v>1072</v>
      </c>
      <c r="B833" s="4" t="s">
        <v>538</v>
      </c>
      <c r="C833" s="4" t="s">
        <v>48</v>
      </c>
      <c r="D833" s="4" t="s">
        <v>50</v>
      </c>
      <c r="E833" s="4" t="s">
        <v>1073</v>
      </c>
      <c r="F833" s="4"/>
      <c r="G833" s="37">
        <f>G834</f>
        <v>16829500</v>
      </c>
      <c r="H833" s="37">
        <f>H834</f>
        <v>16829500</v>
      </c>
    </row>
    <row r="834" spans="1:10" ht="31.5">
      <c r="A834" s="3" t="s">
        <v>565</v>
      </c>
      <c r="B834" s="4" t="s">
        <v>538</v>
      </c>
      <c r="C834" s="4" t="s">
        <v>48</v>
      </c>
      <c r="D834" s="4" t="s">
        <v>50</v>
      </c>
      <c r="E834" s="4" t="s">
        <v>1073</v>
      </c>
      <c r="F834" s="4" t="s">
        <v>566</v>
      </c>
      <c r="G834" s="37">
        <v>16829500</v>
      </c>
      <c r="H834" s="37">
        <f>G834</f>
        <v>16829500</v>
      </c>
      <c r="J834" s="26"/>
    </row>
    <row r="835" spans="1:10" ht="74.25" customHeight="1">
      <c r="A835" s="21" t="s">
        <v>533</v>
      </c>
      <c r="B835" s="4" t="s">
        <v>538</v>
      </c>
      <c r="C835" s="4" t="s">
        <v>48</v>
      </c>
      <c r="D835" s="4" t="s">
        <v>50</v>
      </c>
      <c r="E835" s="4" t="s">
        <v>326</v>
      </c>
      <c r="F835" s="4"/>
      <c r="G835" s="37">
        <f>G836+G841+G844</f>
        <v>39076800</v>
      </c>
      <c r="H835" s="37">
        <f>H836+H841+H844</f>
        <v>39076800</v>
      </c>
      <c r="J835" s="26"/>
    </row>
    <row r="836" spans="1:8" ht="85.5" customHeight="1">
      <c r="A836" s="168" t="s">
        <v>154</v>
      </c>
      <c r="B836" s="4" t="s">
        <v>538</v>
      </c>
      <c r="C836" s="4" t="s">
        <v>48</v>
      </c>
      <c r="D836" s="4" t="s">
        <v>50</v>
      </c>
      <c r="E836" s="4" t="s">
        <v>157</v>
      </c>
      <c r="F836" s="4"/>
      <c r="G836" s="37">
        <f>G837</f>
        <v>4405000</v>
      </c>
      <c r="H836" s="37">
        <f>G836</f>
        <v>4405000</v>
      </c>
    </row>
    <row r="837" spans="1:8" ht="79.5" customHeight="1">
      <c r="A837" s="168" t="s">
        <v>155</v>
      </c>
      <c r="B837" s="281" t="s">
        <v>538</v>
      </c>
      <c r="C837" s="281" t="s">
        <v>48</v>
      </c>
      <c r="D837" s="281" t="s">
        <v>50</v>
      </c>
      <c r="E837" s="281" t="s">
        <v>158</v>
      </c>
      <c r="F837" s="281"/>
      <c r="G837" s="280">
        <f>G839+G840</f>
        <v>4405000</v>
      </c>
      <c r="H837" s="280">
        <f>H839+H840</f>
        <v>4405000</v>
      </c>
    </row>
    <row r="838" spans="1:8" ht="90" customHeight="1">
      <c r="A838" s="168" t="s">
        <v>156</v>
      </c>
      <c r="B838" s="281"/>
      <c r="C838" s="281"/>
      <c r="D838" s="281"/>
      <c r="E838" s="281"/>
      <c r="F838" s="281"/>
      <c r="G838" s="280"/>
      <c r="H838" s="280"/>
    </row>
    <row r="839" spans="1:8" ht="138" customHeight="1">
      <c r="A839" s="3" t="s">
        <v>92</v>
      </c>
      <c r="B839" s="4" t="s">
        <v>538</v>
      </c>
      <c r="C839" s="4" t="s">
        <v>48</v>
      </c>
      <c r="D839" s="4" t="s">
        <v>50</v>
      </c>
      <c r="E839" s="4" t="s">
        <v>158</v>
      </c>
      <c r="F839" s="4" t="s">
        <v>604</v>
      </c>
      <c r="G839" s="37">
        <f>3524723+29392.42</f>
        <v>3554115.42</v>
      </c>
      <c r="H839" s="37">
        <f>G839</f>
        <v>3554115.42</v>
      </c>
    </row>
    <row r="840" spans="1:8" ht="51" customHeight="1">
      <c r="A840" s="3" t="s">
        <v>701</v>
      </c>
      <c r="B840" s="4" t="s">
        <v>538</v>
      </c>
      <c r="C840" s="4" t="s">
        <v>48</v>
      </c>
      <c r="D840" s="4" t="s">
        <v>50</v>
      </c>
      <c r="E840" s="4" t="s">
        <v>158</v>
      </c>
      <c r="F840" s="4" t="s">
        <v>605</v>
      </c>
      <c r="G840" s="37">
        <f>880277-29392.42</f>
        <v>850884.58</v>
      </c>
      <c r="H840" s="37">
        <f>G840</f>
        <v>850884.58</v>
      </c>
    </row>
    <row r="841" spans="1:8" ht="104.25" customHeight="1">
      <c r="A841" s="168" t="s">
        <v>159</v>
      </c>
      <c r="B841" s="4" t="s">
        <v>538</v>
      </c>
      <c r="C841" s="4" t="s">
        <v>48</v>
      </c>
      <c r="D841" s="4" t="s">
        <v>50</v>
      </c>
      <c r="E841" s="4" t="s">
        <v>160</v>
      </c>
      <c r="F841" s="4"/>
      <c r="G841" s="37">
        <f>G842</f>
        <v>491500</v>
      </c>
      <c r="H841" s="37">
        <f>H842</f>
        <v>491500</v>
      </c>
    </row>
    <row r="842" spans="1:8" ht="147" customHeight="1">
      <c r="A842" s="168" t="s">
        <v>161</v>
      </c>
      <c r="B842" s="4" t="s">
        <v>538</v>
      </c>
      <c r="C842" s="4" t="s">
        <v>48</v>
      </c>
      <c r="D842" s="4" t="s">
        <v>50</v>
      </c>
      <c r="E842" s="4" t="s">
        <v>162</v>
      </c>
      <c r="F842" s="4"/>
      <c r="G842" s="37">
        <f>G843</f>
        <v>491500</v>
      </c>
      <c r="H842" s="37">
        <f>H843</f>
        <v>491500</v>
      </c>
    </row>
    <row r="843" spans="1:8" ht="31.5">
      <c r="A843" s="3" t="s">
        <v>565</v>
      </c>
      <c r="B843" s="4" t="s">
        <v>538</v>
      </c>
      <c r="C843" s="4" t="s">
        <v>48</v>
      </c>
      <c r="D843" s="4" t="s">
        <v>50</v>
      </c>
      <c r="E843" s="4" t="s">
        <v>162</v>
      </c>
      <c r="F843" s="4" t="s">
        <v>566</v>
      </c>
      <c r="G843" s="37">
        <v>491500</v>
      </c>
      <c r="H843" s="37">
        <f>G843</f>
        <v>491500</v>
      </c>
    </row>
    <row r="844" spans="1:8" ht="78.75">
      <c r="A844" s="168" t="s">
        <v>163</v>
      </c>
      <c r="B844" s="4" t="s">
        <v>538</v>
      </c>
      <c r="C844" s="4" t="s">
        <v>48</v>
      </c>
      <c r="D844" s="4" t="s">
        <v>50</v>
      </c>
      <c r="E844" s="4" t="s">
        <v>164</v>
      </c>
      <c r="F844" s="4"/>
      <c r="G844" s="37">
        <f>G845</f>
        <v>34180300</v>
      </c>
      <c r="H844" s="37">
        <f>H845</f>
        <v>34180300</v>
      </c>
    </row>
    <row r="845" spans="1:8" ht="78.75">
      <c r="A845" s="168" t="s">
        <v>165</v>
      </c>
      <c r="B845" s="4" t="s">
        <v>538</v>
      </c>
      <c r="C845" s="4" t="s">
        <v>48</v>
      </c>
      <c r="D845" s="4" t="s">
        <v>50</v>
      </c>
      <c r="E845" s="4" t="s">
        <v>166</v>
      </c>
      <c r="F845" s="4"/>
      <c r="G845" s="37">
        <f>G846+G847</f>
        <v>34180300</v>
      </c>
      <c r="H845" s="37">
        <f>H846+H847</f>
        <v>34180300</v>
      </c>
    </row>
    <row r="846" spans="1:8" ht="46.5" hidden="1">
      <c r="A846" s="3" t="s">
        <v>701</v>
      </c>
      <c r="B846" s="4" t="s">
        <v>538</v>
      </c>
      <c r="C846" s="4" t="s">
        <v>48</v>
      </c>
      <c r="D846" s="4" t="s">
        <v>50</v>
      </c>
      <c r="E846" s="4" t="s">
        <v>166</v>
      </c>
      <c r="F846" s="4" t="s">
        <v>605</v>
      </c>
      <c r="G846" s="37">
        <f>12275000-12275000</f>
        <v>0</v>
      </c>
      <c r="H846" s="37">
        <f>G846</f>
        <v>0</v>
      </c>
    </row>
    <row r="847" spans="1:8" ht="31.5">
      <c r="A847" s="6" t="s">
        <v>565</v>
      </c>
      <c r="B847" s="7" t="s">
        <v>538</v>
      </c>
      <c r="C847" s="7" t="s">
        <v>48</v>
      </c>
      <c r="D847" s="7" t="s">
        <v>50</v>
      </c>
      <c r="E847" s="7" t="s">
        <v>166</v>
      </c>
      <c r="F847" s="7" t="s">
        <v>566</v>
      </c>
      <c r="G847" s="205">
        <f>21905300+12275000</f>
        <v>34180300</v>
      </c>
      <c r="H847" s="205">
        <f>G847</f>
        <v>34180300</v>
      </c>
    </row>
    <row r="848" spans="1:13" s="14" customFormat="1" ht="78">
      <c r="A848" s="34" t="s">
        <v>443</v>
      </c>
      <c r="B848" s="24" t="s">
        <v>11</v>
      </c>
      <c r="C848" s="11"/>
      <c r="D848" s="11"/>
      <c r="E848" s="11"/>
      <c r="F848" s="11"/>
      <c r="G848" s="35">
        <f>G849+G872+G882+G920+G1008+G1023</f>
        <v>266311222.78</v>
      </c>
      <c r="H848" s="35">
        <f>H882+H920+H1008</f>
        <v>9725090</v>
      </c>
      <c r="I848" s="51"/>
      <c r="J848" s="51"/>
      <c r="M848" s="160"/>
    </row>
    <row r="849" spans="1:13" s="14" customFormat="1" ht="31.5">
      <c r="A849" s="1" t="s">
        <v>59</v>
      </c>
      <c r="B849" s="2" t="s">
        <v>11</v>
      </c>
      <c r="C849" s="2" t="s">
        <v>917</v>
      </c>
      <c r="D849" s="9"/>
      <c r="E849" s="2"/>
      <c r="F849" s="2"/>
      <c r="G849" s="33">
        <f>G850+G858</f>
        <v>7164506.45</v>
      </c>
      <c r="H849" s="36"/>
      <c r="I849" s="51"/>
      <c r="M849" s="160"/>
    </row>
    <row r="850" spans="1:13" s="14" customFormat="1" ht="94.5">
      <c r="A850" s="1" t="s">
        <v>599</v>
      </c>
      <c r="B850" s="2" t="s">
        <v>11</v>
      </c>
      <c r="C850" s="2" t="s">
        <v>917</v>
      </c>
      <c r="D850" s="2" t="s">
        <v>50</v>
      </c>
      <c r="E850" s="2"/>
      <c r="F850" s="2"/>
      <c r="G850" s="33">
        <f>G852</f>
        <v>7021560</v>
      </c>
      <c r="H850" s="36"/>
      <c r="I850" s="51"/>
      <c r="M850" s="160"/>
    </row>
    <row r="851" spans="1:13" s="14" customFormat="1" ht="63">
      <c r="A851" s="27" t="s">
        <v>104</v>
      </c>
      <c r="B851" s="4" t="s">
        <v>11</v>
      </c>
      <c r="C851" s="4" t="s">
        <v>917</v>
      </c>
      <c r="D851" s="4" t="s">
        <v>50</v>
      </c>
      <c r="E851" s="4" t="s">
        <v>705</v>
      </c>
      <c r="F851" s="2"/>
      <c r="G851" s="33">
        <f>G852</f>
        <v>7021560</v>
      </c>
      <c r="H851" s="36"/>
      <c r="I851" s="51"/>
      <c r="M851" s="160"/>
    </row>
    <row r="852" spans="1:13" s="14" customFormat="1" ht="78.75">
      <c r="A852" s="21" t="s">
        <v>139</v>
      </c>
      <c r="B852" s="4" t="s">
        <v>11</v>
      </c>
      <c r="C852" s="4" t="s">
        <v>917</v>
      </c>
      <c r="D852" s="4" t="s">
        <v>50</v>
      </c>
      <c r="E852" s="4" t="s">
        <v>677</v>
      </c>
      <c r="F852" s="4"/>
      <c r="G852" s="29">
        <f>G853</f>
        <v>7021560</v>
      </c>
      <c r="H852" s="36"/>
      <c r="I852" s="51"/>
      <c r="M852" s="160"/>
    </row>
    <row r="853" spans="1:13" s="14" customFormat="1" ht="63">
      <c r="A853" s="21" t="s">
        <v>678</v>
      </c>
      <c r="B853" s="4" t="s">
        <v>11</v>
      </c>
      <c r="C853" s="4" t="s">
        <v>917</v>
      </c>
      <c r="D853" s="4" t="s">
        <v>50</v>
      </c>
      <c r="E853" s="4" t="s">
        <v>679</v>
      </c>
      <c r="F853" s="4"/>
      <c r="G853" s="29">
        <f>G854+G856</f>
        <v>7021560</v>
      </c>
      <c r="H853" s="36"/>
      <c r="I853" s="51"/>
      <c r="M853" s="160"/>
    </row>
    <row r="854" spans="1:13" s="14" customFormat="1" ht="47.25">
      <c r="A854" s="21" t="s">
        <v>589</v>
      </c>
      <c r="B854" s="4" t="s">
        <v>11</v>
      </c>
      <c r="C854" s="4" t="s">
        <v>917</v>
      </c>
      <c r="D854" s="4" t="s">
        <v>50</v>
      </c>
      <c r="E854" s="4" t="s">
        <v>680</v>
      </c>
      <c r="F854" s="4"/>
      <c r="G854" s="29">
        <f>G855</f>
        <v>6916196.46</v>
      </c>
      <c r="H854" s="36"/>
      <c r="I854" s="51"/>
      <c r="M854" s="160"/>
    </row>
    <row r="855" spans="1:13" s="14" customFormat="1" ht="110.25">
      <c r="A855" s="21" t="s">
        <v>506</v>
      </c>
      <c r="B855" s="4" t="s">
        <v>11</v>
      </c>
      <c r="C855" s="4" t="s">
        <v>917</v>
      </c>
      <c r="D855" s="4" t="s">
        <v>50</v>
      </c>
      <c r="E855" s="4" t="s">
        <v>680</v>
      </c>
      <c r="F855" s="4" t="s">
        <v>604</v>
      </c>
      <c r="G855" s="29">
        <v>6916196.46</v>
      </c>
      <c r="H855" s="36"/>
      <c r="I855" s="51"/>
      <c r="M855" s="160"/>
    </row>
    <row r="856" spans="1:13" s="14" customFormat="1" ht="94.5">
      <c r="A856" s="21" t="s">
        <v>587</v>
      </c>
      <c r="B856" s="4" t="s">
        <v>11</v>
      </c>
      <c r="C856" s="4" t="s">
        <v>917</v>
      </c>
      <c r="D856" s="4" t="s">
        <v>50</v>
      </c>
      <c r="E856" s="4" t="s">
        <v>681</v>
      </c>
      <c r="F856" s="4"/>
      <c r="G856" s="29">
        <f>G857</f>
        <v>105363.54</v>
      </c>
      <c r="H856" s="36"/>
      <c r="I856" s="51"/>
      <c r="M856" s="160"/>
    </row>
    <row r="857" spans="1:13" s="14" customFormat="1" ht="110.25">
      <c r="A857" s="21" t="s">
        <v>506</v>
      </c>
      <c r="B857" s="4" t="s">
        <v>11</v>
      </c>
      <c r="C857" s="4" t="s">
        <v>917</v>
      </c>
      <c r="D857" s="4" t="s">
        <v>50</v>
      </c>
      <c r="E857" s="4" t="s">
        <v>681</v>
      </c>
      <c r="F857" s="4" t="s">
        <v>604</v>
      </c>
      <c r="G857" s="29">
        <v>105363.54</v>
      </c>
      <c r="H857" s="36"/>
      <c r="I857" s="51"/>
      <c r="J857" s="51"/>
      <c r="M857" s="160"/>
    </row>
    <row r="858" spans="1:13" s="14" customFormat="1" ht="31.5">
      <c r="A858" s="1" t="s">
        <v>741</v>
      </c>
      <c r="B858" s="2" t="s">
        <v>11</v>
      </c>
      <c r="C858" s="2" t="s">
        <v>917</v>
      </c>
      <c r="D858" s="2" t="s">
        <v>602</v>
      </c>
      <c r="E858" s="2"/>
      <c r="F858" s="2"/>
      <c r="G858" s="33">
        <f>G859</f>
        <v>142946.45</v>
      </c>
      <c r="H858" s="36"/>
      <c r="I858" s="51"/>
      <c r="M858" s="160"/>
    </row>
    <row r="859" spans="1:13" s="14" customFormat="1" ht="63">
      <c r="A859" s="27" t="s">
        <v>104</v>
      </c>
      <c r="B859" s="4" t="s">
        <v>11</v>
      </c>
      <c r="C859" s="4" t="s">
        <v>917</v>
      </c>
      <c r="D859" s="4" t="s">
        <v>602</v>
      </c>
      <c r="E859" s="4" t="s">
        <v>705</v>
      </c>
      <c r="F859" s="2"/>
      <c r="G859" s="29">
        <f>G864+G860</f>
        <v>142946.45</v>
      </c>
      <c r="H859" s="36"/>
      <c r="I859" s="51"/>
      <c r="M859" s="160"/>
    </row>
    <row r="860" spans="1:13" s="14" customFormat="1" ht="78.75">
      <c r="A860" s="27" t="s">
        <v>1164</v>
      </c>
      <c r="B860" s="4" t="s">
        <v>11</v>
      </c>
      <c r="C860" s="4" t="s">
        <v>917</v>
      </c>
      <c r="D860" s="4" t="s">
        <v>602</v>
      </c>
      <c r="E860" s="4" t="s">
        <v>677</v>
      </c>
      <c r="F860" s="4"/>
      <c r="G860" s="29">
        <f>G861</f>
        <v>12836.5</v>
      </c>
      <c r="H860" s="36"/>
      <c r="I860" s="51"/>
      <c r="M860" s="160"/>
    </row>
    <row r="861" spans="1:13" s="14" customFormat="1" ht="63">
      <c r="A861" s="27" t="s">
        <v>678</v>
      </c>
      <c r="B861" s="4" t="s">
        <v>11</v>
      </c>
      <c r="C861" s="4" t="s">
        <v>917</v>
      </c>
      <c r="D861" s="4" t="s">
        <v>602</v>
      </c>
      <c r="E861" s="4" t="s">
        <v>679</v>
      </c>
      <c r="F861" s="4"/>
      <c r="G861" s="29">
        <f>G862</f>
        <v>12836.5</v>
      </c>
      <c r="H861" s="36"/>
      <c r="I861" s="51"/>
      <c r="M861" s="160"/>
    </row>
    <row r="862" spans="1:13" s="14" customFormat="1" ht="31.5">
      <c r="A862" s="27" t="s">
        <v>523</v>
      </c>
      <c r="B862" s="4" t="s">
        <v>11</v>
      </c>
      <c r="C862" s="4" t="s">
        <v>917</v>
      </c>
      <c r="D862" s="4" t="s">
        <v>602</v>
      </c>
      <c r="E862" s="4" t="s">
        <v>1165</v>
      </c>
      <c r="F862" s="4"/>
      <c r="G862" s="29">
        <f>G863</f>
        <v>12836.5</v>
      </c>
      <c r="H862" s="36"/>
      <c r="I862" s="51"/>
      <c r="M862" s="160"/>
    </row>
    <row r="863" spans="1:13" s="14" customFormat="1" ht="31.5">
      <c r="A863" s="3" t="s">
        <v>565</v>
      </c>
      <c r="B863" s="4" t="s">
        <v>11</v>
      </c>
      <c r="C863" s="4" t="s">
        <v>917</v>
      </c>
      <c r="D863" s="4" t="s">
        <v>602</v>
      </c>
      <c r="E863" s="4" t="s">
        <v>1165</v>
      </c>
      <c r="F863" s="4" t="s">
        <v>566</v>
      </c>
      <c r="G863" s="29">
        <f>12836.5</f>
        <v>12836.5</v>
      </c>
      <c r="H863" s="36"/>
      <c r="I863" s="51"/>
      <c r="M863" s="160"/>
    </row>
    <row r="864" spans="1:13" s="14" customFormat="1" ht="47.25">
      <c r="A864" s="3" t="s">
        <v>133</v>
      </c>
      <c r="B864" s="4" t="s">
        <v>11</v>
      </c>
      <c r="C864" s="4" t="s">
        <v>917</v>
      </c>
      <c r="D864" s="4" t="s">
        <v>602</v>
      </c>
      <c r="E864" s="4" t="s">
        <v>708</v>
      </c>
      <c r="F864" s="4"/>
      <c r="G864" s="29">
        <f>G865+G869</f>
        <v>130109.95</v>
      </c>
      <c r="H864" s="36"/>
      <c r="I864" s="51"/>
      <c r="M864" s="160"/>
    </row>
    <row r="865" spans="1:13" s="14" customFormat="1" ht="78.75">
      <c r="A865" s="3" t="s">
        <v>711</v>
      </c>
      <c r="B865" s="4" t="s">
        <v>11</v>
      </c>
      <c r="C865" s="4" t="s">
        <v>917</v>
      </c>
      <c r="D865" s="4" t="s">
        <v>602</v>
      </c>
      <c r="E865" s="4" t="s">
        <v>673</v>
      </c>
      <c r="F865" s="60"/>
      <c r="G865" s="29">
        <f>G866</f>
        <v>81209.95</v>
      </c>
      <c r="H865" s="36"/>
      <c r="I865" s="51"/>
      <c r="M865" s="160"/>
    </row>
    <row r="866" spans="1:13" s="14" customFormat="1" ht="48" customHeight="1">
      <c r="A866" s="3" t="s">
        <v>590</v>
      </c>
      <c r="B866" s="4" t="s">
        <v>11</v>
      </c>
      <c r="C866" s="4" t="s">
        <v>917</v>
      </c>
      <c r="D866" s="4" t="s">
        <v>602</v>
      </c>
      <c r="E866" s="4" t="s">
        <v>1111</v>
      </c>
      <c r="F866" s="60"/>
      <c r="G866" s="29">
        <f>G867+G868</f>
        <v>81209.95</v>
      </c>
      <c r="H866" s="36"/>
      <c r="I866" s="51"/>
      <c r="M866" s="160"/>
    </row>
    <row r="867" spans="1:13" s="14" customFormat="1" ht="110.25">
      <c r="A867" s="3" t="s">
        <v>506</v>
      </c>
      <c r="B867" s="4" t="s">
        <v>11</v>
      </c>
      <c r="C867" s="4" t="s">
        <v>917</v>
      </c>
      <c r="D867" s="4" t="s">
        <v>602</v>
      </c>
      <c r="E867" s="4" t="s">
        <v>1111</v>
      </c>
      <c r="F867" s="60">
        <v>100</v>
      </c>
      <c r="G867" s="29">
        <v>34296.95</v>
      </c>
      <c r="H867" s="36"/>
      <c r="I867" s="51"/>
      <c r="M867" s="160"/>
    </row>
    <row r="868" spans="1:13" s="14" customFormat="1" ht="47.25">
      <c r="A868" s="3" t="s">
        <v>701</v>
      </c>
      <c r="B868" s="4" t="s">
        <v>11</v>
      </c>
      <c r="C868" s="4" t="s">
        <v>917</v>
      </c>
      <c r="D868" s="4" t="s">
        <v>602</v>
      </c>
      <c r="E868" s="4" t="s">
        <v>1111</v>
      </c>
      <c r="F868" s="60">
        <v>200</v>
      </c>
      <c r="G868" s="29">
        <v>46913</v>
      </c>
      <c r="H868" s="36"/>
      <c r="I868" s="51"/>
      <c r="M868" s="160"/>
    </row>
    <row r="869" spans="1:13" s="14" customFormat="1" ht="31.5">
      <c r="A869" s="3" t="s">
        <v>217</v>
      </c>
      <c r="B869" s="4" t="s">
        <v>11</v>
      </c>
      <c r="C869" s="4" t="s">
        <v>917</v>
      </c>
      <c r="D869" s="4" t="s">
        <v>602</v>
      </c>
      <c r="E869" s="4" t="s">
        <v>218</v>
      </c>
      <c r="F869" s="60"/>
      <c r="G869" s="29">
        <f>G871</f>
        <v>48900</v>
      </c>
      <c r="H869" s="36"/>
      <c r="I869" s="51"/>
      <c r="M869" s="160"/>
    </row>
    <row r="870" spans="1:13" s="14" customFormat="1" ht="47.25">
      <c r="A870" s="3" t="s">
        <v>590</v>
      </c>
      <c r="B870" s="4" t="s">
        <v>11</v>
      </c>
      <c r="C870" s="4" t="s">
        <v>917</v>
      </c>
      <c r="D870" s="4" t="s">
        <v>602</v>
      </c>
      <c r="E870" s="4" t="s">
        <v>1112</v>
      </c>
      <c r="F870" s="60"/>
      <c r="G870" s="29">
        <f>G871</f>
        <v>48900</v>
      </c>
      <c r="H870" s="36"/>
      <c r="I870" s="51"/>
      <c r="M870" s="160"/>
    </row>
    <row r="871" spans="1:13" s="14" customFormat="1" ht="47.25">
      <c r="A871" s="3" t="s">
        <v>701</v>
      </c>
      <c r="B871" s="4" t="s">
        <v>11</v>
      </c>
      <c r="C871" s="4" t="s">
        <v>917</v>
      </c>
      <c r="D871" s="4" t="s">
        <v>602</v>
      </c>
      <c r="E871" s="4" t="s">
        <v>1112</v>
      </c>
      <c r="F871" s="60">
        <v>200</v>
      </c>
      <c r="G871" s="29">
        <v>48900</v>
      </c>
      <c r="H871" s="36"/>
      <c r="I871" s="51"/>
      <c r="M871" s="160"/>
    </row>
    <row r="872" spans="1:13" s="14" customFormat="1" ht="18.75">
      <c r="A872" s="13" t="s">
        <v>61</v>
      </c>
      <c r="B872" s="5" t="s">
        <v>11</v>
      </c>
      <c r="C872" s="5" t="s">
        <v>50</v>
      </c>
      <c r="D872" s="5"/>
      <c r="E872" s="5"/>
      <c r="F872" s="5"/>
      <c r="G872" s="28">
        <f>G873</f>
        <v>2074126.33</v>
      </c>
      <c r="H872" s="35"/>
      <c r="I872" s="51"/>
      <c r="M872" s="160"/>
    </row>
    <row r="873" spans="1:13" s="14" customFormat="1" ht="18.75">
      <c r="A873" s="3" t="s">
        <v>597</v>
      </c>
      <c r="B873" s="4" t="s">
        <v>11</v>
      </c>
      <c r="C873" s="4" t="s">
        <v>50</v>
      </c>
      <c r="D873" s="4" t="s">
        <v>48</v>
      </c>
      <c r="E873" s="4"/>
      <c r="F873" s="4"/>
      <c r="G873" s="29">
        <f>G874</f>
        <v>2074126.33</v>
      </c>
      <c r="H873" s="36"/>
      <c r="I873" s="51"/>
      <c r="M873" s="160"/>
    </row>
    <row r="874" spans="1:13" s="14" customFormat="1" ht="47.25">
      <c r="A874" s="3" t="s">
        <v>1034</v>
      </c>
      <c r="B874" s="4" t="s">
        <v>11</v>
      </c>
      <c r="C874" s="4" t="s">
        <v>50</v>
      </c>
      <c r="D874" s="4" t="s">
        <v>48</v>
      </c>
      <c r="E874" s="4" t="s">
        <v>712</v>
      </c>
      <c r="F874" s="4"/>
      <c r="G874" s="29">
        <f>G875</f>
        <v>2074126.33</v>
      </c>
      <c r="H874" s="36"/>
      <c r="I874" s="51"/>
      <c r="M874" s="160"/>
    </row>
    <row r="875" spans="1:13" s="14" customFormat="1" ht="63">
      <c r="A875" s="3" t="s">
        <v>94</v>
      </c>
      <c r="B875" s="4" t="s">
        <v>11</v>
      </c>
      <c r="C875" s="4" t="s">
        <v>50</v>
      </c>
      <c r="D875" s="4" t="s">
        <v>48</v>
      </c>
      <c r="E875" s="4" t="s">
        <v>713</v>
      </c>
      <c r="F875" s="4"/>
      <c r="G875" s="29">
        <f>G876+G879</f>
        <v>2074126.33</v>
      </c>
      <c r="H875" s="36"/>
      <c r="I875" s="51"/>
      <c r="M875" s="160"/>
    </row>
    <row r="876" spans="1:13" s="14" customFormat="1" ht="47.25">
      <c r="A876" s="3" t="s">
        <v>299</v>
      </c>
      <c r="B876" s="4" t="s">
        <v>11</v>
      </c>
      <c r="C876" s="4" t="s">
        <v>50</v>
      </c>
      <c r="D876" s="4" t="s">
        <v>48</v>
      </c>
      <c r="E876" s="4" t="s">
        <v>300</v>
      </c>
      <c r="F876" s="4"/>
      <c r="G876" s="29">
        <f>G877</f>
        <v>566766.33</v>
      </c>
      <c r="H876" s="36"/>
      <c r="I876" s="51"/>
      <c r="M876" s="160"/>
    </row>
    <row r="877" spans="1:13" s="14" customFormat="1" ht="31.5">
      <c r="A877" s="3" t="s">
        <v>523</v>
      </c>
      <c r="B877" s="4" t="s">
        <v>11</v>
      </c>
      <c r="C877" s="4" t="s">
        <v>50</v>
      </c>
      <c r="D877" s="4" t="s">
        <v>48</v>
      </c>
      <c r="E877" s="4" t="s">
        <v>301</v>
      </c>
      <c r="F877" s="4"/>
      <c r="G877" s="29">
        <f>G878</f>
        <v>566766.33</v>
      </c>
      <c r="H877" s="36"/>
      <c r="I877" s="51"/>
      <c r="M877" s="160"/>
    </row>
    <row r="878" spans="1:13" s="14" customFormat="1" ht="47.25">
      <c r="A878" s="3" t="s">
        <v>701</v>
      </c>
      <c r="B878" s="4" t="s">
        <v>11</v>
      </c>
      <c r="C878" s="4" t="s">
        <v>50</v>
      </c>
      <c r="D878" s="4" t="s">
        <v>48</v>
      </c>
      <c r="E878" s="4" t="s">
        <v>301</v>
      </c>
      <c r="F878" s="4" t="s">
        <v>605</v>
      </c>
      <c r="G878" s="29">
        <f>619602.83-40000-12836.5</f>
        <v>566766.33</v>
      </c>
      <c r="H878" s="36"/>
      <c r="I878" s="51"/>
      <c r="M878" s="160"/>
    </row>
    <row r="879" spans="1:13" s="14" customFormat="1" ht="47.25">
      <c r="A879" s="3" t="s">
        <v>307</v>
      </c>
      <c r="B879" s="4" t="s">
        <v>11</v>
      </c>
      <c r="C879" s="4" t="s">
        <v>50</v>
      </c>
      <c r="D879" s="4" t="s">
        <v>48</v>
      </c>
      <c r="E879" s="4" t="s">
        <v>308</v>
      </c>
      <c r="F879" s="4"/>
      <c r="G879" s="29">
        <f>G880</f>
        <v>1507360</v>
      </c>
      <c r="H879" s="36"/>
      <c r="I879" s="51"/>
      <c r="M879" s="160"/>
    </row>
    <row r="880" spans="1:13" s="14" customFormat="1" ht="31.5">
      <c r="A880" s="3" t="s">
        <v>523</v>
      </c>
      <c r="B880" s="4" t="s">
        <v>11</v>
      </c>
      <c r="C880" s="4" t="s">
        <v>50</v>
      </c>
      <c r="D880" s="4" t="s">
        <v>48</v>
      </c>
      <c r="E880" s="4" t="s">
        <v>309</v>
      </c>
      <c r="F880" s="4"/>
      <c r="G880" s="29">
        <f>G881</f>
        <v>1507360</v>
      </c>
      <c r="H880" s="36"/>
      <c r="I880" s="51"/>
      <c r="M880" s="160"/>
    </row>
    <row r="881" spans="1:13" s="14" customFormat="1" ht="63">
      <c r="A881" s="3" t="s">
        <v>525</v>
      </c>
      <c r="B881" s="4" t="s">
        <v>11</v>
      </c>
      <c r="C881" s="4" t="s">
        <v>50</v>
      </c>
      <c r="D881" s="4" t="s">
        <v>48</v>
      </c>
      <c r="E881" s="4" t="s">
        <v>309</v>
      </c>
      <c r="F881" s="4" t="s">
        <v>609</v>
      </c>
      <c r="G881" s="29">
        <f>1602320-70000-24960</f>
        <v>1507360</v>
      </c>
      <c r="H881" s="36"/>
      <c r="I881" s="51"/>
      <c r="M881" s="160"/>
    </row>
    <row r="882" spans="1:13" s="14" customFormat="1" ht="18.75">
      <c r="A882" s="13" t="s">
        <v>51</v>
      </c>
      <c r="B882" s="5" t="s">
        <v>11</v>
      </c>
      <c r="C882" s="5" t="s">
        <v>43</v>
      </c>
      <c r="D882" s="5"/>
      <c r="E882" s="5"/>
      <c r="F882" s="5"/>
      <c r="G882" s="28">
        <f>G883+G896</f>
        <v>78583034</v>
      </c>
      <c r="H882" s="28">
        <f>H883</f>
        <v>264254</v>
      </c>
      <c r="I882" s="51"/>
      <c r="M882" s="160"/>
    </row>
    <row r="883" spans="1:13" s="14" customFormat="1" ht="18.75">
      <c r="A883" s="1" t="s">
        <v>53</v>
      </c>
      <c r="B883" s="2" t="s">
        <v>11</v>
      </c>
      <c r="C883" s="2" t="s">
        <v>43</v>
      </c>
      <c r="D883" s="2" t="s">
        <v>45</v>
      </c>
      <c r="E883" s="2"/>
      <c r="F883" s="2"/>
      <c r="G883" s="33">
        <f>G884</f>
        <v>59433265</v>
      </c>
      <c r="H883" s="33">
        <f>H884</f>
        <v>264254</v>
      </c>
      <c r="I883" s="51"/>
      <c r="M883" s="160"/>
    </row>
    <row r="884" spans="1:13" s="14" customFormat="1" ht="63">
      <c r="A884" s="3" t="s">
        <v>107</v>
      </c>
      <c r="B884" s="4" t="s">
        <v>11</v>
      </c>
      <c r="C884" s="4" t="s">
        <v>43</v>
      </c>
      <c r="D884" s="4" t="s">
        <v>45</v>
      </c>
      <c r="E884" s="4" t="s">
        <v>682</v>
      </c>
      <c r="F884" s="4"/>
      <c r="G884" s="29">
        <f>G885</f>
        <v>59433265</v>
      </c>
      <c r="H884" s="29">
        <f>H885</f>
        <v>264254</v>
      </c>
      <c r="I884" s="51"/>
      <c r="M884" s="160"/>
    </row>
    <row r="885" spans="1:13" s="14" customFormat="1" ht="63">
      <c r="A885" s="3" t="s">
        <v>150</v>
      </c>
      <c r="B885" s="4" t="s">
        <v>11</v>
      </c>
      <c r="C885" s="4" t="s">
        <v>43</v>
      </c>
      <c r="D885" s="4" t="s">
        <v>45</v>
      </c>
      <c r="E885" s="4" t="s">
        <v>683</v>
      </c>
      <c r="F885" s="4"/>
      <c r="G885" s="29">
        <f>G886+G893</f>
        <v>59433265</v>
      </c>
      <c r="H885" s="29">
        <f>H886</f>
        <v>264254</v>
      </c>
      <c r="I885" s="51"/>
      <c r="M885" s="160"/>
    </row>
    <row r="886" spans="1:13" s="14" customFormat="1" ht="47.25">
      <c r="A886" s="3" t="s">
        <v>684</v>
      </c>
      <c r="B886" s="4" t="s">
        <v>11</v>
      </c>
      <c r="C886" s="4" t="s">
        <v>43</v>
      </c>
      <c r="D886" s="4" t="s">
        <v>45</v>
      </c>
      <c r="E886" s="4" t="s">
        <v>685</v>
      </c>
      <c r="F886" s="4"/>
      <c r="G886" s="29">
        <f>G887+G890+G892</f>
        <v>59388140</v>
      </c>
      <c r="H886" s="29">
        <f>H890</f>
        <v>264254</v>
      </c>
      <c r="I886" s="51"/>
      <c r="M886" s="160"/>
    </row>
    <row r="887" spans="1:13" s="14" customFormat="1" ht="94.5">
      <c r="A887" s="3" t="s">
        <v>749</v>
      </c>
      <c r="B887" s="4" t="s">
        <v>11</v>
      </c>
      <c r="C887" s="4" t="s">
        <v>43</v>
      </c>
      <c r="D887" s="4" t="s">
        <v>45</v>
      </c>
      <c r="E887" s="4" t="s">
        <v>686</v>
      </c>
      <c r="F887" s="4"/>
      <c r="G887" s="29">
        <f>G888</f>
        <v>58502046</v>
      </c>
      <c r="H887" s="33"/>
      <c r="I887" s="51"/>
      <c r="M887" s="160"/>
    </row>
    <row r="888" spans="1:13" s="14" customFormat="1" ht="63">
      <c r="A888" s="3" t="s">
        <v>525</v>
      </c>
      <c r="B888" s="4" t="s">
        <v>11</v>
      </c>
      <c r="C888" s="4" t="s">
        <v>43</v>
      </c>
      <c r="D888" s="4" t="s">
        <v>45</v>
      </c>
      <c r="E888" s="4" t="s">
        <v>686</v>
      </c>
      <c r="F888" s="4" t="s">
        <v>609</v>
      </c>
      <c r="G888" s="29">
        <v>58502046</v>
      </c>
      <c r="H888" s="33"/>
      <c r="I888" s="51"/>
      <c r="M888" s="160"/>
    </row>
    <row r="889" spans="1:13" s="14" customFormat="1" ht="126">
      <c r="A889" s="3" t="s">
        <v>859</v>
      </c>
      <c r="B889" s="4" t="s">
        <v>11</v>
      </c>
      <c r="C889" s="4" t="s">
        <v>43</v>
      </c>
      <c r="D889" s="4" t="s">
        <v>45</v>
      </c>
      <c r="E889" s="4" t="s">
        <v>687</v>
      </c>
      <c r="F889" s="4"/>
      <c r="G889" s="29">
        <f>G890</f>
        <v>264254</v>
      </c>
      <c r="H889" s="29">
        <f>H890</f>
        <v>264254</v>
      </c>
      <c r="I889" s="51"/>
      <c r="M889" s="160"/>
    </row>
    <row r="890" spans="1:13" s="14" customFormat="1" ht="63">
      <c r="A890" s="3" t="s">
        <v>525</v>
      </c>
      <c r="B890" s="4" t="s">
        <v>11</v>
      </c>
      <c r="C890" s="4" t="s">
        <v>43</v>
      </c>
      <c r="D890" s="4" t="s">
        <v>45</v>
      </c>
      <c r="E890" s="4" t="s">
        <v>687</v>
      </c>
      <c r="F890" s="4" t="s">
        <v>609</v>
      </c>
      <c r="G890" s="29">
        <v>264254</v>
      </c>
      <c r="H890" s="29">
        <v>264254</v>
      </c>
      <c r="I890" s="51"/>
      <c r="M890" s="160"/>
    </row>
    <row r="891" spans="1:13" s="14" customFormat="1" ht="126">
      <c r="A891" s="3" t="s">
        <v>859</v>
      </c>
      <c r="B891" s="4" t="s">
        <v>11</v>
      </c>
      <c r="C891" s="4" t="s">
        <v>43</v>
      </c>
      <c r="D891" s="4" t="s">
        <v>45</v>
      </c>
      <c r="E891" s="4" t="s">
        <v>688</v>
      </c>
      <c r="F891" s="4"/>
      <c r="G891" s="29">
        <f>G892</f>
        <v>621840</v>
      </c>
      <c r="H891" s="33"/>
      <c r="I891" s="51"/>
      <c r="M891" s="160"/>
    </row>
    <row r="892" spans="1:13" s="14" customFormat="1" ht="63">
      <c r="A892" s="3" t="s">
        <v>525</v>
      </c>
      <c r="B892" s="4" t="s">
        <v>11</v>
      </c>
      <c r="C892" s="4" t="s">
        <v>43</v>
      </c>
      <c r="D892" s="4" t="s">
        <v>45</v>
      </c>
      <c r="E892" s="4" t="s">
        <v>688</v>
      </c>
      <c r="F892" s="4" t="s">
        <v>609</v>
      </c>
      <c r="G892" s="29">
        <v>621840</v>
      </c>
      <c r="H892" s="33"/>
      <c r="I892" s="51"/>
      <c r="M892" s="160"/>
    </row>
    <row r="893" spans="1:13" s="14" customFormat="1" ht="63">
      <c r="A893" s="3" t="s">
        <v>71</v>
      </c>
      <c r="B893" s="4" t="s">
        <v>11</v>
      </c>
      <c r="C893" s="4" t="s">
        <v>43</v>
      </c>
      <c r="D893" s="4" t="s">
        <v>45</v>
      </c>
      <c r="E893" s="4" t="s">
        <v>393</v>
      </c>
      <c r="F893" s="4"/>
      <c r="G893" s="29">
        <f>G895</f>
        <v>45125</v>
      </c>
      <c r="H893" s="33"/>
      <c r="I893" s="51"/>
      <c r="M893" s="160"/>
    </row>
    <row r="894" spans="1:13" s="14" customFormat="1" ht="94.5">
      <c r="A894" s="3" t="s">
        <v>749</v>
      </c>
      <c r="B894" s="4" t="s">
        <v>11</v>
      </c>
      <c r="C894" s="4" t="s">
        <v>43</v>
      </c>
      <c r="D894" s="4" t="s">
        <v>45</v>
      </c>
      <c r="E894" s="4" t="s">
        <v>394</v>
      </c>
      <c r="F894" s="4"/>
      <c r="G894" s="29">
        <f>G895</f>
        <v>45125</v>
      </c>
      <c r="H894" s="33"/>
      <c r="I894" s="51"/>
      <c r="M894" s="160"/>
    </row>
    <row r="895" spans="1:13" s="14" customFormat="1" ht="63">
      <c r="A895" s="3" t="s">
        <v>525</v>
      </c>
      <c r="B895" s="4" t="s">
        <v>11</v>
      </c>
      <c r="C895" s="4" t="s">
        <v>43</v>
      </c>
      <c r="D895" s="4" t="s">
        <v>45</v>
      </c>
      <c r="E895" s="4" t="s">
        <v>394</v>
      </c>
      <c r="F895" s="4" t="s">
        <v>609</v>
      </c>
      <c r="G895" s="29">
        <v>45125</v>
      </c>
      <c r="H895" s="33"/>
      <c r="I895" s="51"/>
      <c r="M895" s="160"/>
    </row>
    <row r="896" spans="1:13" s="14" customFormat="1" ht="31.5">
      <c r="A896" s="1" t="s">
        <v>6</v>
      </c>
      <c r="B896" s="2" t="s">
        <v>11</v>
      </c>
      <c r="C896" s="2" t="s">
        <v>43</v>
      </c>
      <c r="D896" s="2" t="s">
        <v>43</v>
      </c>
      <c r="E896" s="2"/>
      <c r="F896" s="2"/>
      <c r="G896" s="33">
        <f>G897</f>
        <v>19149769</v>
      </c>
      <c r="H896" s="33"/>
      <c r="I896" s="51"/>
      <c r="M896" s="160"/>
    </row>
    <row r="897" spans="1:13" s="14" customFormat="1" ht="78.75">
      <c r="A897" s="3" t="s">
        <v>106</v>
      </c>
      <c r="B897" s="4" t="s">
        <v>11</v>
      </c>
      <c r="C897" s="4" t="s">
        <v>43</v>
      </c>
      <c r="D897" s="4" t="s">
        <v>43</v>
      </c>
      <c r="E897" s="4" t="s">
        <v>725</v>
      </c>
      <c r="F897" s="2"/>
      <c r="G897" s="29">
        <f>G898+G913</f>
        <v>19149769</v>
      </c>
      <c r="H897" s="33"/>
      <c r="I897" s="51"/>
      <c r="M897" s="160"/>
    </row>
    <row r="898" spans="1:13" s="14" customFormat="1" ht="31.5">
      <c r="A898" s="3" t="s">
        <v>136</v>
      </c>
      <c r="B898" s="4" t="s">
        <v>11</v>
      </c>
      <c r="C898" s="4" t="s">
        <v>43</v>
      </c>
      <c r="D898" s="4" t="s">
        <v>43</v>
      </c>
      <c r="E898" s="4" t="s">
        <v>689</v>
      </c>
      <c r="F898" s="4"/>
      <c r="G898" s="29">
        <f>G899+G903+G907+G910</f>
        <v>846250</v>
      </c>
      <c r="H898" s="29"/>
      <c r="I898" s="51"/>
      <c r="M898" s="160"/>
    </row>
    <row r="899" spans="1:13" s="14" customFormat="1" ht="63">
      <c r="A899" s="3" t="s">
        <v>374</v>
      </c>
      <c r="B899" s="4" t="s">
        <v>11</v>
      </c>
      <c r="C899" s="4" t="s">
        <v>43</v>
      </c>
      <c r="D899" s="4" t="s">
        <v>43</v>
      </c>
      <c r="E899" s="4" t="s">
        <v>375</v>
      </c>
      <c r="F899" s="4"/>
      <c r="G899" s="29">
        <f>G900</f>
        <v>443750</v>
      </c>
      <c r="H899" s="29"/>
      <c r="I899" s="51"/>
      <c r="M899" s="160"/>
    </row>
    <row r="900" spans="1:13" s="14" customFormat="1" ht="31.5">
      <c r="A900" s="3" t="s">
        <v>523</v>
      </c>
      <c r="B900" s="4" t="s">
        <v>11</v>
      </c>
      <c r="C900" s="4" t="s">
        <v>43</v>
      </c>
      <c r="D900" s="4" t="s">
        <v>43</v>
      </c>
      <c r="E900" s="4" t="s">
        <v>376</v>
      </c>
      <c r="F900" s="4"/>
      <c r="G900" s="29">
        <f>G901+G902</f>
        <v>443750</v>
      </c>
      <c r="H900" s="29"/>
      <c r="I900" s="51"/>
      <c r="M900" s="160"/>
    </row>
    <row r="901" spans="1:13" s="14" customFormat="1" ht="47.25">
      <c r="A901" s="3" t="s">
        <v>701</v>
      </c>
      <c r="B901" s="4" t="s">
        <v>11</v>
      </c>
      <c r="C901" s="4" t="s">
        <v>43</v>
      </c>
      <c r="D901" s="4" t="s">
        <v>43</v>
      </c>
      <c r="E901" s="4" t="s">
        <v>376</v>
      </c>
      <c r="F901" s="4" t="s">
        <v>605</v>
      </c>
      <c r="G901" s="29">
        <f>373750-196500+70000</f>
        <v>247250</v>
      </c>
      <c r="H901" s="29"/>
      <c r="I901" s="51"/>
      <c r="M901" s="160"/>
    </row>
    <row r="902" spans="1:13" s="14" customFormat="1" ht="63">
      <c r="A902" s="3" t="s">
        <v>525</v>
      </c>
      <c r="B902" s="4" t="s">
        <v>11</v>
      </c>
      <c r="C902" s="4" t="s">
        <v>43</v>
      </c>
      <c r="D902" s="4" t="s">
        <v>43</v>
      </c>
      <c r="E902" s="4" t="s">
        <v>376</v>
      </c>
      <c r="F902" s="4" t="s">
        <v>609</v>
      </c>
      <c r="G902" s="29">
        <f>196500</f>
        <v>196500</v>
      </c>
      <c r="H902" s="29"/>
      <c r="I902" s="51"/>
      <c r="M902" s="160"/>
    </row>
    <row r="903" spans="1:13" s="14" customFormat="1" ht="110.25">
      <c r="A903" s="3" t="s">
        <v>377</v>
      </c>
      <c r="B903" s="4" t="s">
        <v>11</v>
      </c>
      <c r="C903" s="4" t="s">
        <v>43</v>
      </c>
      <c r="D903" s="4" t="s">
        <v>43</v>
      </c>
      <c r="E903" s="4" t="s">
        <v>378</v>
      </c>
      <c r="F903" s="4"/>
      <c r="G903" s="29">
        <f>G904</f>
        <v>97500</v>
      </c>
      <c r="H903" s="29"/>
      <c r="I903" s="51"/>
      <c r="M903" s="160"/>
    </row>
    <row r="904" spans="1:13" s="14" customFormat="1" ht="31.5">
      <c r="A904" s="3" t="s">
        <v>523</v>
      </c>
      <c r="B904" s="4" t="s">
        <v>11</v>
      </c>
      <c r="C904" s="4" t="s">
        <v>43</v>
      </c>
      <c r="D904" s="4" t="s">
        <v>43</v>
      </c>
      <c r="E904" s="4" t="s">
        <v>379</v>
      </c>
      <c r="F904" s="4"/>
      <c r="G904" s="29">
        <f>G905+G906</f>
        <v>97500</v>
      </c>
      <c r="H904" s="29"/>
      <c r="I904" s="51"/>
      <c r="M904" s="160"/>
    </row>
    <row r="905" spans="1:13" s="14" customFormat="1" ht="47.25">
      <c r="A905" s="3" t="s">
        <v>701</v>
      </c>
      <c r="B905" s="4" t="s">
        <v>11</v>
      </c>
      <c r="C905" s="4" t="s">
        <v>43</v>
      </c>
      <c r="D905" s="4" t="s">
        <v>43</v>
      </c>
      <c r="E905" s="4" t="s">
        <v>379</v>
      </c>
      <c r="F905" s="4" t="s">
        <v>605</v>
      </c>
      <c r="G905" s="29">
        <f>167500-35000-70000</f>
        <v>62500</v>
      </c>
      <c r="H905" s="29"/>
      <c r="I905" s="51"/>
      <c r="M905" s="160"/>
    </row>
    <row r="906" spans="1:13" s="14" customFormat="1" ht="63">
      <c r="A906" s="3" t="s">
        <v>525</v>
      </c>
      <c r="B906" s="4" t="s">
        <v>11</v>
      </c>
      <c r="C906" s="4" t="s">
        <v>43</v>
      </c>
      <c r="D906" s="4" t="s">
        <v>43</v>
      </c>
      <c r="E906" s="4" t="s">
        <v>379</v>
      </c>
      <c r="F906" s="4" t="s">
        <v>609</v>
      </c>
      <c r="G906" s="29">
        <f>35000</f>
        <v>35000</v>
      </c>
      <c r="H906" s="29"/>
      <c r="I906" s="51"/>
      <c r="M906" s="160"/>
    </row>
    <row r="907" spans="1:13" s="14" customFormat="1" ht="47.25">
      <c r="A907" s="3" t="s">
        <v>380</v>
      </c>
      <c r="B907" s="4" t="s">
        <v>11</v>
      </c>
      <c r="C907" s="4" t="s">
        <v>43</v>
      </c>
      <c r="D907" s="4" t="s">
        <v>43</v>
      </c>
      <c r="E907" s="4" t="s">
        <v>381</v>
      </c>
      <c r="F907" s="4"/>
      <c r="G907" s="29">
        <f>G909</f>
        <v>5000</v>
      </c>
      <c r="H907" s="29"/>
      <c r="I907" s="51"/>
      <c r="M907" s="160"/>
    </row>
    <row r="908" spans="1:13" s="14" customFormat="1" ht="31.5">
      <c r="A908" s="3" t="s">
        <v>523</v>
      </c>
      <c r="B908" s="4" t="s">
        <v>11</v>
      </c>
      <c r="C908" s="4" t="s">
        <v>43</v>
      </c>
      <c r="D908" s="4" t="s">
        <v>43</v>
      </c>
      <c r="E908" s="4" t="s">
        <v>382</v>
      </c>
      <c r="F908" s="4"/>
      <c r="G908" s="29">
        <f>G909</f>
        <v>5000</v>
      </c>
      <c r="H908" s="29"/>
      <c r="I908" s="51"/>
      <c r="M908" s="160"/>
    </row>
    <row r="909" spans="1:13" s="14" customFormat="1" ht="47.25">
      <c r="A909" s="3" t="s">
        <v>701</v>
      </c>
      <c r="B909" s="4" t="s">
        <v>11</v>
      </c>
      <c r="C909" s="4" t="s">
        <v>43</v>
      </c>
      <c r="D909" s="4" t="s">
        <v>43</v>
      </c>
      <c r="E909" s="4" t="s">
        <v>382</v>
      </c>
      <c r="F909" s="4" t="s">
        <v>605</v>
      </c>
      <c r="G909" s="29">
        <v>5000</v>
      </c>
      <c r="H909" s="29"/>
      <c r="I909" s="51"/>
      <c r="M909" s="160"/>
    </row>
    <row r="910" spans="1:13" s="14" customFormat="1" ht="63">
      <c r="A910" s="3" t="s">
        <v>690</v>
      </c>
      <c r="B910" s="4" t="s">
        <v>11</v>
      </c>
      <c r="C910" s="4" t="s">
        <v>43</v>
      </c>
      <c r="D910" s="4" t="s">
        <v>43</v>
      </c>
      <c r="E910" s="4" t="s">
        <v>691</v>
      </c>
      <c r="F910" s="4"/>
      <c r="G910" s="29">
        <f>G911</f>
        <v>300000</v>
      </c>
      <c r="H910" s="29"/>
      <c r="I910" s="51"/>
      <c r="M910" s="160"/>
    </row>
    <row r="911" spans="1:13" s="14" customFormat="1" ht="31.5">
      <c r="A911" s="3" t="s">
        <v>137</v>
      </c>
      <c r="B911" s="4" t="s">
        <v>11</v>
      </c>
      <c r="C911" s="4" t="s">
        <v>43</v>
      </c>
      <c r="D911" s="4" t="s">
        <v>43</v>
      </c>
      <c r="E911" s="4" t="s">
        <v>692</v>
      </c>
      <c r="F911" s="4"/>
      <c r="G911" s="29">
        <f>G912</f>
        <v>300000</v>
      </c>
      <c r="H911" s="29"/>
      <c r="I911" s="51"/>
      <c r="M911" s="160"/>
    </row>
    <row r="912" spans="1:13" s="14" customFormat="1" ht="31.5">
      <c r="A912" s="3" t="s">
        <v>565</v>
      </c>
      <c r="B912" s="4" t="s">
        <v>11</v>
      </c>
      <c r="C912" s="4" t="s">
        <v>43</v>
      </c>
      <c r="D912" s="4" t="s">
        <v>43</v>
      </c>
      <c r="E912" s="4" t="s">
        <v>692</v>
      </c>
      <c r="F912" s="4" t="s">
        <v>566</v>
      </c>
      <c r="G912" s="29">
        <v>300000</v>
      </c>
      <c r="H912" s="29"/>
      <c r="I912" s="51"/>
      <c r="M912" s="160"/>
    </row>
    <row r="913" spans="1:13" s="16" customFormat="1" ht="31.5">
      <c r="A913" s="3" t="s">
        <v>138</v>
      </c>
      <c r="B913" s="4" t="s">
        <v>11</v>
      </c>
      <c r="C913" s="4" t="s">
        <v>43</v>
      </c>
      <c r="D913" s="4" t="s">
        <v>43</v>
      </c>
      <c r="E913" s="4" t="s">
        <v>560</v>
      </c>
      <c r="F913" s="4"/>
      <c r="G913" s="29">
        <f>G914+G917</f>
        <v>18303519</v>
      </c>
      <c r="H913" s="29"/>
      <c r="I913" s="48"/>
      <c r="M913" s="159"/>
    </row>
    <row r="914" spans="1:13" s="16" customFormat="1" ht="63">
      <c r="A914" s="3" t="s">
        <v>383</v>
      </c>
      <c r="B914" s="4" t="s">
        <v>11</v>
      </c>
      <c r="C914" s="4" t="s">
        <v>43</v>
      </c>
      <c r="D914" s="4" t="s">
        <v>43</v>
      </c>
      <c r="E914" s="4" t="s">
        <v>384</v>
      </c>
      <c r="F914" s="4"/>
      <c r="G914" s="29">
        <f>G915</f>
        <v>18230749</v>
      </c>
      <c r="H914" s="29"/>
      <c r="I914" s="48"/>
      <c r="M914" s="159"/>
    </row>
    <row r="915" spans="1:13" s="16" customFormat="1" ht="94.5">
      <c r="A915" s="3" t="s">
        <v>749</v>
      </c>
      <c r="B915" s="4" t="s">
        <v>11</v>
      </c>
      <c r="C915" s="4" t="s">
        <v>43</v>
      </c>
      <c r="D915" s="4" t="s">
        <v>43</v>
      </c>
      <c r="E915" s="4" t="s">
        <v>385</v>
      </c>
      <c r="F915" s="4"/>
      <c r="G915" s="29">
        <f>G916</f>
        <v>18230749</v>
      </c>
      <c r="H915" s="29"/>
      <c r="I915" s="48"/>
      <c r="M915" s="159"/>
    </row>
    <row r="916" spans="1:13" s="16" customFormat="1" ht="63">
      <c r="A916" s="3" t="s">
        <v>525</v>
      </c>
      <c r="B916" s="4" t="s">
        <v>11</v>
      </c>
      <c r="C916" s="4" t="s">
        <v>43</v>
      </c>
      <c r="D916" s="4" t="s">
        <v>43</v>
      </c>
      <c r="E916" s="4" t="s">
        <v>385</v>
      </c>
      <c r="F916" s="4" t="s">
        <v>609</v>
      </c>
      <c r="G916" s="29">
        <f>15009055+3221694</f>
        <v>18230749</v>
      </c>
      <c r="H916" s="29"/>
      <c r="I916" s="48"/>
      <c r="M916" s="159"/>
    </row>
    <row r="917" spans="1:13" s="16" customFormat="1" ht="63">
      <c r="A917" s="49" t="s">
        <v>386</v>
      </c>
      <c r="B917" s="4" t="s">
        <v>11</v>
      </c>
      <c r="C917" s="4" t="s">
        <v>43</v>
      </c>
      <c r="D917" s="4" t="s">
        <v>43</v>
      </c>
      <c r="E917" s="4" t="s">
        <v>387</v>
      </c>
      <c r="F917" s="4"/>
      <c r="G917" s="29">
        <f>G918</f>
        <v>72770</v>
      </c>
      <c r="H917" s="29"/>
      <c r="I917" s="48"/>
      <c r="M917" s="159"/>
    </row>
    <row r="918" spans="1:13" s="16" customFormat="1" ht="94.5">
      <c r="A918" s="3" t="s">
        <v>749</v>
      </c>
      <c r="B918" s="4" t="s">
        <v>11</v>
      </c>
      <c r="C918" s="4" t="s">
        <v>43</v>
      </c>
      <c r="D918" s="4" t="s">
        <v>43</v>
      </c>
      <c r="E918" s="4" t="s">
        <v>388</v>
      </c>
      <c r="F918" s="4"/>
      <c r="G918" s="29">
        <f>G919</f>
        <v>72770</v>
      </c>
      <c r="H918" s="29"/>
      <c r="I918" s="48"/>
      <c r="M918" s="159"/>
    </row>
    <row r="919" spans="1:13" s="16" customFormat="1" ht="67.5" customHeight="1">
      <c r="A919" s="3" t="s">
        <v>525</v>
      </c>
      <c r="B919" s="4" t="s">
        <v>11</v>
      </c>
      <c r="C919" s="4" t="s">
        <v>43</v>
      </c>
      <c r="D919" s="4" t="s">
        <v>43</v>
      </c>
      <c r="E919" s="4" t="s">
        <v>388</v>
      </c>
      <c r="F919" s="4" t="s">
        <v>609</v>
      </c>
      <c r="G919" s="29">
        <v>72770</v>
      </c>
      <c r="H919" s="29"/>
      <c r="I919" s="48"/>
      <c r="M919" s="159"/>
    </row>
    <row r="920" spans="1:13" s="16" customFormat="1" ht="15.75">
      <c r="A920" s="13" t="s">
        <v>606</v>
      </c>
      <c r="B920" s="5" t="s">
        <v>11</v>
      </c>
      <c r="C920" s="5" t="s">
        <v>44</v>
      </c>
      <c r="D920" s="5" t="s">
        <v>742</v>
      </c>
      <c r="E920" s="23"/>
      <c r="F920" s="23"/>
      <c r="G920" s="28">
        <f>G921</f>
        <v>176411901</v>
      </c>
      <c r="H920" s="28">
        <f>H921</f>
        <v>8783231</v>
      </c>
      <c r="I920" s="48"/>
      <c r="M920" s="159"/>
    </row>
    <row r="921" spans="1:13" s="16" customFormat="1" ht="15.75">
      <c r="A921" s="1" t="s">
        <v>737</v>
      </c>
      <c r="B921" s="2" t="s">
        <v>11</v>
      </c>
      <c r="C921" s="2" t="s">
        <v>44</v>
      </c>
      <c r="D921" s="2" t="s">
        <v>917</v>
      </c>
      <c r="E921" s="4"/>
      <c r="F921" s="4"/>
      <c r="G921" s="33">
        <f>G922+G928+G997</f>
        <v>176411901</v>
      </c>
      <c r="H921" s="33">
        <f>H922+H928+H997</f>
        <v>8783231</v>
      </c>
      <c r="I921" s="48"/>
      <c r="M921" s="159"/>
    </row>
    <row r="922" spans="1:13" s="16" customFormat="1" ht="78.75">
      <c r="A922" s="3" t="s">
        <v>72</v>
      </c>
      <c r="B922" s="4" t="s">
        <v>11</v>
      </c>
      <c r="C922" s="4" t="s">
        <v>44</v>
      </c>
      <c r="D922" s="4" t="s">
        <v>917</v>
      </c>
      <c r="E922" s="4" t="s">
        <v>724</v>
      </c>
      <c r="F922" s="4"/>
      <c r="G922" s="29">
        <f>G924+G926</f>
        <v>672638</v>
      </c>
      <c r="H922" s="29">
        <f>H924+H926</f>
        <v>158000</v>
      </c>
      <c r="I922" s="48"/>
      <c r="M922" s="159"/>
    </row>
    <row r="923" spans="1:13" s="16" customFormat="1" ht="94.5">
      <c r="A923" s="3" t="s">
        <v>73</v>
      </c>
      <c r="B923" s="4" t="s">
        <v>11</v>
      </c>
      <c r="C923" s="4" t="s">
        <v>44</v>
      </c>
      <c r="D923" s="4" t="s">
        <v>917</v>
      </c>
      <c r="E923" s="4" t="s">
        <v>74</v>
      </c>
      <c r="F923" s="4"/>
      <c r="G923" s="29">
        <f>G924+G926</f>
        <v>672638</v>
      </c>
      <c r="H923" s="29">
        <f>H924+H926</f>
        <v>158000</v>
      </c>
      <c r="I923" s="48"/>
      <c r="M923" s="159"/>
    </row>
    <row r="924" spans="1:13" s="16" customFormat="1" ht="63">
      <c r="A924" s="3" t="s">
        <v>1159</v>
      </c>
      <c r="B924" s="4" t="s">
        <v>11</v>
      </c>
      <c r="C924" s="4" t="s">
        <v>44</v>
      </c>
      <c r="D924" s="4" t="s">
        <v>917</v>
      </c>
      <c r="E924" s="4" t="s">
        <v>1161</v>
      </c>
      <c r="F924" s="4"/>
      <c r="G924" s="29">
        <f>G925</f>
        <v>158000</v>
      </c>
      <c r="H924" s="29">
        <f>H925</f>
        <v>158000</v>
      </c>
      <c r="I924" s="48"/>
      <c r="M924" s="159"/>
    </row>
    <row r="925" spans="1:13" s="16" customFormat="1" ht="61.5">
      <c r="A925" s="3" t="s">
        <v>525</v>
      </c>
      <c r="B925" s="4" t="s">
        <v>11</v>
      </c>
      <c r="C925" s="4" t="s">
        <v>44</v>
      </c>
      <c r="D925" s="4" t="s">
        <v>917</v>
      </c>
      <c r="E925" s="4" t="s">
        <v>1161</v>
      </c>
      <c r="F925" s="4" t="s">
        <v>609</v>
      </c>
      <c r="G925" s="29">
        <f>158000</f>
        <v>158000</v>
      </c>
      <c r="H925" s="29">
        <f>G925</f>
        <v>158000</v>
      </c>
      <c r="I925" s="48"/>
      <c r="M925" s="159"/>
    </row>
    <row r="926" spans="1:13" s="16" customFormat="1" ht="71.25" customHeight="1">
      <c r="A926" s="3" t="s">
        <v>1159</v>
      </c>
      <c r="B926" s="4" t="s">
        <v>11</v>
      </c>
      <c r="C926" s="4" t="s">
        <v>44</v>
      </c>
      <c r="D926" s="4" t="s">
        <v>917</v>
      </c>
      <c r="E926" s="4" t="s">
        <v>1160</v>
      </c>
      <c r="F926" s="4"/>
      <c r="G926" s="29">
        <f>G927</f>
        <v>514638</v>
      </c>
      <c r="H926" s="29"/>
      <c r="I926" s="48"/>
      <c r="M926" s="159"/>
    </row>
    <row r="927" spans="1:13" s="16" customFormat="1" ht="61.5">
      <c r="A927" s="3" t="s">
        <v>525</v>
      </c>
      <c r="B927" s="4" t="s">
        <v>11</v>
      </c>
      <c r="C927" s="4" t="s">
        <v>44</v>
      </c>
      <c r="D927" s="4" t="s">
        <v>917</v>
      </c>
      <c r="E927" s="4" t="s">
        <v>1160</v>
      </c>
      <c r="F927" s="4" t="s">
        <v>609</v>
      </c>
      <c r="G927" s="29">
        <f>514638</f>
        <v>514638</v>
      </c>
      <c r="H927" s="29"/>
      <c r="I927" s="48"/>
      <c r="M927" s="159"/>
    </row>
    <row r="928" spans="1:13" s="16" customFormat="1" ht="61.5">
      <c r="A928" s="3" t="s">
        <v>107</v>
      </c>
      <c r="B928" s="4" t="s">
        <v>11</v>
      </c>
      <c r="C928" s="4" t="s">
        <v>44</v>
      </c>
      <c r="D928" s="4" t="s">
        <v>917</v>
      </c>
      <c r="E928" s="4" t="s">
        <v>682</v>
      </c>
      <c r="F928" s="4"/>
      <c r="G928" s="29">
        <f>G929+G950+G975+G989+G993</f>
        <v>173616757</v>
      </c>
      <c r="H928" s="29">
        <f>H929+H950+H975</f>
        <v>8625231</v>
      </c>
      <c r="I928" s="48"/>
      <c r="M928" s="159"/>
    </row>
    <row r="929" spans="1:13" s="16" customFormat="1" ht="61.5">
      <c r="A929" s="3" t="s">
        <v>150</v>
      </c>
      <c r="B929" s="4" t="s">
        <v>11</v>
      </c>
      <c r="C929" s="4" t="s">
        <v>44</v>
      </c>
      <c r="D929" s="4" t="s">
        <v>917</v>
      </c>
      <c r="E929" s="4" t="s">
        <v>683</v>
      </c>
      <c r="F929" s="4"/>
      <c r="G929" s="29">
        <f>G930+G934+G947</f>
        <v>108970038.99999999</v>
      </c>
      <c r="H929" s="29">
        <f>H934</f>
        <v>5745753</v>
      </c>
      <c r="I929" s="48"/>
      <c r="M929" s="159"/>
    </row>
    <row r="930" spans="1:13" s="16" customFormat="1" ht="46.5">
      <c r="A930" s="3" t="s">
        <v>389</v>
      </c>
      <c r="B930" s="4" t="s">
        <v>11</v>
      </c>
      <c r="C930" s="4" t="s">
        <v>44</v>
      </c>
      <c r="D930" s="4" t="s">
        <v>917</v>
      </c>
      <c r="E930" s="4" t="s">
        <v>390</v>
      </c>
      <c r="F930" s="4"/>
      <c r="G930" s="29">
        <f>G931</f>
        <v>1699220</v>
      </c>
      <c r="H930" s="29"/>
      <c r="I930" s="48"/>
      <c r="M930" s="159"/>
    </row>
    <row r="931" spans="1:13" s="16" customFormat="1" ht="30.75">
      <c r="A931" s="3" t="s">
        <v>523</v>
      </c>
      <c r="B931" s="4" t="s">
        <v>11</v>
      </c>
      <c r="C931" s="4" t="s">
        <v>44</v>
      </c>
      <c r="D931" s="4" t="s">
        <v>917</v>
      </c>
      <c r="E931" s="4" t="s">
        <v>391</v>
      </c>
      <c r="F931" s="4"/>
      <c r="G931" s="29">
        <f>G932+G933</f>
        <v>1699220</v>
      </c>
      <c r="H931" s="29"/>
      <c r="I931" s="48"/>
      <c r="M931" s="159"/>
    </row>
    <row r="932" spans="1:13" s="16" customFormat="1" ht="46.5">
      <c r="A932" s="3" t="s">
        <v>93</v>
      </c>
      <c r="B932" s="4" t="s">
        <v>11</v>
      </c>
      <c r="C932" s="4" t="s">
        <v>44</v>
      </c>
      <c r="D932" s="4" t="s">
        <v>917</v>
      </c>
      <c r="E932" s="4" t="s">
        <v>391</v>
      </c>
      <c r="F932" s="4" t="s">
        <v>605</v>
      </c>
      <c r="G932" s="29">
        <f>1623020-456091-257000+76200</f>
        <v>986129</v>
      </c>
      <c r="H932" s="29"/>
      <c r="I932" s="48"/>
      <c r="M932" s="159"/>
    </row>
    <row r="933" spans="1:13" s="16" customFormat="1" ht="61.5">
      <c r="A933" s="3" t="s">
        <v>525</v>
      </c>
      <c r="B933" s="4" t="s">
        <v>11</v>
      </c>
      <c r="C933" s="4" t="s">
        <v>44</v>
      </c>
      <c r="D933" s="4" t="s">
        <v>917</v>
      </c>
      <c r="E933" s="4" t="s">
        <v>391</v>
      </c>
      <c r="F933" s="4" t="s">
        <v>609</v>
      </c>
      <c r="G933" s="29">
        <f>456091+257000</f>
        <v>713091</v>
      </c>
      <c r="H933" s="29"/>
      <c r="I933" s="48"/>
      <c r="M933" s="159"/>
    </row>
    <row r="934" spans="1:13" s="16" customFormat="1" ht="30.75">
      <c r="A934" s="3" t="s">
        <v>395</v>
      </c>
      <c r="B934" s="4" t="s">
        <v>11</v>
      </c>
      <c r="C934" s="4" t="s">
        <v>44</v>
      </c>
      <c r="D934" s="4" t="s">
        <v>917</v>
      </c>
      <c r="E934" s="4" t="s">
        <v>396</v>
      </c>
      <c r="F934" s="4"/>
      <c r="G934" s="29">
        <f>G935+G939+G941+G943+G946+G937</f>
        <v>106870818.99999999</v>
      </c>
      <c r="H934" s="29">
        <f>H935+H939+H941+H943+H946+H937</f>
        <v>5745753</v>
      </c>
      <c r="I934" s="48"/>
      <c r="M934" s="159"/>
    </row>
    <row r="935" spans="1:13" s="16" customFormat="1" ht="93">
      <c r="A935" s="3" t="s">
        <v>749</v>
      </c>
      <c r="B935" s="4" t="s">
        <v>11</v>
      </c>
      <c r="C935" s="4" t="s">
        <v>44</v>
      </c>
      <c r="D935" s="4" t="s">
        <v>917</v>
      </c>
      <c r="E935" s="4" t="s">
        <v>397</v>
      </c>
      <c r="F935" s="4"/>
      <c r="G935" s="29">
        <f>G936</f>
        <v>94768738.38999999</v>
      </c>
      <c r="H935" s="29"/>
      <c r="I935" s="48"/>
      <c r="M935" s="159"/>
    </row>
    <row r="936" spans="1:13" s="16" customFormat="1" ht="61.5">
      <c r="A936" s="3" t="s">
        <v>525</v>
      </c>
      <c r="B936" s="4" t="s">
        <v>11</v>
      </c>
      <c r="C936" s="4" t="s">
        <v>44</v>
      </c>
      <c r="D936" s="4" t="s">
        <v>917</v>
      </c>
      <c r="E936" s="4" t="s">
        <v>397</v>
      </c>
      <c r="F936" s="4" t="s">
        <v>609</v>
      </c>
      <c r="G936" s="29">
        <f>95771939.32-1000000-3200.93</f>
        <v>94768738.38999999</v>
      </c>
      <c r="H936" s="29"/>
      <c r="I936" s="48"/>
      <c r="M936" s="159"/>
    </row>
    <row r="937" spans="1:13" s="16" customFormat="1" ht="61.5" hidden="1">
      <c r="A937" s="3" t="s">
        <v>1162</v>
      </c>
      <c r="B937" s="4" t="s">
        <v>538</v>
      </c>
      <c r="C937" s="4" t="s">
        <v>44</v>
      </c>
      <c r="D937" s="4" t="s">
        <v>917</v>
      </c>
      <c r="E937" s="4" t="s">
        <v>1163</v>
      </c>
      <c r="F937" s="4"/>
      <c r="G937" s="29">
        <f>G938</f>
        <v>0</v>
      </c>
      <c r="H937" s="29">
        <f>H938</f>
        <v>0</v>
      </c>
      <c r="I937" s="48"/>
      <c r="M937" s="159"/>
    </row>
    <row r="938" spans="1:13" s="16" customFormat="1" ht="61.5" hidden="1">
      <c r="A938" s="3" t="s">
        <v>525</v>
      </c>
      <c r="B938" s="4" t="s">
        <v>11</v>
      </c>
      <c r="C938" s="4" t="s">
        <v>44</v>
      </c>
      <c r="D938" s="4" t="s">
        <v>917</v>
      </c>
      <c r="E938" s="4" t="s">
        <v>1163</v>
      </c>
      <c r="F938" s="4" t="s">
        <v>609</v>
      </c>
      <c r="G938" s="29">
        <f>50000-50000</f>
        <v>0</v>
      </c>
      <c r="H938" s="29">
        <f>G938</f>
        <v>0</v>
      </c>
      <c r="I938" s="48"/>
      <c r="M938" s="159"/>
    </row>
    <row r="939" spans="1:13" s="16" customFormat="1" ht="108">
      <c r="A939" s="3" t="s">
        <v>859</v>
      </c>
      <c r="B939" s="4" t="s">
        <v>11</v>
      </c>
      <c r="C939" s="4" t="s">
        <v>44</v>
      </c>
      <c r="D939" s="4" t="s">
        <v>917</v>
      </c>
      <c r="E939" s="4" t="s">
        <v>398</v>
      </c>
      <c r="F939" s="4"/>
      <c r="G939" s="29">
        <f>G940</f>
        <v>4529401</v>
      </c>
      <c r="H939" s="29">
        <f>H940</f>
        <v>4529401</v>
      </c>
      <c r="I939" s="48"/>
      <c r="M939" s="159"/>
    </row>
    <row r="940" spans="1:13" s="16" customFormat="1" ht="61.5">
      <c r="A940" s="3" t="s">
        <v>525</v>
      </c>
      <c r="B940" s="4" t="s">
        <v>11</v>
      </c>
      <c r="C940" s="4" t="s">
        <v>44</v>
      </c>
      <c r="D940" s="4" t="s">
        <v>917</v>
      </c>
      <c r="E940" s="4" t="s">
        <v>398</v>
      </c>
      <c r="F940" s="4" t="s">
        <v>609</v>
      </c>
      <c r="G940" s="29">
        <v>4529401</v>
      </c>
      <c r="H940" s="29">
        <v>4529401</v>
      </c>
      <c r="I940" s="48"/>
      <c r="M940" s="159"/>
    </row>
    <row r="941" spans="1:8" ht="108">
      <c r="A941" s="3" t="s">
        <v>859</v>
      </c>
      <c r="B941" s="4" t="s">
        <v>11</v>
      </c>
      <c r="C941" s="4" t="s">
        <v>44</v>
      </c>
      <c r="D941" s="4" t="s">
        <v>917</v>
      </c>
      <c r="E941" s="4" t="s">
        <v>399</v>
      </c>
      <c r="F941" s="4"/>
      <c r="G941" s="29">
        <f>G942</f>
        <v>6292309.08</v>
      </c>
      <c r="H941" s="29"/>
    </row>
    <row r="942" spans="1:11" ht="61.5">
      <c r="A942" s="3" t="s">
        <v>525</v>
      </c>
      <c r="B942" s="4" t="s">
        <v>11</v>
      </c>
      <c r="C942" s="4" t="s">
        <v>44</v>
      </c>
      <c r="D942" s="4" t="s">
        <v>917</v>
      </c>
      <c r="E942" s="4" t="s">
        <v>399</v>
      </c>
      <c r="F942" s="4" t="s">
        <v>609</v>
      </c>
      <c r="G942" s="29">
        <v>6292309.08</v>
      </c>
      <c r="H942" s="29"/>
      <c r="I942" s="33" t="e">
        <f>I943+#REF!+#REF!+#REF!+#REF!+#REF!</f>
        <v>#REF!</v>
      </c>
      <c r="J942" s="33" t="e">
        <f>J943+#REF!+#REF!+#REF!+#REF!+#REF!</f>
        <v>#REF!</v>
      </c>
      <c r="K942" s="33" t="e">
        <f>K943+#REF!+#REF!+#REF!+#REF!+#REF!</f>
        <v>#REF!</v>
      </c>
    </row>
    <row r="943" spans="1:8" ht="139.5">
      <c r="A943" s="3" t="s">
        <v>347</v>
      </c>
      <c r="B943" s="4" t="s">
        <v>11</v>
      </c>
      <c r="C943" s="4" t="s">
        <v>44</v>
      </c>
      <c r="D943" s="4" t="s">
        <v>917</v>
      </c>
      <c r="E943" s="4" t="s">
        <v>400</v>
      </c>
      <c r="F943" s="4"/>
      <c r="G943" s="29">
        <f>G944</f>
        <v>1216352</v>
      </c>
      <c r="H943" s="29">
        <f>H944</f>
        <v>1216352</v>
      </c>
    </row>
    <row r="944" spans="1:8" ht="61.5">
      <c r="A944" s="3" t="s">
        <v>525</v>
      </c>
      <c r="B944" s="4" t="s">
        <v>11</v>
      </c>
      <c r="C944" s="4" t="s">
        <v>44</v>
      </c>
      <c r="D944" s="4" t="s">
        <v>917</v>
      </c>
      <c r="E944" s="4" t="s">
        <v>400</v>
      </c>
      <c r="F944" s="4" t="s">
        <v>609</v>
      </c>
      <c r="G944" s="29">
        <v>1216352</v>
      </c>
      <c r="H944" s="29">
        <f>G944</f>
        <v>1216352</v>
      </c>
    </row>
    <row r="945" spans="1:8" ht="139.5">
      <c r="A945" s="3" t="s">
        <v>347</v>
      </c>
      <c r="B945" s="4" t="s">
        <v>11</v>
      </c>
      <c r="C945" s="4" t="s">
        <v>44</v>
      </c>
      <c r="D945" s="4" t="s">
        <v>917</v>
      </c>
      <c r="E945" s="4" t="s">
        <v>401</v>
      </c>
      <c r="F945" s="4"/>
      <c r="G945" s="29">
        <f>G946</f>
        <v>64018.53</v>
      </c>
      <c r="H945" s="29"/>
    </row>
    <row r="946" spans="1:8" ht="61.5">
      <c r="A946" s="3" t="s">
        <v>525</v>
      </c>
      <c r="B946" s="4" t="s">
        <v>11</v>
      </c>
      <c r="C946" s="4" t="s">
        <v>44</v>
      </c>
      <c r="D946" s="4" t="s">
        <v>917</v>
      </c>
      <c r="E946" s="4" t="s">
        <v>401</v>
      </c>
      <c r="F946" s="4" t="s">
        <v>609</v>
      </c>
      <c r="G946" s="29">
        <f>60817.6+3200.93</f>
        <v>64018.53</v>
      </c>
      <c r="H946" s="29"/>
    </row>
    <row r="947" spans="1:8" ht="61.5">
      <c r="A947" s="3" t="s">
        <v>392</v>
      </c>
      <c r="B947" s="4" t="s">
        <v>11</v>
      </c>
      <c r="C947" s="4" t="s">
        <v>44</v>
      </c>
      <c r="D947" s="4" t="s">
        <v>917</v>
      </c>
      <c r="E947" s="4" t="s">
        <v>402</v>
      </c>
      <c r="F947" s="4"/>
      <c r="G947" s="29">
        <f>G948</f>
        <v>400000</v>
      </c>
      <c r="H947" s="29"/>
    </row>
    <row r="948" spans="1:8" ht="93">
      <c r="A948" s="3" t="s">
        <v>749</v>
      </c>
      <c r="B948" s="4" t="s">
        <v>11</v>
      </c>
      <c r="C948" s="4" t="s">
        <v>44</v>
      </c>
      <c r="D948" s="4" t="s">
        <v>917</v>
      </c>
      <c r="E948" s="4" t="s">
        <v>403</v>
      </c>
      <c r="F948" s="4"/>
      <c r="G948" s="29">
        <f>G949</f>
        <v>400000</v>
      </c>
      <c r="H948" s="29"/>
    </row>
    <row r="949" spans="1:8" ht="61.5">
      <c r="A949" s="3" t="s">
        <v>525</v>
      </c>
      <c r="B949" s="4" t="s">
        <v>11</v>
      </c>
      <c r="C949" s="4" t="s">
        <v>44</v>
      </c>
      <c r="D949" s="4" t="s">
        <v>917</v>
      </c>
      <c r="E949" s="4" t="s">
        <v>403</v>
      </c>
      <c r="F949" s="4" t="s">
        <v>609</v>
      </c>
      <c r="G949" s="29">
        <v>400000</v>
      </c>
      <c r="H949" s="29"/>
    </row>
    <row r="950" spans="1:8" ht="30.75">
      <c r="A950" s="3" t="s">
        <v>3</v>
      </c>
      <c r="B950" s="4" t="s">
        <v>11</v>
      </c>
      <c r="C950" s="4" t="s">
        <v>44</v>
      </c>
      <c r="D950" s="4" t="s">
        <v>917</v>
      </c>
      <c r="E950" s="4" t="s">
        <v>404</v>
      </c>
      <c r="F950" s="4"/>
      <c r="G950" s="29">
        <f>G951+G962+G967+G970</f>
        <v>50922010</v>
      </c>
      <c r="H950" s="29">
        <f>H951+H962+H970</f>
        <v>2296966</v>
      </c>
    </row>
    <row r="951" spans="1:8" ht="61.5">
      <c r="A951" s="3" t="s">
        <v>405</v>
      </c>
      <c r="B951" s="4" t="s">
        <v>11</v>
      </c>
      <c r="C951" s="4" t="s">
        <v>44</v>
      </c>
      <c r="D951" s="4" t="s">
        <v>917</v>
      </c>
      <c r="E951" s="4" t="s">
        <v>406</v>
      </c>
      <c r="F951" s="4"/>
      <c r="G951" s="29">
        <f>G952+G954+G956+G958+G960</f>
        <v>42225995.45</v>
      </c>
      <c r="H951" s="29">
        <f>H954+H958</f>
        <v>2233853</v>
      </c>
    </row>
    <row r="952" spans="1:8" ht="93">
      <c r="A952" s="3" t="s">
        <v>749</v>
      </c>
      <c r="B952" s="4" t="s">
        <v>11</v>
      </c>
      <c r="C952" s="4" t="s">
        <v>44</v>
      </c>
      <c r="D952" s="4" t="s">
        <v>917</v>
      </c>
      <c r="E952" s="4" t="s">
        <v>407</v>
      </c>
      <c r="F952" s="4"/>
      <c r="G952" s="29">
        <f>G953</f>
        <v>39228240.48</v>
      </c>
      <c r="H952" s="29"/>
    </row>
    <row r="953" spans="1:8" ht="61.5">
      <c r="A953" s="3" t="s">
        <v>525</v>
      </c>
      <c r="B953" s="4" t="s">
        <v>11</v>
      </c>
      <c r="C953" s="4" t="s">
        <v>44</v>
      </c>
      <c r="D953" s="4" t="s">
        <v>917</v>
      </c>
      <c r="E953" s="4" t="s">
        <v>407</v>
      </c>
      <c r="F953" s="4" t="s">
        <v>609</v>
      </c>
      <c r="G953" s="29">
        <f>41450487.11-2221694-552.63</f>
        <v>39228240.48</v>
      </c>
      <c r="H953" s="29"/>
    </row>
    <row r="954" spans="1:8" ht="108">
      <c r="A954" s="3" t="s">
        <v>859</v>
      </c>
      <c r="B954" s="4" t="s">
        <v>11</v>
      </c>
      <c r="C954" s="4" t="s">
        <v>44</v>
      </c>
      <c r="D954" s="4" t="s">
        <v>917</v>
      </c>
      <c r="E954" s="4" t="s">
        <v>408</v>
      </c>
      <c r="F954" s="4"/>
      <c r="G954" s="29">
        <f>G955</f>
        <v>2023853</v>
      </c>
      <c r="H954" s="29">
        <f>H955</f>
        <v>2023853</v>
      </c>
    </row>
    <row r="955" spans="1:10" ht="87" customHeight="1">
      <c r="A955" s="3" t="s">
        <v>525</v>
      </c>
      <c r="B955" s="4" t="s">
        <v>11</v>
      </c>
      <c r="C955" s="4" t="s">
        <v>44</v>
      </c>
      <c r="D955" s="4" t="s">
        <v>917</v>
      </c>
      <c r="E955" s="4" t="s">
        <v>408</v>
      </c>
      <c r="F955" s="4" t="s">
        <v>609</v>
      </c>
      <c r="G955" s="29">
        <f>2023853</f>
        <v>2023853</v>
      </c>
      <c r="H955" s="29">
        <f>G955</f>
        <v>2023853</v>
      </c>
      <c r="J955" s="26"/>
    </row>
    <row r="956" spans="1:10" ht="134.25" customHeight="1">
      <c r="A956" s="3" t="s">
        <v>859</v>
      </c>
      <c r="B956" s="4" t="s">
        <v>11</v>
      </c>
      <c r="C956" s="4" t="s">
        <v>44</v>
      </c>
      <c r="D956" s="4" t="s">
        <v>917</v>
      </c>
      <c r="E956" s="4" t="s">
        <v>409</v>
      </c>
      <c r="F956" s="4"/>
      <c r="G956" s="29">
        <f>G957</f>
        <v>752849.34</v>
      </c>
      <c r="H956" s="29"/>
      <c r="J956" s="26"/>
    </row>
    <row r="957" spans="1:10" ht="79.5" customHeight="1">
      <c r="A957" s="3" t="s">
        <v>525</v>
      </c>
      <c r="B957" s="4" t="s">
        <v>11</v>
      </c>
      <c r="C957" s="4" t="s">
        <v>44</v>
      </c>
      <c r="D957" s="4" t="s">
        <v>917</v>
      </c>
      <c r="E957" s="4" t="s">
        <v>409</v>
      </c>
      <c r="F957" s="4" t="s">
        <v>609</v>
      </c>
      <c r="G957" s="29">
        <v>752849.34</v>
      </c>
      <c r="H957" s="29"/>
      <c r="J957" s="26"/>
    </row>
    <row r="958" spans="1:10" ht="153.75" customHeight="1">
      <c r="A958" s="3" t="s">
        <v>347</v>
      </c>
      <c r="B958" s="4" t="s">
        <v>11</v>
      </c>
      <c r="C958" s="4" t="s">
        <v>44</v>
      </c>
      <c r="D958" s="4" t="s">
        <v>917</v>
      </c>
      <c r="E958" s="4" t="s">
        <v>410</v>
      </c>
      <c r="F958" s="4"/>
      <c r="G958" s="29">
        <v>210000</v>
      </c>
      <c r="H958" s="29">
        <f>H959</f>
        <v>210000</v>
      </c>
      <c r="J958" s="26"/>
    </row>
    <row r="959" spans="1:10" ht="84" customHeight="1">
      <c r="A959" s="3" t="s">
        <v>525</v>
      </c>
      <c r="B959" s="4" t="s">
        <v>11</v>
      </c>
      <c r="C959" s="4" t="s">
        <v>44</v>
      </c>
      <c r="D959" s="4" t="s">
        <v>917</v>
      </c>
      <c r="E959" s="4" t="s">
        <v>410</v>
      </c>
      <c r="F959" s="4" t="s">
        <v>609</v>
      </c>
      <c r="G959" s="29">
        <v>210000</v>
      </c>
      <c r="H959" s="29">
        <v>210000</v>
      </c>
      <c r="J959" s="26"/>
    </row>
    <row r="960" spans="1:10" ht="145.5" customHeight="1">
      <c r="A960" s="3" t="s">
        <v>347</v>
      </c>
      <c r="B960" s="4" t="s">
        <v>11</v>
      </c>
      <c r="C960" s="4" t="s">
        <v>44</v>
      </c>
      <c r="D960" s="4" t="s">
        <v>917</v>
      </c>
      <c r="E960" s="4" t="s">
        <v>411</v>
      </c>
      <c r="F960" s="4"/>
      <c r="G960" s="29">
        <f>G961</f>
        <v>11052.63</v>
      </c>
      <c r="H960" s="29"/>
      <c r="J960" s="26"/>
    </row>
    <row r="961" spans="1:8" ht="61.5">
      <c r="A961" s="3" t="s">
        <v>525</v>
      </c>
      <c r="B961" s="4" t="s">
        <v>11</v>
      </c>
      <c r="C961" s="4" t="s">
        <v>44</v>
      </c>
      <c r="D961" s="4" t="s">
        <v>917</v>
      </c>
      <c r="E961" s="4" t="s">
        <v>411</v>
      </c>
      <c r="F961" s="4" t="s">
        <v>609</v>
      </c>
      <c r="G961" s="29">
        <f>10500+552.63</f>
        <v>11052.63</v>
      </c>
      <c r="H961" s="29"/>
    </row>
    <row r="962" spans="1:8" ht="46.5">
      <c r="A962" s="3" t="s">
        <v>412</v>
      </c>
      <c r="B962" s="4" t="s">
        <v>11</v>
      </c>
      <c r="C962" s="4" t="s">
        <v>44</v>
      </c>
      <c r="D962" s="4" t="s">
        <v>917</v>
      </c>
      <c r="E962" s="4" t="s">
        <v>413</v>
      </c>
      <c r="F962" s="4"/>
      <c r="G962" s="29">
        <f>G963+G965</f>
        <v>4103071</v>
      </c>
      <c r="H962" s="29">
        <f>H965</f>
        <v>13113</v>
      </c>
    </row>
    <row r="963" spans="1:8" ht="93">
      <c r="A963" s="3" t="s">
        <v>749</v>
      </c>
      <c r="B963" s="4" t="s">
        <v>11</v>
      </c>
      <c r="C963" s="4" t="s">
        <v>44</v>
      </c>
      <c r="D963" s="4" t="s">
        <v>917</v>
      </c>
      <c r="E963" s="4" t="s">
        <v>414</v>
      </c>
      <c r="F963" s="4"/>
      <c r="G963" s="29">
        <f>G964</f>
        <v>4089958</v>
      </c>
      <c r="H963" s="29"/>
    </row>
    <row r="964" spans="1:8" ht="61.5">
      <c r="A964" s="3" t="s">
        <v>525</v>
      </c>
      <c r="B964" s="4" t="s">
        <v>11</v>
      </c>
      <c r="C964" s="4" t="s">
        <v>44</v>
      </c>
      <c r="D964" s="4" t="s">
        <v>917</v>
      </c>
      <c r="E964" s="4" t="s">
        <v>414</v>
      </c>
      <c r="F964" s="4" t="s">
        <v>609</v>
      </c>
      <c r="G964" s="29">
        <v>4089958</v>
      </c>
      <c r="H964" s="29"/>
    </row>
    <row r="965" spans="1:8" ht="77.25">
      <c r="A965" s="3" t="s">
        <v>1149</v>
      </c>
      <c r="B965" s="4" t="s">
        <v>11</v>
      </c>
      <c r="C965" s="4" t="s">
        <v>44</v>
      </c>
      <c r="D965" s="4" t="s">
        <v>917</v>
      </c>
      <c r="E965" s="4" t="s">
        <v>415</v>
      </c>
      <c r="F965" s="4"/>
      <c r="G965" s="29">
        <f>G966</f>
        <v>13113</v>
      </c>
      <c r="H965" s="29">
        <f>H966</f>
        <v>13113</v>
      </c>
    </row>
    <row r="966" spans="1:8" ht="61.5">
      <c r="A966" s="3" t="s">
        <v>525</v>
      </c>
      <c r="B966" s="4" t="s">
        <v>11</v>
      </c>
      <c r="C966" s="4" t="s">
        <v>44</v>
      </c>
      <c r="D966" s="4" t="s">
        <v>917</v>
      </c>
      <c r="E966" s="4" t="s">
        <v>415</v>
      </c>
      <c r="F966" s="4" t="s">
        <v>609</v>
      </c>
      <c r="G966" s="29">
        <f>14937-1824</f>
        <v>13113</v>
      </c>
      <c r="H966" s="29">
        <f>G966</f>
        <v>13113</v>
      </c>
    </row>
    <row r="967" spans="1:8" ht="61.5">
      <c r="A967" s="3" t="s">
        <v>1148</v>
      </c>
      <c r="B967" s="4" t="s">
        <v>11</v>
      </c>
      <c r="C967" s="4" t="s">
        <v>44</v>
      </c>
      <c r="D967" s="4" t="s">
        <v>917</v>
      </c>
      <c r="E967" s="4" t="s">
        <v>416</v>
      </c>
      <c r="F967" s="4"/>
      <c r="G967" s="29">
        <f>G968</f>
        <v>4434436.55</v>
      </c>
      <c r="H967" s="29"/>
    </row>
    <row r="968" spans="1:8" ht="93">
      <c r="A968" s="3" t="s">
        <v>749</v>
      </c>
      <c r="B968" s="4" t="s">
        <v>11</v>
      </c>
      <c r="C968" s="4" t="s">
        <v>44</v>
      </c>
      <c r="D968" s="4" t="s">
        <v>917</v>
      </c>
      <c r="E968" s="4" t="s">
        <v>417</v>
      </c>
      <c r="F968" s="4"/>
      <c r="G968" s="29">
        <f>G969</f>
        <v>4434436.55</v>
      </c>
      <c r="H968" s="29"/>
    </row>
    <row r="969" spans="1:10" ht="61.5">
      <c r="A969" s="3" t="s">
        <v>525</v>
      </c>
      <c r="B969" s="4" t="s">
        <v>11</v>
      </c>
      <c r="C969" s="4" t="s">
        <v>44</v>
      </c>
      <c r="D969" s="4" t="s">
        <v>917</v>
      </c>
      <c r="E969" s="4" t="s">
        <v>417</v>
      </c>
      <c r="F969" s="4" t="s">
        <v>609</v>
      </c>
      <c r="G969" s="29">
        <v>4434436.55</v>
      </c>
      <c r="H969" s="29"/>
      <c r="J969" s="26"/>
    </row>
    <row r="970" spans="1:8" ht="93">
      <c r="A970" s="3" t="s">
        <v>418</v>
      </c>
      <c r="B970" s="4" t="s">
        <v>11</v>
      </c>
      <c r="C970" s="4" t="s">
        <v>44</v>
      </c>
      <c r="D970" s="4" t="s">
        <v>917</v>
      </c>
      <c r="E970" s="4" t="s">
        <v>419</v>
      </c>
      <c r="F970" s="4"/>
      <c r="G970" s="29">
        <f>G971+G974</f>
        <v>158507</v>
      </c>
      <c r="H970" s="29">
        <f>H971+H974</f>
        <v>50000</v>
      </c>
    </row>
    <row r="971" spans="1:8" ht="93">
      <c r="A971" s="3" t="s">
        <v>749</v>
      </c>
      <c r="B971" s="4" t="s">
        <v>11</v>
      </c>
      <c r="C971" s="4" t="s">
        <v>44</v>
      </c>
      <c r="D971" s="4" t="s">
        <v>917</v>
      </c>
      <c r="E971" s="4" t="s">
        <v>420</v>
      </c>
      <c r="F971" s="4"/>
      <c r="G971" s="29">
        <f>G972</f>
        <v>108507</v>
      </c>
      <c r="H971" s="29"/>
    </row>
    <row r="972" spans="1:8" ht="61.5">
      <c r="A972" s="3" t="s">
        <v>525</v>
      </c>
      <c r="B972" s="4" t="s">
        <v>11</v>
      </c>
      <c r="C972" s="4" t="s">
        <v>44</v>
      </c>
      <c r="D972" s="4" t="s">
        <v>917</v>
      </c>
      <c r="E972" s="4" t="s">
        <v>420</v>
      </c>
      <c r="F972" s="4" t="s">
        <v>609</v>
      </c>
      <c r="G972" s="29">
        <v>108507</v>
      </c>
      <c r="H972" s="29"/>
    </row>
    <row r="973" spans="1:8" ht="61.5">
      <c r="A973" s="3" t="s">
        <v>1162</v>
      </c>
      <c r="B973" s="4" t="s">
        <v>11</v>
      </c>
      <c r="C973" s="4" t="s">
        <v>44</v>
      </c>
      <c r="D973" s="4" t="s">
        <v>917</v>
      </c>
      <c r="E973" s="4" t="s">
        <v>1207</v>
      </c>
      <c r="F973" s="4"/>
      <c r="G973" s="29">
        <f>G974</f>
        <v>50000</v>
      </c>
      <c r="H973" s="29">
        <f>H974</f>
        <v>50000</v>
      </c>
    </row>
    <row r="974" spans="1:8" ht="61.5">
      <c r="A974" s="3" t="s">
        <v>525</v>
      </c>
      <c r="B974" s="4" t="s">
        <v>11</v>
      </c>
      <c r="C974" s="4" t="s">
        <v>44</v>
      </c>
      <c r="D974" s="4" t="s">
        <v>917</v>
      </c>
      <c r="E974" s="4" t="s">
        <v>1207</v>
      </c>
      <c r="F974" s="4" t="s">
        <v>609</v>
      </c>
      <c r="G974" s="29">
        <f>50000</f>
        <v>50000</v>
      </c>
      <c r="H974" s="29">
        <f>G974</f>
        <v>50000</v>
      </c>
    </row>
    <row r="975" spans="1:8" ht="30.75">
      <c r="A975" s="3" t="s">
        <v>135</v>
      </c>
      <c r="B975" s="4" t="s">
        <v>11</v>
      </c>
      <c r="C975" s="4" t="s">
        <v>44</v>
      </c>
      <c r="D975" s="4" t="s">
        <v>917</v>
      </c>
      <c r="E975" s="4" t="s">
        <v>421</v>
      </c>
      <c r="F975" s="4"/>
      <c r="G975" s="29">
        <f>G976+G979+G982</f>
        <v>13664747.999999998</v>
      </c>
      <c r="H975" s="29">
        <f>H982</f>
        <v>582512</v>
      </c>
    </row>
    <row r="976" spans="1:8" ht="30.75">
      <c r="A976" s="3" t="s">
        <v>422</v>
      </c>
      <c r="B976" s="4" t="s">
        <v>11</v>
      </c>
      <c r="C976" s="4" t="s">
        <v>44</v>
      </c>
      <c r="D976" s="4" t="s">
        <v>917</v>
      </c>
      <c r="E976" s="4" t="s">
        <v>423</v>
      </c>
      <c r="F976" s="4"/>
      <c r="G976" s="29">
        <f>G977</f>
        <v>46980</v>
      </c>
      <c r="H976" s="29"/>
    </row>
    <row r="977" spans="1:8" ht="93">
      <c r="A977" s="3" t="s">
        <v>749</v>
      </c>
      <c r="B977" s="4" t="s">
        <v>11</v>
      </c>
      <c r="C977" s="4" t="s">
        <v>44</v>
      </c>
      <c r="D977" s="4" t="s">
        <v>917</v>
      </c>
      <c r="E977" s="4" t="s">
        <v>424</v>
      </c>
      <c r="F977" s="4"/>
      <c r="G977" s="29">
        <f>G978</f>
        <v>46980</v>
      </c>
      <c r="H977" s="29"/>
    </row>
    <row r="978" spans="1:8" ht="61.5">
      <c r="A978" s="3" t="s">
        <v>525</v>
      </c>
      <c r="B978" s="4" t="s">
        <v>11</v>
      </c>
      <c r="C978" s="4" t="s">
        <v>44</v>
      </c>
      <c r="D978" s="4" t="s">
        <v>917</v>
      </c>
      <c r="E978" s="4" t="s">
        <v>424</v>
      </c>
      <c r="F978" s="4" t="s">
        <v>609</v>
      </c>
      <c r="G978" s="29">
        <v>46980</v>
      </c>
      <c r="H978" s="29"/>
    </row>
    <row r="979" spans="1:8" ht="61.5">
      <c r="A979" s="3" t="s">
        <v>425</v>
      </c>
      <c r="B979" s="4" t="s">
        <v>11</v>
      </c>
      <c r="C979" s="4" t="s">
        <v>44</v>
      </c>
      <c r="D979" s="4" t="s">
        <v>917</v>
      </c>
      <c r="E979" s="4" t="s">
        <v>426</v>
      </c>
      <c r="F979" s="4"/>
      <c r="G979" s="29">
        <f>G980</f>
        <v>377557.2</v>
      </c>
      <c r="H979" s="29"/>
    </row>
    <row r="980" spans="1:8" ht="93">
      <c r="A980" s="3" t="s">
        <v>749</v>
      </c>
      <c r="B980" s="4" t="s">
        <v>11</v>
      </c>
      <c r="C980" s="4" t="s">
        <v>44</v>
      </c>
      <c r="D980" s="4" t="s">
        <v>917</v>
      </c>
      <c r="E980" s="4" t="s">
        <v>427</v>
      </c>
      <c r="F980" s="4"/>
      <c r="G980" s="29">
        <f>G981</f>
        <v>377557.2</v>
      </c>
      <c r="H980" s="29"/>
    </row>
    <row r="981" spans="1:8" ht="61.5">
      <c r="A981" s="3" t="s">
        <v>525</v>
      </c>
      <c r="B981" s="4" t="s">
        <v>11</v>
      </c>
      <c r="C981" s="4" t="s">
        <v>44</v>
      </c>
      <c r="D981" s="4" t="s">
        <v>917</v>
      </c>
      <c r="E981" s="4" t="s">
        <v>427</v>
      </c>
      <c r="F981" s="4" t="s">
        <v>609</v>
      </c>
      <c r="G981" s="29">
        <v>377557.2</v>
      </c>
      <c r="H981" s="29"/>
    </row>
    <row r="982" spans="1:8" ht="108">
      <c r="A982" s="3" t="s">
        <v>428</v>
      </c>
      <c r="B982" s="4" t="s">
        <v>11</v>
      </c>
      <c r="C982" s="4" t="s">
        <v>44</v>
      </c>
      <c r="D982" s="4" t="s">
        <v>917</v>
      </c>
      <c r="E982" s="4" t="s">
        <v>429</v>
      </c>
      <c r="F982" s="4"/>
      <c r="G982" s="29">
        <f>G983+G985+G987</f>
        <v>13240210.799999999</v>
      </c>
      <c r="H982" s="29">
        <f>H983</f>
        <v>582512</v>
      </c>
    </row>
    <row r="983" spans="1:8" ht="87" customHeight="1">
      <c r="A983" s="3" t="s">
        <v>749</v>
      </c>
      <c r="B983" s="4" t="s">
        <v>11</v>
      </c>
      <c r="C983" s="4" t="s">
        <v>44</v>
      </c>
      <c r="D983" s="4" t="s">
        <v>917</v>
      </c>
      <c r="E983" s="4" t="s">
        <v>430</v>
      </c>
      <c r="F983" s="4"/>
      <c r="G983" s="29">
        <f>G984</f>
        <v>12468937.69</v>
      </c>
      <c r="H983" s="29">
        <f>H985</f>
        <v>582512</v>
      </c>
    </row>
    <row r="984" spans="1:8" ht="61.5">
      <c r="A984" s="3" t="s">
        <v>525</v>
      </c>
      <c r="B984" s="4" t="s">
        <v>11</v>
      </c>
      <c r="C984" s="4" t="s">
        <v>44</v>
      </c>
      <c r="D984" s="4" t="s">
        <v>917</v>
      </c>
      <c r="E984" s="4" t="s">
        <v>430</v>
      </c>
      <c r="F984" s="4" t="s">
        <v>609</v>
      </c>
      <c r="G984" s="29">
        <v>12468937.69</v>
      </c>
      <c r="H984" s="29"/>
    </row>
    <row r="985" spans="1:8" ht="108">
      <c r="A985" s="3" t="s">
        <v>859</v>
      </c>
      <c r="B985" s="4" t="s">
        <v>11</v>
      </c>
      <c r="C985" s="4" t="s">
        <v>44</v>
      </c>
      <c r="D985" s="4" t="s">
        <v>917</v>
      </c>
      <c r="E985" s="4" t="s">
        <v>431</v>
      </c>
      <c r="F985" s="4"/>
      <c r="G985" s="29">
        <f>G986</f>
        <v>582512</v>
      </c>
      <c r="H985" s="29">
        <f>H986</f>
        <v>582512</v>
      </c>
    </row>
    <row r="986" spans="1:8" ht="61.5">
      <c r="A986" s="3" t="s">
        <v>525</v>
      </c>
      <c r="B986" s="4" t="s">
        <v>11</v>
      </c>
      <c r="C986" s="4" t="s">
        <v>44</v>
      </c>
      <c r="D986" s="4" t="s">
        <v>917</v>
      </c>
      <c r="E986" s="4" t="s">
        <v>431</v>
      </c>
      <c r="F986" s="4" t="s">
        <v>609</v>
      </c>
      <c r="G986" s="29">
        <v>582512</v>
      </c>
      <c r="H986" s="29">
        <f>G986</f>
        <v>582512</v>
      </c>
    </row>
    <row r="987" spans="1:8" ht="108">
      <c r="A987" s="3" t="s">
        <v>859</v>
      </c>
      <c r="B987" s="4" t="s">
        <v>11</v>
      </c>
      <c r="C987" s="4" t="s">
        <v>44</v>
      </c>
      <c r="D987" s="4" t="s">
        <v>917</v>
      </c>
      <c r="E987" s="4" t="s">
        <v>432</v>
      </c>
      <c r="F987" s="4"/>
      <c r="G987" s="29">
        <f>G988</f>
        <v>188761.11</v>
      </c>
      <c r="H987" s="29"/>
    </row>
    <row r="988" spans="1:8" ht="61.5">
      <c r="A988" s="3" t="s">
        <v>525</v>
      </c>
      <c r="B988" s="4" t="s">
        <v>11</v>
      </c>
      <c r="C988" s="4" t="s">
        <v>44</v>
      </c>
      <c r="D988" s="4" t="s">
        <v>917</v>
      </c>
      <c r="E988" s="4" t="s">
        <v>432</v>
      </c>
      <c r="F988" s="4" t="s">
        <v>609</v>
      </c>
      <c r="G988" s="29">
        <v>188761.11</v>
      </c>
      <c r="H988" s="29"/>
    </row>
    <row r="989" spans="1:8" ht="61.5">
      <c r="A989" s="3" t="s">
        <v>1117</v>
      </c>
      <c r="B989" s="4" t="s">
        <v>11</v>
      </c>
      <c r="C989" s="4" t="s">
        <v>44</v>
      </c>
      <c r="D989" s="4" t="s">
        <v>917</v>
      </c>
      <c r="E989" s="4" t="s">
        <v>1118</v>
      </c>
      <c r="F989" s="4"/>
      <c r="G989" s="29">
        <f>G990</f>
        <v>25000</v>
      </c>
      <c r="H989" s="29"/>
    </row>
    <row r="990" spans="1:8" ht="77.25">
      <c r="A990" s="3" t="s">
        <v>1166</v>
      </c>
      <c r="B990" s="4" t="s">
        <v>11</v>
      </c>
      <c r="C990" s="4" t="s">
        <v>44</v>
      </c>
      <c r="D990" s="4" t="s">
        <v>917</v>
      </c>
      <c r="E990" s="4" t="s">
        <v>1167</v>
      </c>
      <c r="F990" s="4"/>
      <c r="G990" s="29">
        <f>G991</f>
        <v>25000</v>
      </c>
      <c r="H990" s="29"/>
    </row>
    <row r="991" spans="1:8" ht="30.75">
      <c r="A991" s="3" t="s">
        <v>523</v>
      </c>
      <c r="B991" s="4" t="s">
        <v>11</v>
      </c>
      <c r="C991" s="4" t="s">
        <v>44</v>
      </c>
      <c r="D991" s="4" t="s">
        <v>917</v>
      </c>
      <c r="E991" s="4" t="s">
        <v>1168</v>
      </c>
      <c r="F991" s="4"/>
      <c r="G991" s="29">
        <f>G992</f>
        <v>25000</v>
      </c>
      <c r="H991" s="29"/>
    </row>
    <row r="992" spans="1:8" ht="61.5">
      <c r="A992" s="3" t="s">
        <v>525</v>
      </c>
      <c r="B992" s="4" t="s">
        <v>11</v>
      </c>
      <c r="C992" s="4" t="s">
        <v>44</v>
      </c>
      <c r="D992" s="4" t="s">
        <v>917</v>
      </c>
      <c r="E992" s="4" t="s">
        <v>1168</v>
      </c>
      <c r="F992" s="4" t="s">
        <v>609</v>
      </c>
      <c r="G992" s="29">
        <f>25000</f>
        <v>25000</v>
      </c>
      <c r="H992" s="29"/>
    </row>
    <row r="993" spans="1:8" ht="77.25">
      <c r="A993" s="3" t="s">
        <v>1169</v>
      </c>
      <c r="B993" s="4" t="s">
        <v>11</v>
      </c>
      <c r="C993" s="4" t="s">
        <v>44</v>
      </c>
      <c r="D993" s="4" t="s">
        <v>917</v>
      </c>
      <c r="E993" s="4" t="s">
        <v>1170</v>
      </c>
      <c r="F993" s="4"/>
      <c r="G993" s="29">
        <f>G994</f>
        <v>34960</v>
      </c>
      <c r="H993" s="29"/>
    </row>
    <row r="994" spans="1:8" ht="77.25">
      <c r="A994" s="3" t="s">
        <v>1171</v>
      </c>
      <c r="B994" s="4" t="s">
        <v>11</v>
      </c>
      <c r="C994" s="4" t="s">
        <v>44</v>
      </c>
      <c r="D994" s="4" t="s">
        <v>917</v>
      </c>
      <c r="E994" s="4" t="s">
        <v>1172</v>
      </c>
      <c r="F994" s="4"/>
      <c r="G994" s="29">
        <f>G995</f>
        <v>34960</v>
      </c>
      <c r="H994" s="29"/>
    </row>
    <row r="995" spans="1:8" ht="30.75">
      <c r="A995" s="3" t="s">
        <v>523</v>
      </c>
      <c r="B995" s="4" t="s">
        <v>11</v>
      </c>
      <c r="C995" s="4" t="s">
        <v>44</v>
      </c>
      <c r="D995" s="4" t="s">
        <v>917</v>
      </c>
      <c r="E995" s="4" t="s">
        <v>1173</v>
      </c>
      <c r="F995" s="4"/>
      <c r="G995" s="29">
        <f>G996</f>
        <v>34960</v>
      </c>
      <c r="H995" s="29"/>
    </row>
    <row r="996" spans="1:8" ht="61.5">
      <c r="A996" s="3" t="s">
        <v>525</v>
      </c>
      <c r="B996" s="4" t="s">
        <v>11</v>
      </c>
      <c r="C996" s="4" t="s">
        <v>44</v>
      </c>
      <c r="D996" s="4" t="s">
        <v>917</v>
      </c>
      <c r="E996" s="4" t="s">
        <v>1173</v>
      </c>
      <c r="F996" s="4" t="s">
        <v>609</v>
      </c>
      <c r="G996" s="29">
        <f>10000+24960</f>
        <v>34960</v>
      </c>
      <c r="H996" s="29"/>
    </row>
    <row r="997" spans="1:8" ht="61.5">
      <c r="A997" s="3" t="s">
        <v>89</v>
      </c>
      <c r="B997" s="4" t="s">
        <v>11</v>
      </c>
      <c r="C997" s="4" t="s">
        <v>44</v>
      </c>
      <c r="D997" s="4" t="s">
        <v>917</v>
      </c>
      <c r="E997" s="4" t="s">
        <v>790</v>
      </c>
      <c r="F997" s="4"/>
      <c r="G997" s="29">
        <f>G1002+G998+G1005</f>
        <v>2122506</v>
      </c>
      <c r="H997" s="29"/>
    </row>
    <row r="998" spans="1:8" ht="123.75">
      <c r="A998" s="3" t="s">
        <v>1174</v>
      </c>
      <c r="B998" s="4" t="s">
        <v>11</v>
      </c>
      <c r="C998" s="4" t="s">
        <v>44</v>
      </c>
      <c r="D998" s="4" t="s">
        <v>917</v>
      </c>
      <c r="E998" s="4" t="s">
        <v>1176</v>
      </c>
      <c r="F998" s="4"/>
      <c r="G998" s="29">
        <f>G1000</f>
        <v>35000</v>
      </c>
      <c r="H998" s="29"/>
    </row>
    <row r="999" spans="1:8" ht="61.5">
      <c r="A999" s="3" t="s">
        <v>1175</v>
      </c>
      <c r="B999" s="4"/>
      <c r="C999" s="4"/>
      <c r="D999" s="4"/>
      <c r="E999" s="4"/>
      <c r="F999" s="4"/>
      <c r="G999" s="29"/>
      <c r="H999" s="29"/>
    </row>
    <row r="1000" spans="1:8" ht="30.75">
      <c r="A1000" s="3" t="s">
        <v>523</v>
      </c>
      <c r="B1000" s="4" t="s">
        <v>11</v>
      </c>
      <c r="C1000" s="4" t="s">
        <v>44</v>
      </c>
      <c r="D1000" s="4" t="s">
        <v>917</v>
      </c>
      <c r="E1000" s="4" t="s">
        <v>1177</v>
      </c>
      <c r="F1000" s="4"/>
      <c r="G1000" s="29">
        <f>G1001</f>
        <v>35000</v>
      </c>
      <c r="H1000" s="29"/>
    </row>
    <row r="1001" spans="1:8" ht="61.5">
      <c r="A1001" s="3" t="s">
        <v>525</v>
      </c>
      <c r="B1001" s="4" t="s">
        <v>11</v>
      </c>
      <c r="C1001" s="4" t="s">
        <v>44</v>
      </c>
      <c r="D1001" s="4" t="s">
        <v>917</v>
      </c>
      <c r="E1001" s="4" t="s">
        <v>1177</v>
      </c>
      <c r="F1001" s="4" t="s">
        <v>609</v>
      </c>
      <c r="G1001" s="29">
        <f>35000</f>
        <v>35000</v>
      </c>
      <c r="H1001" s="29"/>
    </row>
    <row r="1002" spans="1:8" ht="46.5">
      <c r="A1002" s="3" t="s">
        <v>1122</v>
      </c>
      <c r="B1002" s="4" t="s">
        <v>11</v>
      </c>
      <c r="C1002" s="4" t="s">
        <v>44</v>
      </c>
      <c r="D1002" s="4" t="s">
        <v>917</v>
      </c>
      <c r="E1002" s="4" t="s">
        <v>1123</v>
      </c>
      <c r="F1002" s="4"/>
      <c r="G1002" s="29">
        <f>G1003</f>
        <v>1184109</v>
      </c>
      <c r="H1002" s="29"/>
    </row>
    <row r="1003" spans="1:8" ht="46.5">
      <c r="A1003" s="3" t="s">
        <v>756</v>
      </c>
      <c r="B1003" s="4" t="s">
        <v>11</v>
      </c>
      <c r="C1003" s="4" t="s">
        <v>44</v>
      </c>
      <c r="D1003" s="4" t="s">
        <v>917</v>
      </c>
      <c r="E1003" s="4" t="s">
        <v>1124</v>
      </c>
      <c r="F1003" s="4"/>
      <c r="G1003" s="29">
        <f>G1004</f>
        <v>1184109</v>
      </c>
      <c r="H1003" s="29"/>
    </row>
    <row r="1004" spans="1:8" ht="61.5">
      <c r="A1004" s="3" t="s">
        <v>525</v>
      </c>
      <c r="B1004" s="4" t="s">
        <v>11</v>
      </c>
      <c r="C1004" s="4" t="s">
        <v>44</v>
      </c>
      <c r="D1004" s="4" t="s">
        <v>917</v>
      </c>
      <c r="E1004" s="4" t="s">
        <v>1124</v>
      </c>
      <c r="F1004" s="4" t="s">
        <v>609</v>
      </c>
      <c r="G1004" s="29">
        <f>1184109</f>
        <v>1184109</v>
      </c>
      <c r="H1004" s="29"/>
    </row>
    <row r="1005" spans="1:8" ht="30.75">
      <c r="A1005" s="3" t="s">
        <v>1208</v>
      </c>
      <c r="B1005" s="4" t="s">
        <v>11</v>
      </c>
      <c r="C1005" s="4" t="s">
        <v>44</v>
      </c>
      <c r="D1005" s="4" t="s">
        <v>917</v>
      </c>
      <c r="E1005" s="4" t="s">
        <v>1209</v>
      </c>
      <c r="F1005" s="4"/>
      <c r="G1005" s="29">
        <f>G1006</f>
        <v>903397</v>
      </c>
      <c r="H1005" s="29"/>
    </row>
    <row r="1006" spans="1:8" ht="46.5">
      <c r="A1006" s="3" t="s">
        <v>756</v>
      </c>
      <c r="B1006" s="4" t="s">
        <v>11</v>
      </c>
      <c r="C1006" s="4" t="s">
        <v>44</v>
      </c>
      <c r="D1006" s="4" t="s">
        <v>917</v>
      </c>
      <c r="E1006" s="4" t="s">
        <v>1210</v>
      </c>
      <c r="F1006" s="4"/>
      <c r="G1006" s="29">
        <f>G1007</f>
        <v>903397</v>
      </c>
      <c r="H1006" s="29"/>
    </row>
    <row r="1007" spans="1:8" ht="61.5">
      <c r="A1007" s="3" t="s">
        <v>525</v>
      </c>
      <c r="B1007" s="4" t="s">
        <v>11</v>
      </c>
      <c r="C1007" s="4" t="s">
        <v>44</v>
      </c>
      <c r="D1007" s="4" t="s">
        <v>917</v>
      </c>
      <c r="E1007" s="4" t="s">
        <v>1210</v>
      </c>
      <c r="F1007" s="4" t="s">
        <v>609</v>
      </c>
      <c r="G1007" s="29">
        <f>903397</f>
        <v>903397</v>
      </c>
      <c r="H1007" s="29"/>
    </row>
    <row r="1008" spans="1:8" ht="15">
      <c r="A1008" s="13" t="s">
        <v>54</v>
      </c>
      <c r="B1008" s="5" t="s">
        <v>11</v>
      </c>
      <c r="C1008" s="5" t="s">
        <v>48</v>
      </c>
      <c r="D1008" s="5"/>
      <c r="E1008" s="5"/>
      <c r="F1008" s="23"/>
      <c r="G1008" s="28">
        <f>G1009</f>
        <v>677605</v>
      </c>
      <c r="H1008" s="28">
        <f>H1009</f>
        <v>677605</v>
      </c>
    </row>
    <row r="1009" spans="1:8" ht="30.75">
      <c r="A1009" s="1" t="s">
        <v>738</v>
      </c>
      <c r="B1009" s="2" t="s">
        <v>11</v>
      </c>
      <c r="C1009" s="2" t="s">
        <v>48</v>
      </c>
      <c r="D1009" s="2" t="s">
        <v>47</v>
      </c>
      <c r="E1009" s="2"/>
      <c r="F1009" s="4"/>
      <c r="G1009" s="33">
        <f>G1010</f>
        <v>677605</v>
      </c>
      <c r="H1009" s="33">
        <f>H1010</f>
        <v>677605</v>
      </c>
    </row>
    <row r="1010" spans="1:8" ht="61.5">
      <c r="A1010" s="3" t="s">
        <v>107</v>
      </c>
      <c r="B1010" s="4" t="s">
        <v>11</v>
      </c>
      <c r="C1010" s="4" t="s">
        <v>48</v>
      </c>
      <c r="D1010" s="4" t="s">
        <v>47</v>
      </c>
      <c r="E1010" s="4" t="s">
        <v>682</v>
      </c>
      <c r="F1010" s="4"/>
      <c r="G1010" s="29">
        <f>G1011+G1017</f>
        <v>677605</v>
      </c>
      <c r="H1010" s="29">
        <f>G1010</f>
        <v>677605</v>
      </c>
    </row>
    <row r="1011" spans="1:10" ht="61.5">
      <c r="A1011" s="3" t="s">
        <v>150</v>
      </c>
      <c r="B1011" s="4" t="s">
        <v>11</v>
      </c>
      <c r="C1011" s="4" t="s">
        <v>48</v>
      </c>
      <c r="D1011" s="4" t="s">
        <v>47</v>
      </c>
      <c r="E1011" s="4" t="s">
        <v>683</v>
      </c>
      <c r="F1011" s="4"/>
      <c r="G1011" s="29">
        <f>G1013+G1015</f>
        <v>494527</v>
      </c>
      <c r="H1011" s="29">
        <f>G1011</f>
        <v>494527</v>
      </c>
      <c r="J1011" s="26"/>
    </row>
    <row r="1012" spans="1:10" ht="30.75">
      <c r="A1012" s="3" t="s">
        <v>395</v>
      </c>
      <c r="B1012" s="4" t="s">
        <v>11</v>
      </c>
      <c r="C1012" s="4" t="s">
        <v>48</v>
      </c>
      <c r="D1012" s="4" t="s">
        <v>47</v>
      </c>
      <c r="E1012" s="4" t="s">
        <v>396</v>
      </c>
      <c r="F1012" s="4"/>
      <c r="G1012" s="29">
        <f>G1013+G1015</f>
        <v>494527</v>
      </c>
      <c r="H1012" s="29">
        <f>H1013+H1015</f>
        <v>494527</v>
      </c>
      <c r="J1012" s="26"/>
    </row>
    <row r="1013" spans="1:10" ht="123.75">
      <c r="A1013" s="3" t="s">
        <v>359</v>
      </c>
      <c r="B1013" s="4" t="s">
        <v>11</v>
      </c>
      <c r="C1013" s="4" t="s">
        <v>48</v>
      </c>
      <c r="D1013" s="4" t="s">
        <v>47</v>
      </c>
      <c r="E1013" s="4" t="s">
        <v>433</v>
      </c>
      <c r="F1013" s="4"/>
      <c r="G1013" s="29">
        <f>G1014</f>
        <v>3327</v>
      </c>
      <c r="H1013" s="29">
        <f>H1014</f>
        <v>3327</v>
      </c>
      <c r="J1013" s="26"/>
    </row>
    <row r="1014" spans="1:10" ht="61.5">
      <c r="A1014" s="3" t="s">
        <v>525</v>
      </c>
      <c r="B1014" s="4" t="s">
        <v>11</v>
      </c>
      <c r="C1014" s="4" t="s">
        <v>48</v>
      </c>
      <c r="D1014" s="4" t="s">
        <v>47</v>
      </c>
      <c r="E1014" s="4" t="s">
        <v>433</v>
      </c>
      <c r="F1014" s="4" t="s">
        <v>609</v>
      </c>
      <c r="G1014" s="29">
        <v>3327</v>
      </c>
      <c r="H1014" s="29">
        <f>G1014</f>
        <v>3327</v>
      </c>
      <c r="J1014" s="26"/>
    </row>
    <row r="1015" spans="1:10" ht="123.75">
      <c r="A1015" s="3" t="s">
        <v>496</v>
      </c>
      <c r="B1015" s="4" t="s">
        <v>11</v>
      </c>
      <c r="C1015" s="4" t="s">
        <v>48</v>
      </c>
      <c r="D1015" s="4" t="s">
        <v>47</v>
      </c>
      <c r="E1015" s="4" t="s">
        <v>434</v>
      </c>
      <c r="F1015" s="4"/>
      <c r="G1015" s="29">
        <f>G1016</f>
        <v>491200</v>
      </c>
      <c r="H1015" s="29">
        <f>H1016</f>
        <v>491200</v>
      </c>
      <c r="J1015" s="26"/>
    </row>
    <row r="1016" spans="1:10" ht="61.5">
      <c r="A1016" s="3" t="s">
        <v>525</v>
      </c>
      <c r="B1016" s="4" t="s">
        <v>11</v>
      </c>
      <c r="C1016" s="4" t="s">
        <v>48</v>
      </c>
      <c r="D1016" s="4" t="s">
        <v>47</v>
      </c>
      <c r="E1016" s="4" t="s">
        <v>434</v>
      </c>
      <c r="F1016" s="4" t="s">
        <v>609</v>
      </c>
      <c r="G1016" s="29">
        <f>300000+191200</f>
        <v>491200</v>
      </c>
      <c r="H1016" s="29">
        <f>G1016</f>
        <v>491200</v>
      </c>
      <c r="J1016" s="26"/>
    </row>
    <row r="1017" spans="1:10" ht="30.75">
      <c r="A1017" s="3" t="s">
        <v>3</v>
      </c>
      <c r="B1017" s="4" t="s">
        <v>11</v>
      </c>
      <c r="C1017" s="4" t="s">
        <v>48</v>
      </c>
      <c r="D1017" s="4" t="s">
        <v>47</v>
      </c>
      <c r="E1017" s="4" t="s">
        <v>404</v>
      </c>
      <c r="F1017" s="4"/>
      <c r="G1017" s="29">
        <f>G1019+G1021</f>
        <v>183078</v>
      </c>
      <c r="H1017" s="29">
        <f>G1017</f>
        <v>183078</v>
      </c>
      <c r="J1017" s="26"/>
    </row>
    <row r="1018" spans="1:10" ht="61.5">
      <c r="A1018" s="3" t="s">
        <v>405</v>
      </c>
      <c r="B1018" s="4" t="s">
        <v>11</v>
      </c>
      <c r="C1018" s="4" t="s">
        <v>48</v>
      </c>
      <c r="D1018" s="4" t="s">
        <v>47</v>
      </c>
      <c r="E1018" s="4" t="s">
        <v>406</v>
      </c>
      <c r="F1018" s="4"/>
      <c r="G1018" s="29">
        <f>G1019+G1021</f>
        <v>183078</v>
      </c>
      <c r="H1018" s="29">
        <f>H1019+H1021</f>
        <v>183078</v>
      </c>
      <c r="J1018" s="26"/>
    </row>
    <row r="1019" spans="1:10" ht="123.75">
      <c r="A1019" s="3" t="s">
        <v>359</v>
      </c>
      <c r="B1019" s="4" t="s">
        <v>11</v>
      </c>
      <c r="C1019" s="4" t="s">
        <v>48</v>
      </c>
      <c r="D1019" s="4" t="s">
        <v>47</v>
      </c>
      <c r="E1019" s="4" t="s">
        <v>435</v>
      </c>
      <c r="F1019" s="4"/>
      <c r="G1019" s="29">
        <f>G1020</f>
        <v>1340</v>
      </c>
      <c r="H1019" s="29">
        <f>H1020</f>
        <v>1340</v>
      </c>
      <c r="J1019" s="26"/>
    </row>
    <row r="1020" spans="1:10" ht="80.25" customHeight="1">
      <c r="A1020" s="3" t="s">
        <v>525</v>
      </c>
      <c r="B1020" s="4" t="s">
        <v>11</v>
      </c>
      <c r="C1020" s="4" t="s">
        <v>48</v>
      </c>
      <c r="D1020" s="4" t="s">
        <v>47</v>
      </c>
      <c r="E1020" s="4" t="s">
        <v>435</v>
      </c>
      <c r="F1020" s="4" t="s">
        <v>609</v>
      </c>
      <c r="G1020" s="29">
        <v>1340</v>
      </c>
      <c r="H1020" s="29">
        <f>G1020</f>
        <v>1340</v>
      </c>
      <c r="J1020" s="26"/>
    </row>
    <row r="1021" spans="1:10" ht="133.5" customHeight="1">
      <c r="A1021" s="3" t="s">
        <v>496</v>
      </c>
      <c r="B1021" s="4" t="s">
        <v>11</v>
      </c>
      <c r="C1021" s="4" t="s">
        <v>48</v>
      </c>
      <c r="D1021" s="4" t="s">
        <v>47</v>
      </c>
      <c r="E1021" s="4" t="s">
        <v>436</v>
      </c>
      <c r="F1021" s="4"/>
      <c r="G1021" s="29">
        <f>G1022</f>
        <v>181738</v>
      </c>
      <c r="H1021" s="29">
        <f>H1022</f>
        <v>181738</v>
      </c>
      <c r="J1021" s="26"/>
    </row>
    <row r="1022" spans="1:10" ht="87.75" customHeight="1">
      <c r="A1022" s="3" t="s">
        <v>525</v>
      </c>
      <c r="B1022" s="4" t="s">
        <v>11</v>
      </c>
      <c r="C1022" s="4" t="s">
        <v>48</v>
      </c>
      <c r="D1022" s="4" t="s">
        <v>47</v>
      </c>
      <c r="E1022" s="4" t="s">
        <v>436</v>
      </c>
      <c r="F1022" s="4" t="s">
        <v>609</v>
      </c>
      <c r="G1022" s="29">
        <v>181738</v>
      </c>
      <c r="H1022" s="29">
        <f>G1022</f>
        <v>181738</v>
      </c>
      <c r="J1022" s="26"/>
    </row>
    <row r="1023" spans="1:10" ht="27.75" customHeight="1">
      <c r="A1023" s="39" t="s">
        <v>142</v>
      </c>
      <c r="B1023" s="5" t="s">
        <v>11</v>
      </c>
      <c r="C1023" s="5" t="s">
        <v>144</v>
      </c>
      <c r="D1023" s="5" t="s">
        <v>742</v>
      </c>
      <c r="E1023" s="11"/>
      <c r="F1023" s="11"/>
      <c r="G1023" s="32">
        <f>G1024</f>
        <v>1400050</v>
      </c>
      <c r="H1023" s="32"/>
      <c r="J1023" s="26"/>
    </row>
    <row r="1024" spans="1:8" ht="17.25">
      <c r="A1024" s="50" t="s">
        <v>595</v>
      </c>
      <c r="B1024" s="2" t="s">
        <v>11</v>
      </c>
      <c r="C1024" s="2" t="s">
        <v>144</v>
      </c>
      <c r="D1024" s="2" t="s">
        <v>917</v>
      </c>
      <c r="E1024" s="9"/>
      <c r="F1024" s="9"/>
      <c r="G1024" s="33">
        <f>G1025</f>
        <v>1400050</v>
      </c>
      <c r="H1024" s="33"/>
    </row>
    <row r="1025" spans="1:8" ht="77.25">
      <c r="A1025" s="27" t="s">
        <v>106</v>
      </c>
      <c r="B1025" s="4" t="s">
        <v>11</v>
      </c>
      <c r="C1025" s="4" t="s">
        <v>144</v>
      </c>
      <c r="D1025" s="4" t="s">
        <v>917</v>
      </c>
      <c r="E1025" s="4" t="s">
        <v>725</v>
      </c>
      <c r="F1025" s="38"/>
      <c r="G1025" s="29">
        <f>G1026</f>
        <v>1400050</v>
      </c>
      <c r="H1025" s="29"/>
    </row>
    <row r="1026" spans="1:8" ht="30.75">
      <c r="A1026" s="27" t="s">
        <v>528</v>
      </c>
      <c r="B1026" s="4" t="s">
        <v>11</v>
      </c>
      <c r="C1026" s="4" t="s">
        <v>144</v>
      </c>
      <c r="D1026" s="4" t="s">
        <v>917</v>
      </c>
      <c r="E1026" s="4" t="s">
        <v>437</v>
      </c>
      <c r="F1026" s="38"/>
      <c r="G1026" s="29">
        <f>G1027+G1031</f>
        <v>1400050</v>
      </c>
      <c r="H1026" s="29"/>
    </row>
    <row r="1027" spans="1:8" ht="61.5">
      <c r="A1027" s="27" t="s">
        <v>438</v>
      </c>
      <c r="B1027" s="4" t="s">
        <v>11</v>
      </c>
      <c r="C1027" s="4" t="s">
        <v>144</v>
      </c>
      <c r="D1027" s="4" t="s">
        <v>917</v>
      </c>
      <c r="E1027" s="4" t="s">
        <v>439</v>
      </c>
      <c r="F1027" s="38"/>
      <c r="G1027" s="29">
        <f>G1028</f>
        <v>871197</v>
      </c>
      <c r="H1027" s="29"/>
    </row>
    <row r="1028" spans="1:8" ht="30.75">
      <c r="A1028" s="27" t="s">
        <v>523</v>
      </c>
      <c r="B1028" s="4" t="s">
        <v>11</v>
      </c>
      <c r="C1028" s="4" t="s">
        <v>144</v>
      </c>
      <c r="D1028" s="4" t="s">
        <v>917</v>
      </c>
      <c r="E1028" s="4" t="s">
        <v>440</v>
      </c>
      <c r="F1028" s="38"/>
      <c r="G1028" s="29">
        <f>G1030+G1029</f>
        <v>871197</v>
      </c>
      <c r="H1028" s="29"/>
    </row>
    <row r="1029" spans="1:8" ht="108">
      <c r="A1029" s="27" t="s">
        <v>92</v>
      </c>
      <c r="B1029" s="4" t="s">
        <v>11</v>
      </c>
      <c r="C1029" s="4" t="s">
        <v>144</v>
      </c>
      <c r="D1029" s="4" t="s">
        <v>917</v>
      </c>
      <c r="E1029" s="4" t="s">
        <v>440</v>
      </c>
      <c r="F1029" s="38" t="s">
        <v>604</v>
      </c>
      <c r="G1029" s="29">
        <f>470000</f>
        <v>470000</v>
      </c>
      <c r="H1029" s="29"/>
    </row>
    <row r="1030" spans="1:8" ht="46.5">
      <c r="A1030" s="3" t="s">
        <v>701</v>
      </c>
      <c r="B1030" s="4" t="s">
        <v>11</v>
      </c>
      <c r="C1030" s="4" t="s">
        <v>144</v>
      </c>
      <c r="D1030" s="4" t="s">
        <v>917</v>
      </c>
      <c r="E1030" s="4" t="s">
        <v>440</v>
      </c>
      <c r="F1030" s="4" t="s">
        <v>605</v>
      </c>
      <c r="G1030" s="29">
        <f>871197-470000</f>
        <v>401197</v>
      </c>
      <c r="H1030" s="29"/>
    </row>
    <row r="1031" spans="1:8" ht="93">
      <c r="A1031" s="3" t="s">
        <v>495</v>
      </c>
      <c r="B1031" s="4" t="s">
        <v>11</v>
      </c>
      <c r="C1031" s="4" t="s">
        <v>144</v>
      </c>
      <c r="D1031" s="4" t="s">
        <v>917</v>
      </c>
      <c r="E1031" s="4" t="s">
        <v>441</v>
      </c>
      <c r="F1031" s="4"/>
      <c r="G1031" s="29">
        <f>G1032</f>
        <v>528853</v>
      </c>
      <c r="H1031" s="29"/>
    </row>
    <row r="1032" spans="1:8" ht="30.75">
      <c r="A1032" s="27" t="s">
        <v>523</v>
      </c>
      <c r="B1032" s="4" t="s">
        <v>11</v>
      </c>
      <c r="C1032" s="4" t="s">
        <v>144</v>
      </c>
      <c r="D1032" s="4" t="s">
        <v>917</v>
      </c>
      <c r="E1032" s="4" t="s">
        <v>442</v>
      </c>
      <c r="F1032" s="38"/>
      <c r="G1032" s="29">
        <f>G1034+G1033</f>
        <v>528853</v>
      </c>
      <c r="H1032" s="29"/>
    </row>
    <row r="1033" spans="1:8" ht="108">
      <c r="A1033" s="27" t="s">
        <v>92</v>
      </c>
      <c r="B1033" s="4" t="s">
        <v>11</v>
      </c>
      <c r="C1033" s="4" t="s">
        <v>144</v>
      </c>
      <c r="D1033" s="4" t="s">
        <v>917</v>
      </c>
      <c r="E1033" s="4" t="s">
        <v>442</v>
      </c>
      <c r="F1033" s="38" t="s">
        <v>604</v>
      </c>
      <c r="G1033" s="29">
        <f>200000</f>
        <v>200000</v>
      </c>
      <c r="H1033" s="29"/>
    </row>
    <row r="1034" spans="1:8" ht="46.5">
      <c r="A1034" s="6" t="s">
        <v>701</v>
      </c>
      <c r="B1034" s="7" t="s">
        <v>11</v>
      </c>
      <c r="C1034" s="7" t="s">
        <v>144</v>
      </c>
      <c r="D1034" s="7" t="s">
        <v>917</v>
      </c>
      <c r="E1034" s="7" t="s">
        <v>442</v>
      </c>
      <c r="F1034" s="7" t="s">
        <v>605</v>
      </c>
      <c r="G1034" s="31">
        <f>528853-200000</f>
        <v>328853</v>
      </c>
      <c r="H1034" s="31"/>
    </row>
    <row r="1035" spans="1:8" ht="37.5">
      <c r="A1035" s="34" t="s">
        <v>149</v>
      </c>
      <c r="B1035" s="24" t="s">
        <v>118</v>
      </c>
      <c r="C1035" s="24"/>
      <c r="D1035" s="24"/>
      <c r="E1035" s="23"/>
      <c r="F1035" s="24"/>
      <c r="G1035" s="28">
        <f>G1036+G1052</f>
        <v>3530391.5</v>
      </c>
      <c r="H1035" s="207"/>
    </row>
    <row r="1036" spans="1:8" ht="15">
      <c r="A1036" s="1" t="s">
        <v>59</v>
      </c>
      <c r="B1036" s="2" t="s">
        <v>118</v>
      </c>
      <c r="C1036" s="2" t="s">
        <v>917</v>
      </c>
      <c r="D1036" s="2" t="s">
        <v>742</v>
      </c>
      <c r="E1036" s="4"/>
      <c r="F1036" s="2"/>
      <c r="G1036" s="33">
        <f>G1037+G1045</f>
        <v>3352674.5</v>
      </c>
      <c r="H1036" s="208"/>
    </row>
    <row r="1037" spans="1:10" ht="77.25">
      <c r="A1037" s="1" t="s">
        <v>119</v>
      </c>
      <c r="B1037" s="2" t="s">
        <v>118</v>
      </c>
      <c r="C1037" s="2" t="s">
        <v>917</v>
      </c>
      <c r="D1037" s="2" t="s">
        <v>41</v>
      </c>
      <c r="E1037" s="4"/>
      <c r="F1037" s="2"/>
      <c r="G1037" s="33">
        <f>SUM(G1038)</f>
        <v>3256152</v>
      </c>
      <c r="H1037" s="208"/>
      <c r="J1037" s="26"/>
    </row>
    <row r="1038" spans="1:8" ht="15">
      <c r="A1038" s="27" t="s">
        <v>91</v>
      </c>
      <c r="B1038" s="4" t="s">
        <v>118</v>
      </c>
      <c r="C1038" s="4" t="s">
        <v>917</v>
      </c>
      <c r="D1038" s="4" t="s">
        <v>41</v>
      </c>
      <c r="E1038" s="4" t="s">
        <v>734</v>
      </c>
      <c r="F1038" s="4"/>
      <c r="G1038" s="29">
        <f>G1040+G1042+G1044</f>
        <v>3256152</v>
      </c>
      <c r="H1038" s="208"/>
    </row>
    <row r="1039" spans="1:10" ht="61.5">
      <c r="A1039" s="27" t="s">
        <v>592</v>
      </c>
      <c r="B1039" s="4" t="s">
        <v>118</v>
      </c>
      <c r="C1039" s="4" t="s">
        <v>917</v>
      </c>
      <c r="D1039" s="4" t="s">
        <v>41</v>
      </c>
      <c r="E1039" s="4" t="s">
        <v>748</v>
      </c>
      <c r="F1039" s="4"/>
      <c r="G1039" s="29">
        <v>1213568</v>
      </c>
      <c r="H1039" s="208"/>
      <c r="J1039" s="26"/>
    </row>
    <row r="1040" spans="1:10" ht="108">
      <c r="A1040" s="27" t="s">
        <v>506</v>
      </c>
      <c r="B1040" s="4" t="s">
        <v>118</v>
      </c>
      <c r="C1040" s="4" t="s">
        <v>917</v>
      </c>
      <c r="D1040" s="4" t="s">
        <v>41</v>
      </c>
      <c r="E1040" s="4" t="s">
        <v>748</v>
      </c>
      <c r="F1040" s="4" t="s">
        <v>604</v>
      </c>
      <c r="G1040" s="29">
        <f>1213568+56705.59</f>
        <v>1270273.59</v>
      </c>
      <c r="H1040" s="208"/>
      <c r="J1040" s="26"/>
    </row>
    <row r="1041" spans="1:10" ht="61.5" customHeight="1">
      <c r="A1041" s="27" t="s">
        <v>589</v>
      </c>
      <c r="B1041" s="4" t="s">
        <v>118</v>
      </c>
      <c r="C1041" s="4" t="s">
        <v>917</v>
      </c>
      <c r="D1041" s="4" t="s">
        <v>41</v>
      </c>
      <c r="E1041" s="4" t="s">
        <v>704</v>
      </c>
      <c r="F1041" s="4"/>
      <c r="G1041" s="29">
        <v>1931263</v>
      </c>
      <c r="H1041" s="208"/>
      <c r="J1041" s="26"/>
    </row>
    <row r="1042" spans="1:10" ht="145.5" customHeight="1">
      <c r="A1042" s="27" t="s">
        <v>506</v>
      </c>
      <c r="B1042" s="4" t="s">
        <v>118</v>
      </c>
      <c r="C1042" s="4" t="s">
        <v>917</v>
      </c>
      <c r="D1042" s="4" t="s">
        <v>41</v>
      </c>
      <c r="E1042" s="4" t="s">
        <v>704</v>
      </c>
      <c r="F1042" s="4" t="s">
        <v>604</v>
      </c>
      <c r="G1042" s="29">
        <f>1931263+3421.66</f>
        <v>1934684.66</v>
      </c>
      <c r="H1042" s="208"/>
      <c r="J1042" s="26"/>
    </row>
    <row r="1043" spans="1:8" ht="93">
      <c r="A1043" s="3" t="s">
        <v>587</v>
      </c>
      <c r="B1043" s="4" t="s">
        <v>118</v>
      </c>
      <c r="C1043" s="4" t="s">
        <v>917</v>
      </c>
      <c r="D1043" s="4" t="s">
        <v>41</v>
      </c>
      <c r="E1043" s="4" t="s">
        <v>702</v>
      </c>
      <c r="F1043" s="4"/>
      <c r="G1043" s="29">
        <f>SUM(G1044)</f>
        <v>51193.75</v>
      </c>
      <c r="H1043" s="208"/>
    </row>
    <row r="1044" spans="1:8" ht="108">
      <c r="A1044" s="3" t="s">
        <v>506</v>
      </c>
      <c r="B1044" s="4" t="s">
        <v>118</v>
      </c>
      <c r="C1044" s="4" t="s">
        <v>917</v>
      </c>
      <c r="D1044" s="4" t="s">
        <v>41</v>
      </c>
      <c r="E1044" s="4" t="s">
        <v>702</v>
      </c>
      <c r="F1044" s="4" t="s">
        <v>604</v>
      </c>
      <c r="G1044" s="29">
        <f>111321-60127.25</f>
        <v>51193.75</v>
      </c>
      <c r="H1044" s="208"/>
    </row>
    <row r="1045" spans="1:8" ht="30.75">
      <c r="A1045" s="210" t="s">
        <v>741</v>
      </c>
      <c r="B1045" s="211" t="s">
        <v>118</v>
      </c>
      <c r="C1045" s="211" t="s">
        <v>917</v>
      </c>
      <c r="D1045" s="211" t="s">
        <v>602</v>
      </c>
      <c r="E1045" s="211"/>
      <c r="F1045" s="211"/>
      <c r="G1045" s="217">
        <f>SUM(G1046)</f>
        <v>96522.5</v>
      </c>
      <c r="H1045" s="208"/>
    </row>
    <row r="1046" spans="1:10" ht="61.5">
      <c r="A1046" s="212" t="s">
        <v>104</v>
      </c>
      <c r="B1046" s="23" t="s">
        <v>118</v>
      </c>
      <c r="C1046" s="23" t="s">
        <v>917</v>
      </c>
      <c r="D1046" s="23" t="s">
        <v>602</v>
      </c>
      <c r="E1046" s="23" t="s">
        <v>705</v>
      </c>
      <c r="F1046" s="23"/>
      <c r="G1046" s="110">
        <f>SUM(G1047)</f>
        <v>96522.5</v>
      </c>
      <c r="H1046" s="208"/>
      <c r="J1046" s="26"/>
    </row>
    <row r="1047" spans="1:10" ht="46.5">
      <c r="A1047" s="3" t="s">
        <v>133</v>
      </c>
      <c r="B1047" s="4" t="s">
        <v>118</v>
      </c>
      <c r="C1047" s="4" t="s">
        <v>917</v>
      </c>
      <c r="D1047" s="4" t="s">
        <v>602</v>
      </c>
      <c r="E1047" s="4" t="s">
        <v>708</v>
      </c>
      <c r="F1047" s="4"/>
      <c r="G1047" s="29">
        <f>G1048</f>
        <v>96522.5</v>
      </c>
      <c r="H1047" s="208"/>
      <c r="J1047" s="26"/>
    </row>
    <row r="1048" spans="1:10" ht="77.25">
      <c r="A1048" s="3" t="s">
        <v>711</v>
      </c>
      <c r="B1048" s="4" t="s">
        <v>118</v>
      </c>
      <c r="C1048" s="4" t="s">
        <v>917</v>
      </c>
      <c r="D1048" s="4" t="s">
        <v>602</v>
      </c>
      <c r="E1048" s="4" t="s">
        <v>673</v>
      </c>
      <c r="F1048" s="4"/>
      <c r="G1048" s="29">
        <f>G1049</f>
        <v>96522.5</v>
      </c>
      <c r="H1048" s="208"/>
      <c r="J1048" s="26"/>
    </row>
    <row r="1049" spans="1:8" ht="46.5">
      <c r="A1049" s="3" t="s">
        <v>590</v>
      </c>
      <c r="B1049" s="4" t="s">
        <v>118</v>
      </c>
      <c r="C1049" s="4" t="s">
        <v>917</v>
      </c>
      <c r="D1049" s="4" t="s">
        <v>602</v>
      </c>
      <c r="E1049" s="4" t="s">
        <v>1111</v>
      </c>
      <c r="F1049" s="60"/>
      <c r="G1049" s="29">
        <f>G1050+G1051</f>
        <v>96522.5</v>
      </c>
      <c r="H1049" s="208"/>
    </row>
    <row r="1050" spans="1:8" ht="108">
      <c r="A1050" s="3" t="s">
        <v>92</v>
      </c>
      <c r="B1050" s="4" t="s">
        <v>118</v>
      </c>
      <c r="C1050" s="4" t="s">
        <v>917</v>
      </c>
      <c r="D1050" s="4" t="s">
        <v>602</v>
      </c>
      <c r="E1050" s="4" t="s">
        <v>1111</v>
      </c>
      <c r="F1050" s="60">
        <v>100</v>
      </c>
      <c r="G1050" s="29">
        <v>60000</v>
      </c>
      <c r="H1050" s="208"/>
    </row>
    <row r="1051" spans="1:8" ht="46.5">
      <c r="A1051" s="3" t="s">
        <v>93</v>
      </c>
      <c r="B1051" s="4" t="s">
        <v>118</v>
      </c>
      <c r="C1051" s="4" t="s">
        <v>917</v>
      </c>
      <c r="D1051" s="4" t="s">
        <v>602</v>
      </c>
      <c r="E1051" s="4" t="s">
        <v>1111</v>
      </c>
      <c r="F1051" s="60">
        <v>200</v>
      </c>
      <c r="G1051" s="29">
        <f>96522.5-60000</f>
        <v>36522.5</v>
      </c>
      <c r="H1051" s="208"/>
    </row>
    <row r="1052" spans="1:8" ht="15">
      <c r="A1052" s="1" t="s">
        <v>61</v>
      </c>
      <c r="B1052" s="2" t="s">
        <v>118</v>
      </c>
      <c r="C1052" s="2" t="s">
        <v>50</v>
      </c>
      <c r="D1052" s="2"/>
      <c r="E1052" s="2"/>
      <c r="F1052" s="2"/>
      <c r="G1052" s="29">
        <f>SUM(G1053)</f>
        <v>177717</v>
      </c>
      <c r="H1052" s="33"/>
    </row>
    <row r="1053" spans="1:8" ht="15">
      <c r="A1053" s="3" t="s">
        <v>597</v>
      </c>
      <c r="B1053" s="4" t="s">
        <v>118</v>
      </c>
      <c r="C1053" s="4" t="s">
        <v>50</v>
      </c>
      <c r="D1053" s="4" t="s">
        <v>48</v>
      </c>
      <c r="E1053" s="4"/>
      <c r="F1053" s="4"/>
      <c r="G1053" s="29">
        <f>SUM(G1054)</f>
        <v>177717</v>
      </c>
      <c r="H1053" s="209"/>
    </row>
    <row r="1054" spans="1:8" ht="46.5">
      <c r="A1054" s="3" t="s">
        <v>1034</v>
      </c>
      <c r="B1054" s="4" t="s">
        <v>118</v>
      </c>
      <c r="C1054" s="4" t="s">
        <v>50</v>
      </c>
      <c r="D1054" s="4" t="s">
        <v>48</v>
      </c>
      <c r="E1054" s="4" t="s">
        <v>712</v>
      </c>
      <c r="F1054" s="4"/>
      <c r="G1054" s="29">
        <f>SUM(G1055)</f>
        <v>177717</v>
      </c>
      <c r="H1054" s="208"/>
    </row>
    <row r="1055" spans="1:8" ht="61.5">
      <c r="A1055" s="3" t="s">
        <v>94</v>
      </c>
      <c r="B1055" s="4" t="s">
        <v>118</v>
      </c>
      <c r="C1055" s="4" t="s">
        <v>50</v>
      </c>
      <c r="D1055" s="4" t="s">
        <v>48</v>
      </c>
      <c r="E1055" s="4" t="s">
        <v>713</v>
      </c>
      <c r="F1055" s="4"/>
      <c r="G1055" s="29">
        <f>G1058+G1061+G1062</f>
        <v>177717</v>
      </c>
      <c r="H1055" s="208"/>
    </row>
    <row r="1056" spans="1:8" ht="46.5" hidden="1">
      <c r="A1056" s="3" t="s">
        <v>714</v>
      </c>
      <c r="B1056" s="4" t="s">
        <v>118</v>
      </c>
      <c r="C1056" s="4" t="s">
        <v>50</v>
      </c>
      <c r="D1056" s="4" t="s">
        <v>48</v>
      </c>
      <c r="E1056" s="4" t="s">
        <v>715</v>
      </c>
      <c r="F1056" s="4"/>
      <c r="G1056" s="29">
        <f>G1057</f>
        <v>0</v>
      </c>
      <c r="H1056" s="208"/>
    </row>
    <row r="1057" spans="1:8" ht="30.75" hidden="1">
      <c r="A1057" s="3" t="s">
        <v>95</v>
      </c>
      <c r="B1057" s="4" t="s">
        <v>118</v>
      </c>
      <c r="C1057" s="4" t="s">
        <v>50</v>
      </c>
      <c r="D1057" s="4" t="s">
        <v>48</v>
      </c>
      <c r="E1057" s="4" t="s">
        <v>716</v>
      </c>
      <c r="F1057" s="4"/>
      <c r="G1057" s="29">
        <f>SUM(G1058)</f>
        <v>0</v>
      </c>
      <c r="H1057" s="208"/>
    </row>
    <row r="1058" spans="1:8" ht="46.5" hidden="1">
      <c r="A1058" s="3" t="s">
        <v>93</v>
      </c>
      <c r="B1058" s="4" t="s">
        <v>118</v>
      </c>
      <c r="C1058" s="4" t="s">
        <v>50</v>
      </c>
      <c r="D1058" s="4" t="s">
        <v>48</v>
      </c>
      <c r="E1058" s="4" t="s">
        <v>716</v>
      </c>
      <c r="F1058" s="4" t="s">
        <v>605</v>
      </c>
      <c r="G1058" s="29">
        <f>112717-112717</f>
        <v>0</v>
      </c>
      <c r="H1058" s="208"/>
    </row>
    <row r="1059" spans="1:8" ht="61.5">
      <c r="A1059" s="3" t="s">
        <v>296</v>
      </c>
      <c r="B1059" s="4" t="s">
        <v>118</v>
      </c>
      <c r="C1059" s="4" t="s">
        <v>50</v>
      </c>
      <c r="D1059" s="4" t="s">
        <v>48</v>
      </c>
      <c r="E1059" s="4" t="s">
        <v>297</v>
      </c>
      <c r="F1059" s="4"/>
      <c r="G1059" s="29">
        <f>G1060</f>
        <v>65000</v>
      </c>
      <c r="H1059" s="208"/>
    </row>
    <row r="1060" spans="1:8" ht="30.75">
      <c r="A1060" s="3" t="s">
        <v>95</v>
      </c>
      <c r="B1060" s="4" t="s">
        <v>118</v>
      </c>
      <c r="C1060" s="4" t="s">
        <v>50</v>
      </c>
      <c r="D1060" s="4" t="s">
        <v>48</v>
      </c>
      <c r="E1060" s="4" t="s">
        <v>298</v>
      </c>
      <c r="F1060" s="4"/>
      <c r="G1060" s="29">
        <f>G1061</f>
        <v>65000</v>
      </c>
      <c r="H1060" s="208"/>
    </row>
    <row r="1061" spans="1:8" ht="46.5">
      <c r="A1061" s="3" t="s">
        <v>93</v>
      </c>
      <c r="B1061" s="4" t="s">
        <v>118</v>
      </c>
      <c r="C1061" s="4" t="s">
        <v>50</v>
      </c>
      <c r="D1061" s="4" t="s">
        <v>48</v>
      </c>
      <c r="E1061" s="4" t="s">
        <v>298</v>
      </c>
      <c r="F1061" s="4" t="s">
        <v>605</v>
      </c>
      <c r="G1061" s="29">
        <v>65000</v>
      </c>
      <c r="H1061" s="208"/>
    </row>
    <row r="1062" spans="1:8" ht="46.5">
      <c r="A1062" s="3" t="s">
        <v>299</v>
      </c>
      <c r="B1062" s="4" t="s">
        <v>118</v>
      </c>
      <c r="C1062" s="4" t="s">
        <v>50</v>
      </c>
      <c r="D1062" s="4" t="s">
        <v>48</v>
      </c>
      <c r="E1062" s="4" t="s">
        <v>300</v>
      </c>
      <c r="F1062" s="4"/>
      <c r="G1062" s="29">
        <f>G1063</f>
        <v>112717</v>
      </c>
      <c r="H1062" s="208"/>
    </row>
    <row r="1063" spans="1:8" ht="30.75">
      <c r="A1063" s="3" t="s">
        <v>523</v>
      </c>
      <c r="B1063" s="4" t="s">
        <v>118</v>
      </c>
      <c r="C1063" s="4" t="s">
        <v>50</v>
      </c>
      <c r="D1063" s="4" t="s">
        <v>48</v>
      </c>
      <c r="E1063" s="4" t="s">
        <v>301</v>
      </c>
      <c r="F1063" s="4"/>
      <c r="G1063" s="29">
        <f>G1064</f>
        <v>112717</v>
      </c>
      <c r="H1063" s="208"/>
    </row>
    <row r="1064" spans="1:8" ht="46.5">
      <c r="A1064" s="3" t="s">
        <v>701</v>
      </c>
      <c r="B1064" s="4" t="s">
        <v>118</v>
      </c>
      <c r="C1064" s="4" t="s">
        <v>50</v>
      </c>
      <c r="D1064" s="4" t="s">
        <v>48</v>
      </c>
      <c r="E1064" s="4" t="s">
        <v>301</v>
      </c>
      <c r="F1064" s="4" t="s">
        <v>605</v>
      </c>
      <c r="G1064" s="29">
        <v>112717</v>
      </c>
      <c r="H1064" s="208"/>
    </row>
    <row r="1065" spans="1:13" s="14" customFormat="1" ht="17.25">
      <c r="A1065" s="53" t="s">
        <v>531</v>
      </c>
      <c r="B1065" s="55"/>
      <c r="C1065" s="55"/>
      <c r="D1065" s="55"/>
      <c r="E1065" s="55"/>
      <c r="F1065" s="55"/>
      <c r="G1065" s="57">
        <f>G9+G52+G282+G582+G635+G848+G1035</f>
        <v>2171749099.17</v>
      </c>
      <c r="H1065" s="57">
        <f>H9+H52+H282+H582+H635+H848+H1035</f>
        <v>778306432.79</v>
      </c>
      <c r="I1065" s="51"/>
      <c r="M1065" s="160"/>
    </row>
    <row r="1066" spans="1:8" ht="15">
      <c r="A1066" s="17"/>
      <c r="B1066" s="17"/>
      <c r="C1066" s="18"/>
      <c r="D1066" s="18"/>
      <c r="E1066" s="18"/>
      <c r="F1066" s="18"/>
      <c r="G1066" s="44"/>
      <c r="H1066" s="17"/>
    </row>
    <row r="1067" spans="1:8" ht="15" hidden="1">
      <c r="A1067" s="17"/>
      <c r="B1067" s="17"/>
      <c r="C1067" s="18"/>
      <c r="D1067" s="18"/>
      <c r="E1067" s="18"/>
      <c r="F1067" s="18"/>
      <c r="G1067" s="44">
        <f>2150432763.17</f>
        <v>2150432763.17</v>
      </c>
      <c r="H1067" s="44">
        <f>756990096.79</f>
        <v>756990096.79</v>
      </c>
    </row>
    <row r="1068" spans="1:8" ht="15" hidden="1">
      <c r="A1068" s="17"/>
      <c r="B1068" s="17"/>
      <c r="C1068" s="18"/>
      <c r="D1068" s="18"/>
      <c r="E1068" s="18"/>
      <c r="F1068" s="18"/>
      <c r="G1068" s="44"/>
      <c r="H1068" s="44"/>
    </row>
    <row r="1069" spans="1:8" ht="15" hidden="1">
      <c r="A1069" s="17"/>
      <c r="B1069" s="17"/>
      <c r="C1069" s="18"/>
      <c r="D1069" s="18"/>
      <c r="E1069" s="18"/>
      <c r="F1069" s="18"/>
      <c r="G1069" s="44">
        <f>G1065-G1067</f>
        <v>21316336</v>
      </c>
      <c r="H1069" s="44">
        <f>H1065-H1067</f>
        <v>21316336</v>
      </c>
    </row>
    <row r="1070" spans="1:8" ht="15" hidden="1">
      <c r="A1070" s="17"/>
      <c r="B1070" s="17"/>
      <c r="C1070" s="18"/>
      <c r="D1070" s="18"/>
      <c r="E1070" s="18"/>
      <c r="F1070" s="18"/>
      <c r="G1070" s="44"/>
      <c r="H1070" s="44"/>
    </row>
    <row r="1071" spans="1:8" ht="15" hidden="1">
      <c r="A1071" s="17"/>
      <c r="B1071" s="17"/>
      <c r="C1071" s="18"/>
      <c r="D1071" s="18"/>
      <c r="E1071" s="18"/>
      <c r="F1071" s="18"/>
      <c r="G1071" s="44">
        <f>H1069-G1069</f>
        <v>0</v>
      </c>
      <c r="H1071" s="44"/>
    </row>
    <row r="1072" spans="1:8" ht="15" hidden="1">
      <c r="A1072" s="17"/>
      <c r="B1072" s="17"/>
      <c r="C1072" s="18"/>
      <c r="D1072" s="18"/>
      <c r="E1072" s="18"/>
      <c r="F1072" s="18"/>
      <c r="G1072" s="44"/>
      <c r="H1072" s="44"/>
    </row>
    <row r="1073" spans="1:8" ht="15" hidden="1">
      <c r="A1073" s="17"/>
      <c r="B1073" s="17"/>
      <c r="C1073" s="18"/>
      <c r="D1073" s="18"/>
      <c r="E1073" s="18"/>
      <c r="F1073" s="18"/>
      <c r="G1073" s="44">
        <f>'прил 8'!F1372</f>
        <v>20865660</v>
      </c>
      <c r="H1073" s="44">
        <f>'прил 8'!G1372</f>
        <v>20865660</v>
      </c>
    </row>
    <row r="1074" spans="1:8" ht="15" hidden="1">
      <c r="A1074" s="17"/>
      <c r="B1074" s="17"/>
      <c r="C1074" s="18"/>
      <c r="D1074" s="18"/>
      <c r="E1074" s="18"/>
      <c r="F1074" s="18"/>
      <c r="G1074" s="17"/>
      <c r="H1074" s="17"/>
    </row>
    <row r="1075" spans="1:14" ht="15" hidden="1">
      <c r="A1075" s="17"/>
      <c r="B1075" s="17"/>
      <c r="C1075" s="18"/>
      <c r="D1075" s="18"/>
      <c r="E1075" s="18"/>
      <c r="F1075" s="18"/>
      <c r="G1075" s="44">
        <f>G1069-G1073</f>
        <v>450676</v>
      </c>
      <c r="H1075" s="44">
        <f aca="true" t="shared" si="10" ref="H1075:N1075">H1069-H1073</f>
        <v>450676</v>
      </c>
      <c r="I1075" s="44">
        <f t="shared" si="10"/>
        <v>0</v>
      </c>
      <c r="J1075" s="44">
        <f t="shared" si="10"/>
        <v>0</v>
      </c>
      <c r="K1075" s="44">
        <f t="shared" si="10"/>
        <v>0</v>
      </c>
      <c r="L1075" s="44">
        <f t="shared" si="10"/>
        <v>0</v>
      </c>
      <c r="M1075" s="44">
        <f t="shared" si="10"/>
        <v>0</v>
      </c>
      <c r="N1075" s="44">
        <f t="shared" si="10"/>
        <v>0</v>
      </c>
    </row>
    <row r="1076" spans="1:8" ht="15">
      <c r="A1076" s="17"/>
      <c r="B1076" s="17"/>
      <c r="C1076" s="18"/>
      <c r="D1076" s="18"/>
      <c r="E1076" s="18"/>
      <c r="F1076" s="18"/>
      <c r="G1076" s="44"/>
      <c r="H1076" s="17"/>
    </row>
    <row r="1077" spans="1:8" ht="15">
      <c r="A1077" s="17"/>
      <c r="B1077" s="17"/>
      <c r="C1077" s="18"/>
      <c r="D1077" s="18"/>
      <c r="E1077" s="18"/>
      <c r="F1077" s="18"/>
      <c r="G1077" s="44"/>
      <c r="H1077" s="17"/>
    </row>
    <row r="1078" spans="1:8" ht="15">
      <c r="A1078" s="17"/>
      <c r="B1078" s="17"/>
      <c r="C1078" s="18"/>
      <c r="D1078" s="18"/>
      <c r="E1078" s="18"/>
      <c r="F1078" s="18"/>
      <c r="G1078" s="44">
        <f>2171298423.17</f>
        <v>2171298423.17</v>
      </c>
      <c r="H1078" s="44">
        <f>777855756.79</f>
        <v>777855756.79</v>
      </c>
    </row>
    <row r="1079" spans="1:14" ht="15">
      <c r="A1079" s="17"/>
      <c r="B1079" s="17"/>
      <c r="C1079" s="18"/>
      <c r="D1079" s="18"/>
      <c r="E1079" s="18"/>
      <c r="F1079" s="18"/>
      <c r="G1079" s="44">
        <f>G1078-G1065</f>
        <v>-450676</v>
      </c>
      <c r="H1079" s="44">
        <f aca="true" t="shared" si="11" ref="H1079:N1079">H1078-H1065</f>
        <v>-450676</v>
      </c>
      <c r="I1079" s="44">
        <f t="shared" si="11"/>
        <v>0</v>
      </c>
      <c r="J1079" s="44">
        <f t="shared" si="11"/>
        <v>0</v>
      </c>
      <c r="K1079" s="44">
        <f t="shared" si="11"/>
        <v>0</v>
      </c>
      <c r="L1079" s="44">
        <f t="shared" si="11"/>
        <v>0</v>
      </c>
      <c r="M1079" s="44">
        <f t="shared" si="11"/>
        <v>0</v>
      </c>
      <c r="N1079" s="44">
        <f t="shared" si="11"/>
        <v>0</v>
      </c>
    </row>
    <row r="1080" spans="1:8" ht="15">
      <c r="A1080" s="17"/>
      <c r="B1080" s="17"/>
      <c r="C1080" s="18"/>
      <c r="D1080" s="18"/>
      <c r="E1080" s="18"/>
      <c r="F1080" s="18"/>
      <c r="G1080" s="17"/>
      <c r="H1080" s="17"/>
    </row>
    <row r="1081" spans="1:8" ht="15">
      <c r="A1081" s="17"/>
      <c r="B1081" s="17"/>
      <c r="C1081" s="18"/>
      <c r="D1081" s="18"/>
      <c r="E1081" s="18"/>
      <c r="F1081" s="18"/>
      <c r="G1081" s="44">
        <f>G1078-G1065</f>
        <v>-450676</v>
      </c>
      <c r="H1081" s="17">
        <f>452500-1824</f>
        <v>450676</v>
      </c>
    </row>
    <row r="1082" spans="1:8" ht="15">
      <c r="A1082" s="17"/>
      <c r="B1082" s="17"/>
      <c r="C1082" s="18"/>
      <c r="D1082" s="18"/>
      <c r="E1082" s="18"/>
      <c r="F1082" s="18"/>
      <c r="G1082" s="17"/>
      <c r="H1082" s="17"/>
    </row>
    <row r="1083" spans="1:15" ht="15">
      <c r="A1083" s="17"/>
      <c r="B1083" s="17"/>
      <c r="C1083" s="18"/>
      <c r="D1083" s="18"/>
      <c r="E1083" s="18"/>
      <c r="F1083" s="18"/>
      <c r="G1083" s="44">
        <f>452500-1824</f>
        <v>450676</v>
      </c>
      <c r="H1083" s="44"/>
      <c r="J1083" s="26"/>
      <c r="K1083" s="26"/>
      <c r="L1083" s="26"/>
      <c r="N1083" s="26"/>
      <c r="O1083" s="26"/>
    </row>
    <row r="1084" spans="1:15" ht="15">
      <c r="A1084" s="17"/>
      <c r="B1084" s="17"/>
      <c r="C1084" s="18"/>
      <c r="D1084" s="18"/>
      <c r="E1084" s="18"/>
      <c r="F1084" s="18"/>
      <c r="G1084" s="44"/>
      <c r="H1084" s="44"/>
      <c r="J1084" s="26"/>
      <c r="K1084" s="26"/>
      <c r="L1084" s="26"/>
      <c r="N1084" s="26"/>
      <c r="O1084" s="26"/>
    </row>
    <row r="1085" spans="1:15" ht="15">
      <c r="A1085" s="17"/>
      <c r="B1085" s="17"/>
      <c r="C1085" s="18"/>
      <c r="D1085" s="18"/>
      <c r="E1085" s="18"/>
      <c r="F1085" s="18"/>
      <c r="G1085" s="44">
        <f>G1083+G1081</f>
        <v>0</v>
      </c>
      <c r="H1085" s="44"/>
      <c r="J1085" s="26"/>
      <c r="K1085" s="26"/>
      <c r="L1085" s="26"/>
      <c r="N1085" s="26"/>
      <c r="O1085" s="26"/>
    </row>
    <row r="1086" spans="1:15" ht="15">
      <c r="A1086" s="17"/>
      <c r="B1086" s="17"/>
      <c r="C1086" s="18"/>
      <c r="D1086" s="18"/>
      <c r="E1086" s="18"/>
      <c r="F1086" s="18"/>
      <c r="G1086" s="44"/>
      <c r="H1086" s="44"/>
      <c r="J1086" s="26"/>
      <c r="K1086" s="26"/>
      <c r="L1086" s="26"/>
      <c r="N1086" s="26"/>
      <c r="O1086" s="26"/>
    </row>
    <row r="1087" spans="1:15" ht="15">
      <c r="A1087" s="17"/>
      <c r="B1087" s="17"/>
      <c r="C1087" s="18"/>
      <c r="D1087" s="18"/>
      <c r="E1087" s="18"/>
      <c r="F1087" s="18"/>
      <c r="G1087" s="44"/>
      <c r="H1087" s="44"/>
      <c r="J1087" s="26"/>
      <c r="K1087" s="26"/>
      <c r="L1087" s="26"/>
      <c r="N1087" s="26"/>
      <c r="O1087" s="26"/>
    </row>
    <row r="1088" spans="1:15" ht="15">
      <c r="A1088" s="17"/>
      <c r="B1088" s="17"/>
      <c r="C1088" s="18"/>
      <c r="D1088" s="18"/>
      <c r="E1088" s="18"/>
      <c r="F1088" s="18"/>
      <c r="G1088" s="44"/>
      <c r="H1088" s="44"/>
      <c r="J1088" s="26"/>
      <c r="K1088" s="26"/>
      <c r="L1088" s="26"/>
      <c r="N1088" s="26"/>
      <c r="O1088" s="26"/>
    </row>
    <row r="1089" spans="1:15" ht="15">
      <c r="A1089" s="17"/>
      <c r="B1089" s="17"/>
      <c r="C1089" s="18"/>
      <c r="D1089" s="18"/>
      <c r="E1089" s="18"/>
      <c r="F1089" s="18"/>
      <c r="G1089" s="44"/>
      <c r="H1089" s="44"/>
      <c r="J1089" s="26"/>
      <c r="K1089" s="26"/>
      <c r="L1089" s="26"/>
      <c r="N1089" s="26"/>
      <c r="O1089" s="26"/>
    </row>
    <row r="1090" spans="1:15" ht="15">
      <c r="A1090" s="17"/>
      <c r="B1090" s="17"/>
      <c r="C1090" s="18"/>
      <c r="D1090" s="18"/>
      <c r="E1090" s="18"/>
      <c r="F1090" s="18"/>
      <c r="G1090" s="44"/>
      <c r="H1090" s="44"/>
      <c r="J1090" s="26"/>
      <c r="K1090" s="26"/>
      <c r="L1090" s="26"/>
      <c r="N1090" s="26"/>
      <c r="O1090" s="26"/>
    </row>
    <row r="1091" spans="1:8" ht="15">
      <c r="A1091" s="17"/>
      <c r="B1091" s="17"/>
      <c r="C1091" s="18"/>
      <c r="D1091" s="18"/>
      <c r="E1091" s="18"/>
      <c r="F1091" s="18"/>
      <c r="G1091" s="17"/>
      <c r="H1091" s="17"/>
    </row>
    <row r="1092" spans="1:8" ht="15">
      <c r="A1092" s="17"/>
      <c r="B1092" s="17"/>
      <c r="C1092" s="18"/>
      <c r="D1092" s="18"/>
      <c r="E1092" s="18"/>
      <c r="F1092" s="18"/>
      <c r="G1092" s="17"/>
      <c r="H1092" s="17"/>
    </row>
    <row r="1093" spans="1:8" ht="15">
      <c r="A1093" s="17"/>
      <c r="B1093" s="17"/>
      <c r="C1093" s="18"/>
      <c r="D1093" s="18"/>
      <c r="E1093" s="18"/>
      <c r="F1093" s="18"/>
      <c r="G1093" s="17"/>
      <c r="H1093" s="17"/>
    </row>
    <row r="1094" spans="1:8" ht="15">
      <c r="A1094" s="17"/>
      <c r="B1094" s="17"/>
      <c r="C1094" s="18"/>
      <c r="D1094" s="18"/>
      <c r="E1094" s="18"/>
      <c r="F1094" s="18"/>
      <c r="G1094" s="17"/>
      <c r="H1094" s="17"/>
    </row>
    <row r="1095" spans="1:8" ht="15">
      <c r="A1095" s="17"/>
      <c r="B1095" s="17"/>
      <c r="C1095" s="18"/>
      <c r="D1095" s="18"/>
      <c r="E1095" s="18"/>
      <c r="F1095" s="18"/>
      <c r="G1095" s="17"/>
      <c r="H1095" s="17"/>
    </row>
    <row r="1096" spans="1:8" ht="15">
      <c r="A1096" s="17"/>
      <c r="B1096" s="17"/>
      <c r="C1096" s="18"/>
      <c r="D1096" s="18"/>
      <c r="E1096" s="18"/>
      <c r="F1096" s="18"/>
      <c r="G1096" s="17"/>
      <c r="H1096" s="17"/>
    </row>
    <row r="1097" spans="1:8" ht="15">
      <c r="A1097" s="17"/>
      <c r="B1097" s="17"/>
      <c r="C1097" s="18"/>
      <c r="D1097" s="18"/>
      <c r="E1097" s="18"/>
      <c r="F1097" s="18"/>
      <c r="G1097" s="17"/>
      <c r="H1097" s="17"/>
    </row>
    <row r="1098" spans="1:8" ht="15">
      <c r="A1098" s="17"/>
      <c r="B1098" s="17"/>
      <c r="C1098" s="18"/>
      <c r="D1098" s="18"/>
      <c r="E1098" s="18"/>
      <c r="F1098" s="18"/>
      <c r="G1098" s="17"/>
      <c r="H1098" s="17"/>
    </row>
    <row r="1099" spans="1:8" ht="15">
      <c r="A1099" s="17"/>
      <c r="B1099" s="17"/>
      <c r="C1099" s="18"/>
      <c r="D1099" s="18"/>
      <c r="E1099" s="18"/>
      <c r="F1099" s="18"/>
      <c r="G1099" s="17"/>
      <c r="H1099" s="17"/>
    </row>
    <row r="1100" spans="1:8" ht="15">
      <c r="A1100" s="17"/>
      <c r="B1100" s="17"/>
      <c r="C1100" s="18"/>
      <c r="D1100" s="18"/>
      <c r="E1100" s="18"/>
      <c r="F1100" s="18"/>
      <c r="G1100" s="17"/>
      <c r="H1100" s="17"/>
    </row>
    <row r="1101" spans="1:8" ht="15">
      <c r="A1101" s="17"/>
      <c r="B1101" s="17"/>
      <c r="C1101" s="18"/>
      <c r="D1101" s="18"/>
      <c r="E1101" s="18"/>
      <c r="F1101" s="18"/>
      <c r="G1101" s="17"/>
      <c r="H1101" s="17"/>
    </row>
    <row r="1102" spans="1:8" ht="15">
      <c r="A1102" s="17"/>
      <c r="B1102" s="17"/>
      <c r="C1102" s="18"/>
      <c r="D1102" s="18"/>
      <c r="E1102" s="18"/>
      <c r="F1102" s="18"/>
      <c r="G1102" s="17"/>
      <c r="H1102" s="17"/>
    </row>
    <row r="1103" spans="1:8" ht="15">
      <c r="A1103" s="17"/>
      <c r="B1103" s="17"/>
      <c r="C1103" s="18"/>
      <c r="D1103" s="18"/>
      <c r="E1103" s="18"/>
      <c r="F1103" s="18"/>
      <c r="G1103" s="17"/>
      <c r="H1103" s="17"/>
    </row>
    <row r="1104" spans="1:8" ht="15">
      <c r="A1104" s="17"/>
      <c r="B1104" s="17"/>
      <c r="C1104" s="18"/>
      <c r="D1104" s="18"/>
      <c r="E1104" s="18"/>
      <c r="F1104" s="18"/>
      <c r="G1104" s="17"/>
      <c r="H1104" s="17"/>
    </row>
    <row r="1105" spans="1:8" ht="15">
      <c r="A1105" s="17"/>
      <c r="B1105" s="17"/>
      <c r="C1105" s="18"/>
      <c r="D1105" s="18"/>
      <c r="E1105" s="18"/>
      <c r="F1105" s="18"/>
      <c r="G1105" s="17"/>
      <c r="H1105" s="17"/>
    </row>
    <row r="1106" spans="1:8" ht="15">
      <c r="A1106" s="17"/>
      <c r="B1106" s="17"/>
      <c r="C1106" s="18"/>
      <c r="D1106" s="18"/>
      <c r="E1106" s="18"/>
      <c r="F1106" s="18"/>
      <c r="G1106" s="17"/>
      <c r="H1106" s="17"/>
    </row>
    <row r="1107" spans="1:8" ht="15">
      <c r="A1107" s="17"/>
      <c r="B1107" s="17"/>
      <c r="C1107" s="18"/>
      <c r="D1107" s="18"/>
      <c r="E1107" s="18"/>
      <c r="F1107" s="18"/>
      <c r="G1107" s="17"/>
      <c r="H1107" s="17"/>
    </row>
    <row r="1108" spans="1:8" ht="15">
      <c r="A1108" s="17"/>
      <c r="B1108" s="17"/>
      <c r="C1108" s="18"/>
      <c r="D1108" s="18"/>
      <c r="E1108" s="18"/>
      <c r="F1108" s="18"/>
      <c r="G1108" s="17"/>
      <c r="H1108" s="17"/>
    </row>
    <row r="1109" spans="1:8" ht="15">
      <c r="A1109" s="17"/>
      <c r="B1109" s="17"/>
      <c r="C1109" s="18"/>
      <c r="D1109" s="18"/>
      <c r="E1109" s="18"/>
      <c r="F1109" s="18"/>
      <c r="G1109" s="17"/>
      <c r="H1109" s="17"/>
    </row>
    <row r="1110" spans="1:8" ht="15">
      <c r="A1110" s="17"/>
      <c r="B1110" s="17"/>
      <c r="C1110" s="18"/>
      <c r="D1110" s="18"/>
      <c r="E1110" s="18"/>
      <c r="F1110" s="18"/>
      <c r="G1110" s="17"/>
      <c r="H1110" s="17"/>
    </row>
    <row r="1111" spans="1:8" ht="15">
      <c r="A1111" s="17"/>
      <c r="B1111" s="17"/>
      <c r="C1111" s="18"/>
      <c r="D1111" s="18"/>
      <c r="E1111" s="18"/>
      <c r="F1111" s="18"/>
      <c r="G1111" s="17"/>
      <c r="H1111" s="17"/>
    </row>
    <row r="1112" spans="1:8" ht="15">
      <c r="A1112" s="17"/>
      <c r="B1112" s="17"/>
      <c r="C1112" s="18"/>
      <c r="D1112" s="18"/>
      <c r="E1112" s="18"/>
      <c r="F1112" s="18"/>
      <c r="G1112" s="17"/>
      <c r="H1112" s="17"/>
    </row>
    <row r="1113" spans="1:8" ht="15">
      <c r="A1113" s="17"/>
      <c r="B1113" s="17"/>
      <c r="C1113" s="18"/>
      <c r="D1113" s="18"/>
      <c r="E1113" s="18"/>
      <c r="F1113" s="18"/>
      <c r="G1113" s="17"/>
      <c r="H1113" s="17"/>
    </row>
    <row r="1114" spans="1:8" ht="15">
      <c r="A1114" s="17"/>
      <c r="B1114" s="17"/>
      <c r="C1114" s="18"/>
      <c r="D1114" s="18"/>
      <c r="E1114" s="18"/>
      <c r="F1114" s="18"/>
      <c r="G1114" s="17"/>
      <c r="H1114" s="17"/>
    </row>
    <row r="1115" spans="1:8" ht="15">
      <c r="A1115" s="17"/>
      <c r="B1115" s="17"/>
      <c r="C1115" s="18"/>
      <c r="D1115" s="18"/>
      <c r="E1115" s="18"/>
      <c r="F1115" s="18"/>
      <c r="G1115" s="17"/>
      <c r="H1115" s="17"/>
    </row>
    <row r="1116" spans="1:8" ht="15">
      <c r="A1116" s="17"/>
      <c r="B1116" s="17"/>
      <c r="C1116" s="18"/>
      <c r="D1116" s="18"/>
      <c r="E1116" s="18"/>
      <c r="F1116" s="18"/>
      <c r="G1116" s="17"/>
      <c r="H1116" s="17"/>
    </row>
    <row r="1117" spans="1:8" ht="15">
      <c r="A1117" s="17"/>
      <c r="B1117" s="17"/>
      <c r="C1117" s="18"/>
      <c r="D1117" s="18"/>
      <c r="E1117" s="18"/>
      <c r="F1117" s="18"/>
      <c r="G1117" s="17"/>
      <c r="H1117" s="17"/>
    </row>
    <row r="1118" spans="1:8" ht="15">
      <c r="A1118" s="17"/>
      <c r="B1118" s="17"/>
      <c r="C1118" s="18"/>
      <c r="D1118" s="18"/>
      <c r="E1118" s="18"/>
      <c r="F1118" s="18"/>
      <c r="G1118" s="17"/>
      <c r="H1118" s="17"/>
    </row>
    <row r="1119" spans="1:8" ht="15">
      <c r="A1119" s="17"/>
      <c r="B1119" s="17"/>
      <c r="C1119" s="18"/>
      <c r="D1119" s="18"/>
      <c r="E1119" s="18"/>
      <c r="F1119" s="18"/>
      <c r="G1119" s="17"/>
      <c r="H1119" s="17"/>
    </row>
    <row r="1120" spans="1:8" ht="15">
      <c r="A1120" s="17"/>
      <c r="B1120" s="17"/>
      <c r="C1120" s="18"/>
      <c r="D1120" s="18"/>
      <c r="E1120" s="18"/>
      <c r="F1120" s="18"/>
      <c r="G1120" s="17"/>
      <c r="H1120" s="17"/>
    </row>
    <row r="1121" spans="1:8" ht="15">
      <c r="A1121" s="17"/>
      <c r="B1121" s="17"/>
      <c r="C1121" s="18"/>
      <c r="D1121" s="18"/>
      <c r="E1121" s="18"/>
      <c r="F1121" s="18"/>
      <c r="G1121" s="17"/>
      <c r="H1121" s="17"/>
    </row>
    <row r="1122" spans="1:8" ht="15">
      <c r="A1122" s="17"/>
      <c r="B1122" s="17"/>
      <c r="C1122" s="18"/>
      <c r="D1122" s="18"/>
      <c r="E1122" s="18"/>
      <c r="F1122" s="18"/>
      <c r="G1122" s="17"/>
      <c r="H1122" s="17"/>
    </row>
    <row r="1123" spans="1:8" ht="15">
      <c r="A1123" s="17"/>
      <c r="B1123" s="17"/>
      <c r="C1123" s="18"/>
      <c r="D1123" s="18"/>
      <c r="E1123" s="18"/>
      <c r="F1123" s="18"/>
      <c r="G1123" s="17"/>
      <c r="H1123" s="17"/>
    </row>
    <row r="1124" spans="1:8" ht="15">
      <c r="A1124" s="17"/>
      <c r="B1124" s="17"/>
      <c r="C1124" s="18"/>
      <c r="D1124" s="18"/>
      <c r="E1124" s="18"/>
      <c r="F1124" s="18"/>
      <c r="G1124" s="17"/>
      <c r="H1124" s="17"/>
    </row>
    <row r="1125" spans="1:8" ht="15">
      <c r="A1125" s="17"/>
      <c r="B1125" s="17"/>
      <c r="C1125" s="18"/>
      <c r="D1125" s="18"/>
      <c r="E1125" s="18"/>
      <c r="F1125" s="18"/>
      <c r="G1125" s="17"/>
      <c r="H1125" s="17"/>
    </row>
    <row r="1126" spans="1:8" ht="15">
      <c r="A1126" s="17"/>
      <c r="B1126" s="17"/>
      <c r="C1126" s="18"/>
      <c r="D1126" s="18"/>
      <c r="E1126" s="18"/>
      <c r="F1126" s="18"/>
      <c r="G1126" s="17"/>
      <c r="H1126" s="17"/>
    </row>
    <row r="1127" spans="1:8" ht="15">
      <c r="A1127" s="17"/>
      <c r="B1127" s="17"/>
      <c r="C1127" s="18"/>
      <c r="D1127" s="18"/>
      <c r="E1127" s="18"/>
      <c r="F1127" s="18"/>
      <c r="G1127" s="17"/>
      <c r="H1127" s="17"/>
    </row>
    <row r="1128" spans="1:8" ht="15">
      <c r="A1128" s="17"/>
      <c r="B1128" s="17"/>
      <c r="C1128" s="18"/>
      <c r="D1128" s="18"/>
      <c r="E1128" s="18"/>
      <c r="F1128" s="18"/>
      <c r="G1128" s="17"/>
      <c r="H1128" s="17"/>
    </row>
    <row r="1129" spans="1:8" ht="15">
      <c r="A1129" s="17"/>
      <c r="B1129" s="17"/>
      <c r="C1129" s="18"/>
      <c r="D1129" s="18"/>
      <c r="E1129" s="18"/>
      <c r="F1129" s="18"/>
      <c r="G1129" s="17"/>
      <c r="H1129" s="17"/>
    </row>
    <row r="1130" spans="1:8" ht="15">
      <c r="A1130" s="17"/>
      <c r="B1130" s="17"/>
      <c r="C1130" s="18"/>
      <c r="D1130" s="18"/>
      <c r="E1130" s="18"/>
      <c r="F1130" s="18"/>
      <c r="G1130" s="17"/>
      <c r="H1130" s="17"/>
    </row>
    <row r="1131" spans="1:8" ht="15">
      <c r="A1131" s="17"/>
      <c r="B1131" s="17"/>
      <c r="C1131" s="18"/>
      <c r="D1131" s="18"/>
      <c r="E1131" s="18"/>
      <c r="F1131" s="18"/>
      <c r="G1131" s="17"/>
      <c r="H1131" s="17"/>
    </row>
    <row r="1132" spans="1:8" ht="15">
      <c r="A1132" s="17"/>
      <c r="B1132" s="17"/>
      <c r="C1132" s="18"/>
      <c r="D1132" s="18"/>
      <c r="E1132" s="18"/>
      <c r="F1132" s="18"/>
      <c r="G1132" s="17"/>
      <c r="H1132" s="17"/>
    </row>
    <row r="1133" spans="1:8" ht="15">
      <c r="A1133" s="17"/>
      <c r="B1133" s="17"/>
      <c r="C1133" s="18"/>
      <c r="D1133" s="18"/>
      <c r="E1133" s="18"/>
      <c r="F1133" s="18"/>
      <c r="G1133" s="17"/>
      <c r="H1133" s="17"/>
    </row>
    <row r="1134" spans="1:8" ht="15">
      <c r="A1134" s="17"/>
      <c r="B1134" s="17"/>
      <c r="C1134" s="18"/>
      <c r="D1134" s="18"/>
      <c r="E1134" s="18"/>
      <c r="F1134" s="18"/>
      <c r="G1134" s="17"/>
      <c r="H1134" s="17"/>
    </row>
    <row r="1135" spans="1:8" ht="15">
      <c r="A1135" s="17"/>
      <c r="B1135" s="17"/>
      <c r="C1135" s="18"/>
      <c r="D1135" s="18"/>
      <c r="E1135" s="18"/>
      <c r="F1135" s="18"/>
      <c r="G1135" s="17"/>
      <c r="H1135" s="17"/>
    </row>
    <row r="1136" spans="1:8" ht="15">
      <c r="A1136" s="17"/>
      <c r="B1136" s="17"/>
      <c r="C1136" s="18"/>
      <c r="D1136" s="18"/>
      <c r="E1136" s="18"/>
      <c r="F1136" s="18"/>
      <c r="G1136" s="17"/>
      <c r="H1136" s="17"/>
    </row>
    <row r="1137" spans="1:8" ht="15">
      <c r="A1137" s="17"/>
      <c r="B1137" s="17"/>
      <c r="C1137" s="18"/>
      <c r="D1137" s="18"/>
      <c r="E1137" s="18"/>
      <c r="F1137" s="18"/>
      <c r="G1137" s="17"/>
      <c r="H1137" s="17"/>
    </row>
    <row r="1138" spans="1:8" ht="15">
      <c r="A1138" s="17"/>
      <c r="B1138" s="17"/>
      <c r="C1138" s="18"/>
      <c r="D1138" s="18"/>
      <c r="E1138" s="18"/>
      <c r="F1138" s="18"/>
      <c r="G1138" s="17"/>
      <c r="H1138" s="17"/>
    </row>
    <row r="1139" spans="1:8" ht="15">
      <c r="A1139" s="17"/>
      <c r="B1139" s="17"/>
      <c r="C1139" s="18"/>
      <c r="D1139" s="18"/>
      <c r="E1139" s="18"/>
      <c r="F1139" s="18"/>
      <c r="G1139" s="17"/>
      <c r="H1139" s="17"/>
    </row>
    <row r="1140" spans="1:8" ht="15">
      <c r="A1140" s="17"/>
      <c r="B1140" s="17"/>
      <c r="C1140" s="18"/>
      <c r="D1140" s="18"/>
      <c r="E1140" s="18"/>
      <c r="F1140" s="18"/>
      <c r="G1140" s="17"/>
      <c r="H1140" s="17"/>
    </row>
    <row r="1141" spans="1:8" ht="15">
      <c r="A1141" s="17"/>
      <c r="B1141" s="17"/>
      <c r="C1141" s="18"/>
      <c r="D1141" s="18"/>
      <c r="E1141" s="18"/>
      <c r="F1141" s="18"/>
      <c r="G1141" s="17"/>
      <c r="H1141" s="17"/>
    </row>
    <row r="1142" spans="1:8" ht="15">
      <c r="A1142" s="17"/>
      <c r="B1142" s="17"/>
      <c r="C1142" s="18"/>
      <c r="D1142" s="18"/>
      <c r="E1142" s="18"/>
      <c r="F1142" s="18"/>
      <c r="G1142" s="17"/>
      <c r="H1142" s="17"/>
    </row>
    <row r="1143" spans="1:8" ht="15">
      <c r="A1143" s="17"/>
      <c r="B1143" s="17"/>
      <c r="C1143" s="18"/>
      <c r="D1143" s="18"/>
      <c r="E1143" s="18"/>
      <c r="F1143" s="18"/>
      <c r="G1143" s="17"/>
      <c r="H1143" s="17"/>
    </row>
    <row r="1144" spans="1:8" ht="15">
      <c r="A1144" s="17"/>
      <c r="B1144" s="17"/>
      <c r="C1144" s="18"/>
      <c r="D1144" s="18"/>
      <c r="E1144" s="18"/>
      <c r="F1144" s="18"/>
      <c r="G1144" s="17"/>
      <c r="H1144" s="17"/>
    </row>
    <row r="1145" spans="1:8" ht="15">
      <c r="A1145" s="17"/>
      <c r="B1145" s="17"/>
      <c r="C1145" s="18"/>
      <c r="D1145" s="18"/>
      <c r="E1145" s="18"/>
      <c r="F1145" s="18"/>
      <c r="G1145" s="17"/>
      <c r="H1145" s="17"/>
    </row>
    <row r="1146" spans="1:8" ht="15">
      <c r="A1146" s="17"/>
      <c r="B1146" s="17"/>
      <c r="C1146" s="18"/>
      <c r="D1146" s="18"/>
      <c r="E1146" s="18"/>
      <c r="F1146" s="18"/>
      <c r="G1146" s="17"/>
      <c r="H1146" s="17"/>
    </row>
    <row r="1147" spans="1:8" ht="15">
      <c r="A1147" s="17"/>
      <c r="B1147" s="17"/>
      <c r="C1147" s="18"/>
      <c r="D1147" s="18"/>
      <c r="E1147" s="18"/>
      <c r="F1147" s="18"/>
      <c r="G1147" s="17"/>
      <c r="H1147" s="17"/>
    </row>
    <row r="1148" spans="1:8" ht="15">
      <c r="A1148" s="17"/>
      <c r="B1148" s="17"/>
      <c r="C1148" s="18"/>
      <c r="D1148" s="18"/>
      <c r="E1148" s="18"/>
      <c r="F1148" s="18"/>
      <c r="G1148" s="17"/>
      <c r="H1148" s="17"/>
    </row>
    <row r="1149" spans="1:8" ht="15">
      <c r="A1149" s="17"/>
      <c r="B1149" s="17"/>
      <c r="C1149" s="18"/>
      <c r="D1149" s="18"/>
      <c r="E1149" s="18"/>
      <c r="F1149" s="18"/>
      <c r="G1149" s="17"/>
      <c r="H1149" s="17"/>
    </row>
    <row r="1150" spans="1:8" ht="15">
      <c r="A1150" s="17"/>
      <c r="B1150" s="17"/>
      <c r="C1150" s="18"/>
      <c r="D1150" s="18"/>
      <c r="E1150" s="18"/>
      <c r="F1150" s="18"/>
      <c r="G1150" s="17"/>
      <c r="H1150" s="17"/>
    </row>
    <row r="1151" spans="1:8" ht="15">
      <c r="A1151" s="17"/>
      <c r="B1151" s="17"/>
      <c r="C1151" s="18"/>
      <c r="D1151" s="18"/>
      <c r="E1151" s="18"/>
      <c r="F1151" s="18"/>
      <c r="G1151" s="17"/>
      <c r="H1151" s="17"/>
    </row>
    <row r="1152" spans="1:8" ht="15">
      <c r="A1152" s="17"/>
      <c r="B1152" s="17"/>
      <c r="C1152" s="18"/>
      <c r="D1152" s="18"/>
      <c r="E1152" s="18"/>
      <c r="F1152" s="18"/>
      <c r="G1152" s="17"/>
      <c r="H1152" s="17"/>
    </row>
    <row r="1153" spans="1:8" ht="15">
      <c r="A1153" s="17"/>
      <c r="B1153" s="17"/>
      <c r="C1153" s="18"/>
      <c r="D1153" s="18"/>
      <c r="E1153" s="18"/>
      <c r="F1153" s="18"/>
      <c r="G1153" s="17"/>
      <c r="H1153" s="17"/>
    </row>
    <row r="1154" spans="1:8" ht="15">
      <c r="A1154" s="17"/>
      <c r="B1154" s="17"/>
      <c r="C1154" s="18"/>
      <c r="D1154" s="18"/>
      <c r="E1154" s="18"/>
      <c r="F1154" s="18"/>
      <c r="G1154" s="17"/>
      <c r="H1154" s="17"/>
    </row>
    <row r="1155" spans="1:8" ht="15">
      <c r="A1155" s="17"/>
      <c r="B1155" s="17"/>
      <c r="C1155" s="18"/>
      <c r="D1155" s="18"/>
      <c r="E1155" s="18"/>
      <c r="F1155" s="18"/>
      <c r="G1155" s="17"/>
      <c r="H1155" s="17"/>
    </row>
    <row r="1156" spans="1:8" ht="15">
      <c r="A1156" s="17"/>
      <c r="B1156" s="17"/>
      <c r="C1156" s="18"/>
      <c r="D1156" s="18"/>
      <c r="E1156" s="18"/>
      <c r="F1156" s="18"/>
      <c r="G1156" s="17"/>
      <c r="H1156" s="17"/>
    </row>
    <row r="1157" spans="1:8" ht="15">
      <c r="A1157" s="17"/>
      <c r="B1157" s="17"/>
      <c r="C1157" s="18"/>
      <c r="D1157" s="18"/>
      <c r="E1157" s="18"/>
      <c r="F1157" s="18"/>
      <c r="G1157" s="17"/>
      <c r="H1157" s="17"/>
    </row>
    <row r="1158" spans="1:8" ht="15">
      <c r="A1158" s="17"/>
      <c r="B1158" s="17"/>
      <c r="C1158" s="18"/>
      <c r="D1158" s="18"/>
      <c r="E1158" s="18"/>
      <c r="F1158" s="18"/>
      <c r="G1158" s="17"/>
      <c r="H1158" s="17"/>
    </row>
    <row r="1159" spans="1:8" ht="15">
      <c r="A1159" s="17"/>
      <c r="B1159" s="17"/>
      <c r="C1159" s="18"/>
      <c r="D1159" s="18"/>
      <c r="E1159" s="18"/>
      <c r="F1159" s="18"/>
      <c r="G1159" s="17"/>
      <c r="H1159" s="17"/>
    </row>
    <row r="1160" spans="1:8" ht="15">
      <c r="A1160" s="17"/>
      <c r="B1160" s="17"/>
      <c r="C1160" s="18"/>
      <c r="D1160" s="18"/>
      <c r="E1160" s="18"/>
      <c r="F1160" s="18"/>
      <c r="G1160" s="17"/>
      <c r="H1160" s="17"/>
    </row>
    <row r="1161" spans="1:8" ht="15">
      <c r="A1161" s="17"/>
      <c r="B1161" s="17"/>
      <c r="C1161" s="18"/>
      <c r="D1161" s="18"/>
      <c r="E1161" s="18"/>
      <c r="F1161" s="18"/>
      <c r="G1161" s="17"/>
      <c r="H1161" s="17"/>
    </row>
    <row r="1162" spans="1:8" ht="15">
      <c r="A1162" s="17"/>
      <c r="B1162" s="17"/>
      <c r="C1162" s="18"/>
      <c r="D1162" s="18"/>
      <c r="E1162" s="18"/>
      <c r="F1162" s="18"/>
      <c r="G1162" s="17"/>
      <c r="H1162" s="17"/>
    </row>
    <row r="1163" spans="1:8" ht="15">
      <c r="A1163" s="17"/>
      <c r="B1163" s="17"/>
      <c r="C1163" s="18"/>
      <c r="D1163" s="18"/>
      <c r="E1163" s="18"/>
      <c r="F1163" s="18"/>
      <c r="G1163" s="17"/>
      <c r="H1163" s="17"/>
    </row>
    <row r="1164" spans="1:8" ht="15">
      <c r="A1164" s="17"/>
      <c r="B1164" s="17"/>
      <c r="C1164" s="18"/>
      <c r="D1164" s="18"/>
      <c r="E1164" s="18"/>
      <c r="F1164" s="18"/>
      <c r="G1164" s="17"/>
      <c r="H1164" s="17"/>
    </row>
    <row r="1165" spans="1:8" ht="15">
      <c r="A1165" s="17"/>
      <c r="B1165" s="17"/>
      <c r="C1165" s="18"/>
      <c r="D1165" s="18"/>
      <c r="E1165" s="18"/>
      <c r="F1165" s="18"/>
      <c r="G1165" s="17"/>
      <c r="H1165" s="17"/>
    </row>
    <row r="1166" spans="1:8" ht="15">
      <c r="A1166" s="17"/>
      <c r="B1166" s="17"/>
      <c r="C1166" s="18"/>
      <c r="D1166" s="18"/>
      <c r="E1166" s="18"/>
      <c r="F1166" s="18"/>
      <c r="G1166" s="17"/>
      <c r="H1166" s="17"/>
    </row>
    <row r="1167" spans="1:8" ht="15">
      <c r="A1167" s="17"/>
      <c r="B1167" s="17"/>
      <c r="C1167" s="18"/>
      <c r="D1167" s="18"/>
      <c r="E1167" s="18"/>
      <c r="F1167" s="18"/>
      <c r="G1167" s="17"/>
      <c r="H1167" s="17"/>
    </row>
    <row r="1168" spans="1:8" ht="15">
      <c r="A1168" s="17"/>
      <c r="B1168" s="17"/>
      <c r="C1168" s="18"/>
      <c r="D1168" s="18"/>
      <c r="E1168" s="18"/>
      <c r="F1168" s="18"/>
      <c r="G1168" s="17"/>
      <c r="H1168" s="17"/>
    </row>
    <row r="1169" spans="1:8" ht="15">
      <c r="A1169" s="17"/>
      <c r="B1169" s="17"/>
      <c r="C1169" s="18"/>
      <c r="D1169" s="18"/>
      <c r="E1169" s="18"/>
      <c r="F1169" s="18"/>
      <c r="G1169" s="17"/>
      <c r="H1169" s="17"/>
    </row>
    <row r="1170" spans="1:8" ht="15">
      <c r="A1170" s="17"/>
      <c r="B1170" s="17"/>
      <c r="C1170" s="18"/>
      <c r="D1170" s="18"/>
      <c r="E1170" s="18"/>
      <c r="F1170" s="18"/>
      <c r="G1170" s="17"/>
      <c r="H1170" s="17"/>
    </row>
    <row r="1171" spans="1:8" ht="15">
      <c r="A1171" s="17"/>
      <c r="B1171" s="17"/>
      <c r="C1171" s="18"/>
      <c r="D1171" s="18"/>
      <c r="E1171" s="18"/>
      <c r="F1171" s="18"/>
      <c r="G1171" s="17"/>
      <c r="H1171" s="17"/>
    </row>
    <row r="1172" spans="1:8" ht="15">
      <c r="A1172" s="17"/>
      <c r="B1172" s="17"/>
      <c r="C1172" s="18"/>
      <c r="D1172" s="18"/>
      <c r="E1172" s="18"/>
      <c r="F1172" s="18"/>
      <c r="G1172" s="17"/>
      <c r="H1172" s="17"/>
    </row>
    <row r="1173" spans="1:8" ht="15">
      <c r="A1173" s="17"/>
      <c r="B1173" s="17"/>
      <c r="C1173" s="18"/>
      <c r="D1173" s="18"/>
      <c r="E1173" s="18"/>
      <c r="F1173" s="18"/>
      <c r="G1173" s="17"/>
      <c r="H1173" s="17"/>
    </row>
    <row r="1174" spans="1:8" ht="15">
      <c r="A1174" s="17"/>
      <c r="B1174" s="17"/>
      <c r="C1174" s="18"/>
      <c r="D1174" s="18"/>
      <c r="E1174" s="18"/>
      <c r="F1174" s="18"/>
      <c r="G1174" s="17"/>
      <c r="H1174" s="17"/>
    </row>
    <row r="1175" spans="1:8" ht="15">
      <c r="A1175" s="17"/>
      <c r="B1175" s="17"/>
      <c r="C1175" s="18"/>
      <c r="D1175" s="18"/>
      <c r="E1175" s="18"/>
      <c r="F1175" s="18"/>
      <c r="G1175" s="17"/>
      <c r="H1175" s="17"/>
    </row>
    <row r="1176" spans="1:8" ht="15">
      <c r="A1176" s="17"/>
      <c r="B1176" s="17"/>
      <c r="C1176" s="18"/>
      <c r="D1176" s="18"/>
      <c r="E1176" s="18"/>
      <c r="F1176" s="18"/>
      <c r="G1176" s="17"/>
      <c r="H1176" s="17"/>
    </row>
    <row r="1177" spans="1:8" ht="15">
      <c r="A1177" s="17"/>
      <c r="B1177" s="17"/>
      <c r="C1177" s="18"/>
      <c r="D1177" s="18"/>
      <c r="E1177" s="18"/>
      <c r="F1177" s="18"/>
      <c r="G1177" s="17"/>
      <c r="H1177" s="17"/>
    </row>
    <row r="1178" spans="1:8" ht="15">
      <c r="A1178" s="17"/>
      <c r="B1178" s="17"/>
      <c r="C1178" s="18"/>
      <c r="D1178" s="18"/>
      <c r="E1178" s="18"/>
      <c r="F1178" s="18"/>
      <c r="G1178" s="17"/>
      <c r="H1178" s="17"/>
    </row>
    <row r="1179" spans="1:8" ht="15">
      <c r="A1179" s="17"/>
      <c r="B1179" s="17"/>
      <c r="C1179" s="18"/>
      <c r="D1179" s="18"/>
      <c r="E1179" s="18"/>
      <c r="F1179" s="18"/>
      <c r="G1179" s="17"/>
      <c r="H1179" s="17"/>
    </row>
    <row r="1180" spans="1:8" ht="15">
      <c r="A1180" s="17"/>
      <c r="B1180" s="17"/>
      <c r="C1180" s="18"/>
      <c r="D1180" s="18"/>
      <c r="E1180" s="18"/>
      <c r="F1180" s="18"/>
      <c r="G1180" s="17"/>
      <c r="H1180" s="17"/>
    </row>
    <row r="1181" spans="1:8" ht="15">
      <c r="A1181" s="17"/>
      <c r="B1181" s="17"/>
      <c r="C1181" s="18"/>
      <c r="D1181" s="18"/>
      <c r="E1181" s="18"/>
      <c r="F1181" s="18"/>
      <c r="G1181" s="17"/>
      <c r="H1181" s="17"/>
    </row>
    <row r="1182" spans="1:8" ht="15">
      <c r="A1182" s="17"/>
      <c r="B1182" s="17"/>
      <c r="C1182" s="18"/>
      <c r="D1182" s="18"/>
      <c r="E1182" s="18"/>
      <c r="F1182" s="18"/>
      <c r="G1182" s="17"/>
      <c r="H1182" s="17"/>
    </row>
    <row r="1183" spans="1:8" ht="15">
      <c r="A1183" s="17"/>
      <c r="B1183" s="17"/>
      <c r="C1183" s="18"/>
      <c r="D1183" s="18"/>
      <c r="E1183" s="18"/>
      <c r="F1183" s="18"/>
      <c r="G1183" s="17"/>
      <c r="H1183" s="17"/>
    </row>
    <row r="1184" spans="1:8" ht="15">
      <c r="A1184" s="17"/>
      <c r="B1184" s="17"/>
      <c r="C1184" s="18"/>
      <c r="D1184" s="18"/>
      <c r="E1184" s="18"/>
      <c r="F1184" s="18"/>
      <c r="G1184" s="17"/>
      <c r="H1184" s="17"/>
    </row>
    <row r="1185" spans="1:8" ht="15">
      <c r="A1185" s="17"/>
      <c r="B1185" s="17"/>
      <c r="C1185" s="18"/>
      <c r="D1185" s="18"/>
      <c r="E1185" s="18"/>
      <c r="F1185" s="18"/>
      <c r="G1185" s="17"/>
      <c r="H1185" s="17"/>
    </row>
    <row r="1186" spans="1:8" ht="15">
      <c r="A1186" s="17"/>
      <c r="B1186" s="17"/>
      <c r="C1186" s="18"/>
      <c r="D1186" s="18"/>
      <c r="E1186" s="18"/>
      <c r="F1186" s="18"/>
      <c r="G1186" s="17"/>
      <c r="H1186" s="17"/>
    </row>
    <row r="1187" spans="1:8" ht="15">
      <c r="A1187" s="17"/>
      <c r="B1187" s="17"/>
      <c r="C1187" s="18"/>
      <c r="D1187" s="18"/>
      <c r="E1187" s="18"/>
      <c r="F1187" s="18"/>
      <c r="G1187" s="17"/>
      <c r="H1187" s="17"/>
    </row>
    <row r="1188" spans="1:8" ht="15">
      <c r="A1188" s="17"/>
      <c r="B1188" s="17"/>
      <c r="C1188" s="18"/>
      <c r="D1188" s="18"/>
      <c r="E1188" s="18"/>
      <c r="F1188" s="18"/>
      <c r="G1188" s="17"/>
      <c r="H1188" s="17"/>
    </row>
    <row r="1189" spans="1:8" ht="15">
      <c r="A1189" s="17"/>
      <c r="B1189" s="17"/>
      <c r="C1189" s="18"/>
      <c r="D1189" s="18"/>
      <c r="E1189" s="18"/>
      <c r="F1189" s="18"/>
      <c r="G1189" s="17"/>
      <c r="H1189" s="17"/>
    </row>
    <row r="1190" spans="1:8" ht="15">
      <c r="A1190" s="17"/>
      <c r="B1190" s="17"/>
      <c r="C1190" s="18"/>
      <c r="D1190" s="18"/>
      <c r="E1190" s="18"/>
      <c r="F1190" s="18"/>
      <c r="G1190" s="17"/>
      <c r="H1190" s="17"/>
    </row>
    <row r="1191" spans="1:8" ht="15">
      <c r="A1191" s="17"/>
      <c r="B1191" s="17"/>
      <c r="C1191" s="18"/>
      <c r="D1191" s="18"/>
      <c r="E1191" s="18"/>
      <c r="F1191" s="18"/>
      <c r="G1191" s="17"/>
      <c r="H1191" s="17"/>
    </row>
    <row r="1192" spans="1:8" ht="15">
      <c r="A1192" s="17"/>
      <c r="B1192" s="17"/>
      <c r="C1192" s="18"/>
      <c r="D1192" s="18"/>
      <c r="E1192" s="18"/>
      <c r="F1192" s="18"/>
      <c r="G1192" s="17"/>
      <c r="H1192" s="17"/>
    </row>
    <row r="1193" spans="1:8" ht="15">
      <c r="A1193" s="17"/>
      <c r="B1193" s="17"/>
      <c r="C1193" s="18"/>
      <c r="D1193" s="18"/>
      <c r="E1193" s="18"/>
      <c r="F1193" s="18"/>
      <c r="G1193" s="17"/>
      <c r="H1193" s="17"/>
    </row>
    <row r="1194" spans="1:8" ht="15">
      <c r="A1194" s="17"/>
      <c r="B1194" s="17"/>
      <c r="C1194" s="18"/>
      <c r="D1194" s="18"/>
      <c r="E1194" s="18"/>
      <c r="F1194" s="18"/>
      <c r="G1194" s="17"/>
      <c r="H1194" s="17"/>
    </row>
    <row r="1195" spans="1:8" ht="15">
      <c r="A1195" s="17"/>
      <c r="B1195" s="17"/>
      <c r="C1195" s="18"/>
      <c r="D1195" s="18"/>
      <c r="E1195" s="18"/>
      <c r="F1195" s="18"/>
      <c r="G1195" s="17"/>
      <c r="H1195" s="17"/>
    </row>
    <row r="1196" spans="3:6" ht="15">
      <c r="C1196" s="19"/>
      <c r="D1196" s="19"/>
      <c r="E1196" s="19"/>
      <c r="F1196" s="19"/>
    </row>
    <row r="1197" spans="3:6" ht="15">
      <c r="C1197" s="19"/>
      <c r="D1197" s="19"/>
      <c r="E1197" s="19"/>
      <c r="F1197" s="19"/>
    </row>
    <row r="1198" spans="3:6" ht="15">
      <c r="C1198" s="19"/>
      <c r="D1198" s="19"/>
      <c r="E1198" s="19"/>
      <c r="F1198" s="19"/>
    </row>
    <row r="1199" spans="3:6" ht="15">
      <c r="C1199" s="19"/>
      <c r="D1199" s="19"/>
      <c r="E1199" s="19"/>
      <c r="F1199" s="19"/>
    </row>
    <row r="1200" spans="3:6" ht="15">
      <c r="C1200" s="19"/>
      <c r="D1200" s="19"/>
      <c r="E1200" s="19"/>
      <c r="F1200" s="19"/>
    </row>
    <row r="1201" spans="3:6" ht="15">
      <c r="C1201" s="19"/>
      <c r="D1201" s="19"/>
      <c r="E1201" s="19"/>
      <c r="F1201" s="19"/>
    </row>
    <row r="1202" spans="3:6" ht="15">
      <c r="C1202" s="19"/>
      <c r="D1202" s="19"/>
      <c r="E1202" s="19"/>
      <c r="F1202" s="19"/>
    </row>
    <row r="1203" spans="3:6" ht="15">
      <c r="C1203" s="19"/>
      <c r="D1203" s="19"/>
      <c r="E1203" s="19"/>
      <c r="F1203" s="19"/>
    </row>
    <row r="1204" spans="3:6" ht="15">
      <c r="C1204" s="19"/>
      <c r="D1204" s="19"/>
      <c r="E1204" s="19"/>
      <c r="F1204" s="19"/>
    </row>
    <row r="1205" spans="3:6" ht="15">
      <c r="C1205" s="19"/>
      <c r="D1205" s="19"/>
      <c r="E1205" s="19"/>
      <c r="F1205" s="19"/>
    </row>
    <row r="1206" spans="3:6" ht="15">
      <c r="C1206" s="19"/>
      <c r="D1206" s="19"/>
      <c r="E1206" s="19"/>
      <c r="F1206" s="19"/>
    </row>
    <row r="1207" spans="3:6" ht="15">
      <c r="C1207" s="19"/>
      <c r="D1207" s="19"/>
      <c r="E1207" s="19"/>
      <c r="F1207" s="19"/>
    </row>
    <row r="1208" spans="3:6" ht="15">
      <c r="C1208" s="19"/>
      <c r="D1208" s="19"/>
      <c r="E1208" s="19"/>
      <c r="F1208" s="19"/>
    </row>
    <row r="1209" spans="3:6" ht="15">
      <c r="C1209" s="19"/>
      <c r="D1209" s="19"/>
      <c r="E1209" s="19"/>
      <c r="F1209" s="19"/>
    </row>
    <row r="1210" spans="3:6" ht="15">
      <c r="C1210" s="19"/>
      <c r="D1210" s="19"/>
      <c r="E1210" s="19"/>
      <c r="F1210" s="19"/>
    </row>
    <row r="1211" spans="3:6" ht="15">
      <c r="C1211" s="19"/>
      <c r="D1211" s="19"/>
      <c r="E1211" s="19"/>
      <c r="F1211" s="19"/>
    </row>
    <row r="1212" spans="3:6" ht="15">
      <c r="C1212" s="19"/>
      <c r="D1212" s="19"/>
      <c r="E1212" s="19"/>
      <c r="F1212" s="19"/>
    </row>
    <row r="1213" spans="3:6" ht="15">
      <c r="C1213" s="19"/>
      <c r="D1213" s="19"/>
      <c r="E1213" s="19"/>
      <c r="F1213" s="19"/>
    </row>
    <row r="1214" spans="3:6" ht="15">
      <c r="C1214" s="19"/>
      <c r="D1214" s="19"/>
      <c r="E1214" s="19"/>
      <c r="F1214" s="19"/>
    </row>
    <row r="1215" spans="3:6" ht="15">
      <c r="C1215" s="19"/>
      <c r="D1215" s="19"/>
      <c r="E1215" s="19"/>
      <c r="F1215" s="19"/>
    </row>
    <row r="1216" spans="3:6" ht="15">
      <c r="C1216" s="19"/>
      <c r="D1216" s="19"/>
      <c r="E1216" s="19"/>
      <c r="F1216" s="19"/>
    </row>
    <row r="1217" spans="3:6" ht="15">
      <c r="C1217" s="19"/>
      <c r="D1217" s="19"/>
      <c r="E1217" s="19"/>
      <c r="F1217" s="19"/>
    </row>
    <row r="1218" spans="3:6" ht="15">
      <c r="C1218" s="19"/>
      <c r="D1218" s="19"/>
      <c r="E1218" s="19"/>
      <c r="F1218" s="19"/>
    </row>
    <row r="1219" spans="3:6" ht="15">
      <c r="C1219" s="19"/>
      <c r="D1219" s="19"/>
      <c r="E1219" s="19"/>
      <c r="F1219" s="19"/>
    </row>
    <row r="1220" spans="3:6" ht="15">
      <c r="C1220" s="19"/>
      <c r="D1220" s="19"/>
      <c r="E1220" s="19"/>
      <c r="F1220" s="19"/>
    </row>
    <row r="1221" spans="3:6" ht="15">
      <c r="C1221" s="19"/>
      <c r="D1221" s="19"/>
      <c r="E1221" s="19"/>
      <c r="F1221" s="19"/>
    </row>
    <row r="1222" spans="3:6" ht="15">
      <c r="C1222" s="19"/>
      <c r="D1222" s="19"/>
      <c r="E1222" s="19"/>
      <c r="F1222" s="19"/>
    </row>
    <row r="1223" spans="3:6" ht="15">
      <c r="C1223" s="19"/>
      <c r="D1223" s="19"/>
      <c r="E1223" s="19"/>
      <c r="F1223" s="19"/>
    </row>
    <row r="1224" spans="3:6" ht="15">
      <c r="C1224" s="19"/>
      <c r="D1224" s="19"/>
      <c r="E1224" s="19"/>
      <c r="F1224" s="19"/>
    </row>
    <row r="1225" spans="3:6" ht="15">
      <c r="C1225" s="19"/>
      <c r="D1225" s="19"/>
      <c r="E1225" s="19"/>
      <c r="F1225" s="19"/>
    </row>
    <row r="1226" spans="3:6" ht="15">
      <c r="C1226" s="19"/>
      <c r="D1226" s="19"/>
      <c r="E1226" s="19"/>
      <c r="F1226" s="19"/>
    </row>
    <row r="1227" spans="3:6" ht="15">
      <c r="C1227" s="19"/>
      <c r="D1227" s="19"/>
      <c r="E1227" s="19"/>
      <c r="F1227" s="19"/>
    </row>
    <row r="1228" spans="3:6" ht="15">
      <c r="C1228" s="19"/>
      <c r="D1228" s="19"/>
      <c r="E1228" s="19"/>
      <c r="F1228" s="19"/>
    </row>
    <row r="1229" spans="3:6" ht="15">
      <c r="C1229" s="19"/>
      <c r="D1229" s="19"/>
      <c r="E1229" s="19"/>
      <c r="F1229" s="19"/>
    </row>
    <row r="1230" spans="3:6" ht="15">
      <c r="C1230" s="19"/>
      <c r="D1230" s="19"/>
      <c r="E1230" s="19"/>
      <c r="F1230" s="19"/>
    </row>
    <row r="1231" spans="3:6" ht="15">
      <c r="C1231" s="19"/>
      <c r="D1231" s="19"/>
      <c r="E1231" s="19"/>
      <c r="F1231" s="19"/>
    </row>
    <row r="1232" spans="3:6" ht="15">
      <c r="C1232" s="19"/>
      <c r="D1232" s="19"/>
      <c r="E1232" s="19"/>
      <c r="F1232" s="19"/>
    </row>
    <row r="1233" spans="3:6" ht="15">
      <c r="C1233" s="19"/>
      <c r="D1233" s="19"/>
      <c r="E1233" s="19"/>
      <c r="F1233" s="19"/>
    </row>
    <row r="1234" spans="3:6" ht="15">
      <c r="C1234" s="19"/>
      <c r="D1234" s="19"/>
      <c r="E1234" s="19"/>
      <c r="F1234" s="19"/>
    </row>
    <row r="1235" spans="3:6" ht="15">
      <c r="C1235" s="19"/>
      <c r="D1235" s="19"/>
      <c r="E1235" s="19"/>
      <c r="F1235" s="19"/>
    </row>
    <row r="1236" spans="3:6" ht="15">
      <c r="C1236" s="19"/>
      <c r="D1236" s="19"/>
      <c r="E1236" s="19"/>
      <c r="F1236" s="19"/>
    </row>
    <row r="1237" spans="3:6" ht="15">
      <c r="C1237" s="19"/>
      <c r="D1237" s="19"/>
      <c r="E1237" s="19"/>
      <c r="F1237" s="19"/>
    </row>
    <row r="1238" spans="3:6" ht="15">
      <c r="C1238" s="19"/>
      <c r="D1238" s="19"/>
      <c r="E1238" s="19"/>
      <c r="F1238" s="19"/>
    </row>
    <row r="1239" spans="3:6" ht="15">
      <c r="C1239" s="19"/>
      <c r="D1239" s="19"/>
      <c r="E1239" s="19"/>
      <c r="F1239" s="19"/>
    </row>
    <row r="1240" spans="3:6" ht="15">
      <c r="C1240" s="19"/>
      <c r="D1240" s="19"/>
      <c r="E1240" s="19"/>
      <c r="F1240" s="19"/>
    </row>
    <row r="1241" spans="3:6" ht="15">
      <c r="C1241" s="19"/>
      <c r="D1241" s="19"/>
      <c r="E1241" s="19"/>
      <c r="F1241" s="19"/>
    </row>
    <row r="1242" spans="3:6" ht="15">
      <c r="C1242" s="19"/>
      <c r="D1242" s="19"/>
      <c r="E1242" s="19"/>
      <c r="F1242" s="19"/>
    </row>
    <row r="1243" spans="3:6" ht="15">
      <c r="C1243" s="19"/>
      <c r="D1243" s="19"/>
      <c r="E1243" s="19"/>
      <c r="F1243" s="19"/>
    </row>
    <row r="1244" spans="3:6" ht="15">
      <c r="C1244" s="19"/>
      <c r="D1244" s="19"/>
      <c r="E1244" s="19"/>
      <c r="F1244" s="19"/>
    </row>
    <row r="1245" spans="3:6" ht="15">
      <c r="C1245" s="19"/>
      <c r="D1245" s="19"/>
      <c r="E1245" s="19"/>
      <c r="F1245" s="19"/>
    </row>
    <row r="1246" spans="3:6" ht="15">
      <c r="C1246" s="19"/>
      <c r="D1246" s="19"/>
      <c r="E1246" s="19"/>
      <c r="F1246" s="19"/>
    </row>
    <row r="1247" spans="3:6" ht="15">
      <c r="C1247" s="19"/>
      <c r="D1247" s="19"/>
      <c r="E1247" s="19"/>
      <c r="F1247" s="19"/>
    </row>
    <row r="1248" spans="3:6" ht="15">
      <c r="C1248" s="19"/>
      <c r="D1248" s="19"/>
      <c r="E1248" s="19"/>
      <c r="F1248" s="19"/>
    </row>
    <row r="1249" spans="3:6" ht="15">
      <c r="C1249" s="19"/>
      <c r="D1249" s="19"/>
      <c r="E1249" s="19"/>
      <c r="F1249" s="19"/>
    </row>
    <row r="1250" spans="3:6" ht="15">
      <c r="C1250" s="19"/>
      <c r="D1250" s="19"/>
      <c r="E1250" s="19"/>
      <c r="F1250" s="19"/>
    </row>
    <row r="1251" spans="3:6" ht="15">
      <c r="C1251" s="19"/>
      <c r="D1251" s="19"/>
      <c r="E1251" s="19"/>
      <c r="F1251" s="19"/>
    </row>
    <row r="1252" spans="3:6" ht="15">
      <c r="C1252" s="19"/>
      <c r="D1252" s="19"/>
      <c r="E1252" s="19"/>
      <c r="F1252" s="19"/>
    </row>
    <row r="1253" spans="3:6" ht="15">
      <c r="C1253" s="19"/>
      <c r="D1253" s="19"/>
      <c r="E1253" s="19"/>
      <c r="F1253" s="19"/>
    </row>
    <row r="1254" spans="3:6" ht="15">
      <c r="C1254" s="19"/>
      <c r="D1254" s="19"/>
      <c r="E1254" s="19"/>
      <c r="F1254" s="19"/>
    </row>
    <row r="1255" spans="3:6" ht="15">
      <c r="C1255" s="19"/>
      <c r="D1255" s="19"/>
      <c r="E1255" s="19"/>
      <c r="F1255" s="19"/>
    </row>
    <row r="1256" spans="3:6" ht="15">
      <c r="C1256" s="19"/>
      <c r="D1256" s="19"/>
      <c r="E1256" s="19"/>
      <c r="F1256" s="19"/>
    </row>
    <row r="1257" spans="3:6" ht="15">
      <c r="C1257" s="19"/>
      <c r="D1257" s="19"/>
      <c r="E1257" s="19"/>
      <c r="F1257" s="19"/>
    </row>
    <row r="1258" spans="3:6" ht="15">
      <c r="C1258" s="19"/>
      <c r="D1258" s="19"/>
      <c r="E1258" s="19"/>
      <c r="F1258" s="19"/>
    </row>
    <row r="1259" spans="3:6" ht="15">
      <c r="C1259" s="19"/>
      <c r="D1259" s="19"/>
      <c r="E1259" s="19"/>
      <c r="F1259" s="19"/>
    </row>
    <row r="1260" spans="3:6" ht="15">
      <c r="C1260" s="19"/>
      <c r="D1260" s="19"/>
      <c r="E1260" s="19"/>
      <c r="F1260" s="19"/>
    </row>
    <row r="1261" spans="3:6" ht="15">
      <c r="C1261" s="19"/>
      <c r="D1261" s="19"/>
      <c r="E1261" s="19"/>
      <c r="F1261" s="19"/>
    </row>
    <row r="1262" spans="3:6" ht="15">
      <c r="C1262" s="19"/>
      <c r="D1262" s="19"/>
      <c r="E1262" s="19"/>
      <c r="F1262" s="19"/>
    </row>
  </sheetData>
  <sheetProtection/>
  <mergeCells count="75">
    <mergeCell ref="H837:H838"/>
    <mergeCell ref="B828:B829"/>
    <mergeCell ref="C828:C829"/>
    <mergeCell ref="B837:B838"/>
    <mergeCell ref="C837:C838"/>
    <mergeCell ref="D837:D838"/>
    <mergeCell ref="E837:E838"/>
    <mergeCell ref="F837:F838"/>
    <mergeCell ref="G837:G838"/>
    <mergeCell ref="H828:H829"/>
    <mergeCell ref="G819:G820"/>
    <mergeCell ref="D828:D829"/>
    <mergeCell ref="E828:E829"/>
    <mergeCell ref="F828:F829"/>
    <mergeCell ref="G828:G829"/>
    <mergeCell ref="H819:H820"/>
    <mergeCell ref="D821:D822"/>
    <mergeCell ref="E821:E822"/>
    <mergeCell ref="G821:G822"/>
    <mergeCell ref="H821:H822"/>
    <mergeCell ref="B819:B820"/>
    <mergeCell ref="C819:C820"/>
    <mergeCell ref="D819:D820"/>
    <mergeCell ref="E819:E820"/>
    <mergeCell ref="F819:F820"/>
    <mergeCell ref="F821:F822"/>
    <mergeCell ref="B821:B822"/>
    <mergeCell ref="C821:C822"/>
    <mergeCell ref="H811:H812"/>
    <mergeCell ref="B809:B810"/>
    <mergeCell ref="C809:C810"/>
    <mergeCell ref="H809:H810"/>
    <mergeCell ref="F811:F812"/>
    <mergeCell ref="G811:G812"/>
    <mergeCell ref="B737:B738"/>
    <mergeCell ref="C737:C738"/>
    <mergeCell ref="D737:D738"/>
    <mergeCell ref="E737:E738"/>
    <mergeCell ref="B811:B812"/>
    <mergeCell ref="C811:C812"/>
    <mergeCell ref="D811:D812"/>
    <mergeCell ref="E811:E812"/>
    <mergeCell ref="H655:H656"/>
    <mergeCell ref="H737:H738"/>
    <mergeCell ref="F737:F738"/>
    <mergeCell ref="G737:G738"/>
    <mergeCell ref="H649:H650"/>
    <mergeCell ref="D809:D810"/>
    <mergeCell ref="E809:E810"/>
    <mergeCell ref="F809:F810"/>
    <mergeCell ref="G809:G810"/>
    <mergeCell ref="F640:F641"/>
    <mergeCell ref="G640:G641"/>
    <mergeCell ref="F655:F656"/>
    <mergeCell ref="F649:F650"/>
    <mergeCell ref="G649:G650"/>
    <mergeCell ref="G655:G656"/>
    <mergeCell ref="B649:B650"/>
    <mergeCell ref="C649:C650"/>
    <mergeCell ref="D649:D650"/>
    <mergeCell ref="E649:E650"/>
    <mergeCell ref="B655:B656"/>
    <mergeCell ref="C655:C656"/>
    <mergeCell ref="D655:D656"/>
    <mergeCell ref="E655:E656"/>
    <mergeCell ref="B640:B641"/>
    <mergeCell ref="C640:C641"/>
    <mergeCell ref="H640:H641"/>
    <mergeCell ref="A1:H1"/>
    <mergeCell ref="A5:H5"/>
    <mergeCell ref="E2:H2"/>
    <mergeCell ref="E3:H3"/>
    <mergeCell ref="E4:H4"/>
    <mergeCell ref="D640:D641"/>
    <mergeCell ref="E640:E641"/>
  </mergeCells>
  <printOptions horizontalCentered="1"/>
  <pageMargins left="0.63" right="0.29" top="0.19" bottom="0.23" header="0.19" footer="0.23"/>
  <pageSetup fitToHeight="70" fitToWidth="1" horizontalDpi="600" verticalDpi="600" orientation="portrait" paperSize="9" scale="72" r:id="rId3"/>
  <headerFooter alignWithMargins="0">
    <oddFooter>&amp;CСтраница &amp;P&amp;R&amp;A</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611"/>
  <sheetViews>
    <sheetView zoomScale="85" zoomScaleNormal="85" zoomScalePageLayoutView="0" workbookViewId="0" topLeftCell="A1">
      <selection activeCell="A5" sqref="A5:G5"/>
    </sheetView>
  </sheetViews>
  <sheetFormatPr defaultColWidth="9.125" defaultRowHeight="12.75"/>
  <cols>
    <col min="1" max="1" width="35.125" style="12" customWidth="1"/>
    <col min="2" max="2" width="12.875" style="12" customWidth="1"/>
    <col min="3" max="3" width="8.875" style="12" customWidth="1"/>
    <col min="4" max="4" width="12.25390625" style="12" customWidth="1"/>
    <col min="5" max="5" width="11.75390625" style="12" customWidth="1"/>
    <col min="6" max="7" width="19.75390625" style="26" customWidth="1"/>
    <col min="8" max="8" width="25.00390625" style="12" hidden="1" customWidth="1"/>
    <col min="9" max="9" width="22.25390625" style="12" hidden="1" customWidth="1"/>
    <col min="10" max="11" width="0" style="12" hidden="1" customWidth="1"/>
    <col min="12" max="16384" width="9.125" style="12" customWidth="1"/>
  </cols>
  <sheetData>
    <row r="1" spans="2:7" ht="15.75">
      <c r="B1" s="30"/>
      <c r="C1" s="30"/>
      <c r="D1" s="266"/>
      <c r="E1" s="266"/>
      <c r="F1" s="266" t="s">
        <v>446</v>
      </c>
      <c r="G1" s="266"/>
    </row>
    <row r="2" spans="2:7" ht="15.75">
      <c r="B2" s="30"/>
      <c r="C2" s="30"/>
      <c r="D2" s="266" t="s">
        <v>570</v>
      </c>
      <c r="E2" s="266"/>
      <c r="F2" s="266"/>
      <c r="G2" s="266"/>
    </row>
    <row r="3" spans="2:7" ht="15.75">
      <c r="B3" s="52"/>
      <c r="C3" s="52"/>
      <c r="D3" s="266"/>
      <c r="E3" s="266"/>
      <c r="F3" s="266" t="s">
        <v>918</v>
      </c>
      <c r="G3" s="266"/>
    </row>
    <row r="4" spans="1:7" ht="15.75">
      <c r="A4" s="266" t="s">
        <v>1244</v>
      </c>
      <c r="B4" s="266"/>
      <c r="C4" s="266"/>
      <c r="D4" s="266"/>
      <c r="E4" s="266"/>
      <c r="F4" s="266"/>
      <c r="G4" s="266"/>
    </row>
    <row r="5" spans="1:7" ht="58.5" customHeight="1">
      <c r="A5" s="283" t="s">
        <v>998</v>
      </c>
      <c r="B5" s="284"/>
      <c r="C5" s="284"/>
      <c r="D5" s="284"/>
      <c r="E5" s="284"/>
      <c r="F5" s="284"/>
      <c r="G5" s="284"/>
    </row>
    <row r="6" spans="6:7" ht="15.75">
      <c r="F6" s="41"/>
      <c r="G6" s="41" t="s">
        <v>743</v>
      </c>
    </row>
    <row r="7" spans="1:7" ht="94.5">
      <c r="A7" s="15" t="s">
        <v>915</v>
      </c>
      <c r="B7" s="61" t="s">
        <v>145</v>
      </c>
      <c r="C7" s="61" t="s">
        <v>146</v>
      </c>
      <c r="D7" s="61" t="s">
        <v>147</v>
      </c>
      <c r="E7" s="61" t="s">
        <v>148</v>
      </c>
      <c r="F7" s="40" t="s">
        <v>916</v>
      </c>
      <c r="G7" s="15" t="s">
        <v>601</v>
      </c>
    </row>
    <row r="8" spans="1:7" ht="15.75">
      <c r="A8" s="15">
        <v>1</v>
      </c>
      <c r="B8" s="15">
        <v>2</v>
      </c>
      <c r="C8" s="15">
        <v>3</v>
      </c>
      <c r="D8" s="15">
        <v>4</v>
      </c>
      <c r="E8" s="15">
        <v>5</v>
      </c>
      <c r="F8" s="42">
        <v>6</v>
      </c>
      <c r="G8" s="42">
        <v>7</v>
      </c>
    </row>
    <row r="9" spans="1:10" s="43" customFormat="1" ht="63">
      <c r="A9" s="1" t="s">
        <v>102</v>
      </c>
      <c r="B9" s="2" t="s">
        <v>552</v>
      </c>
      <c r="C9" s="2"/>
      <c r="D9" s="9"/>
      <c r="E9" s="9"/>
      <c r="F9" s="32">
        <f>F10+F73+F147+F235+F246+F257+F277+F292</f>
        <v>1359095258.1399999</v>
      </c>
      <c r="G9" s="32">
        <f>G10+G73+G147+G235+G246+G257+G277+G292</f>
        <v>715252223</v>
      </c>
      <c r="H9" s="75">
        <f>прил6!F25+прил6!F484+прил6!F520+прил6!F584+прил6!F621+прил6!F745+прил6!F795</f>
        <v>1359095258.1399996</v>
      </c>
      <c r="I9" s="75">
        <f>прил6!G25+прил6!G484+прил6!G520+прил6!G584+прил6!G621+прил6!G745+прил6!G795</f>
        <v>715252223</v>
      </c>
      <c r="J9" s="75"/>
    </row>
    <row r="10" spans="1:9" s="43" customFormat="1" ht="47.25">
      <c r="A10" s="3" t="s">
        <v>530</v>
      </c>
      <c r="B10" s="4" t="s">
        <v>340</v>
      </c>
      <c r="C10" s="4"/>
      <c r="D10" s="4"/>
      <c r="E10" s="4"/>
      <c r="F10" s="29">
        <f>F11+F32+F46+F59+F68</f>
        <v>520723541.29999995</v>
      </c>
      <c r="G10" s="29">
        <f>G11+G32+G46+G59+G68</f>
        <v>326009342</v>
      </c>
      <c r="H10" s="75">
        <f>H9-F9</f>
        <v>0</v>
      </c>
      <c r="I10" s="75">
        <f>I9-G9</f>
        <v>0</v>
      </c>
    </row>
    <row r="11" spans="1:7" s="43" customFormat="1" ht="110.25">
      <c r="A11" s="3" t="s">
        <v>341</v>
      </c>
      <c r="B11" s="4" t="s">
        <v>342</v>
      </c>
      <c r="C11" s="4"/>
      <c r="D11" s="4"/>
      <c r="E11" s="4"/>
      <c r="F11" s="29">
        <f>F12+F16+F20+F24+F28</f>
        <v>308129226.13</v>
      </c>
      <c r="G11" s="29">
        <f>G12+G16+G20+G24+G28</f>
        <v>308016369</v>
      </c>
    </row>
    <row r="12" spans="1:7" s="43" customFormat="1" ht="110.25">
      <c r="A12" s="3" t="s">
        <v>343</v>
      </c>
      <c r="B12" s="4" t="s">
        <v>344</v>
      </c>
      <c r="C12" s="4"/>
      <c r="D12" s="4"/>
      <c r="E12" s="4"/>
      <c r="F12" s="29">
        <f>F13</f>
        <v>306311700</v>
      </c>
      <c r="G12" s="29">
        <f aca="true" t="shared" si="0" ref="G12:G19">F12</f>
        <v>306311700</v>
      </c>
    </row>
    <row r="13" spans="1:7" s="43" customFormat="1" ht="63">
      <c r="A13" s="3" t="s">
        <v>525</v>
      </c>
      <c r="B13" s="4" t="s">
        <v>344</v>
      </c>
      <c r="C13" s="4" t="s">
        <v>609</v>
      </c>
      <c r="D13" s="4"/>
      <c r="E13" s="4"/>
      <c r="F13" s="29">
        <f>F14</f>
        <v>306311700</v>
      </c>
      <c r="G13" s="29">
        <f t="shared" si="0"/>
        <v>306311700</v>
      </c>
    </row>
    <row r="14" spans="1:7" s="43" customFormat="1" ht="31.5">
      <c r="A14" s="3" t="s">
        <v>51</v>
      </c>
      <c r="B14" s="4" t="s">
        <v>344</v>
      </c>
      <c r="C14" s="4" t="s">
        <v>609</v>
      </c>
      <c r="D14" s="4" t="s">
        <v>43</v>
      </c>
      <c r="E14" s="4"/>
      <c r="F14" s="29">
        <f>F15</f>
        <v>306311700</v>
      </c>
      <c r="G14" s="29">
        <f t="shared" si="0"/>
        <v>306311700</v>
      </c>
    </row>
    <row r="15" spans="1:7" s="43" customFormat="1" ht="31.5">
      <c r="A15" s="3" t="s">
        <v>52</v>
      </c>
      <c r="B15" s="4" t="s">
        <v>344</v>
      </c>
      <c r="C15" s="4" t="s">
        <v>609</v>
      </c>
      <c r="D15" s="4" t="s">
        <v>43</v>
      </c>
      <c r="E15" s="4" t="s">
        <v>917</v>
      </c>
      <c r="F15" s="29">
        <f>прил6!F488</f>
        <v>306311700</v>
      </c>
      <c r="G15" s="29">
        <f t="shared" si="0"/>
        <v>306311700</v>
      </c>
    </row>
    <row r="16" spans="1:7" s="43" customFormat="1" ht="131.25" customHeight="1">
      <c r="A16" s="3" t="s">
        <v>859</v>
      </c>
      <c r="B16" s="4" t="s">
        <v>345</v>
      </c>
      <c r="C16" s="4"/>
      <c r="D16" s="4"/>
      <c r="E16" s="4"/>
      <c r="F16" s="29">
        <f>F17</f>
        <v>1150930</v>
      </c>
      <c r="G16" s="29">
        <f t="shared" si="0"/>
        <v>1150930</v>
      </c>
    </row>
    <row r="17" spans="1:7" s="43" customFormat="1" ht="63">
      <c r="A17" s="3" t="s">
        <v>525</v>
      </c>
      <c r="B17" s="4" t="s">
        <v>345</v>
      </c>
      <c r="C17" s="4" t="s">
        <v>609</v>
      </c>
      <c r="D17" s="4"/>
      <c r="E17" s="4"/>
      <c r="F17" s="29">
        <f>F18</f>
        <v>1150930</v>
      </c>
      <c r="G17" s="29">
        <f t="shared" si="0"/>
        <v>1150930</v>
      </c>
    </row>
    <row r="18" spans="1:7" s="43" customFormat="1" ht="31.5">
      <c r="A18" s="3" t="s">
        <v>51</v>
      </c>
      <c r="B18" s="4" t="s">
        <v>345</v>
      </c>
      <c r="C18" s="4" t="s">
        <v>609</v>
      </c>
      <c r="D18" s="4" t="s">
        <v>43</v>
      </c>
      <c r="E18" s="4"/>
      <c r="F18" s="29">
        <f>F19</f>
        <v>1150930</v>
      </c>
      <c r="G18" s="29">
        <f t="shared" si="0"/>
        <v>1150930</v>
      </c>
    </row>
    <row r="19" spans="1:7" s="43" customFormat="1" ht="31.5">
      <c r="A19" s="3" t="s">
        <v>52</v>
      </c>
      <c r="B19" s="4" t="s">
        <v>345</v>
      </c>
      <c r="C19" s="4" t="s">
        <v>609</v>
      </c>
      <c r="D19" s="4" t="s">
        <v>43</v>
      </c>
      <c r="E19" s="4" t="s">
        <v>917</v>
      </c>
      <c r="F19" s="29">
        <f>прил6!F490</f>
        <v>1150930</v>
      </c>
      <c r="G19" s="29">
        <f t="shared" si="0"/>
        <v>1150930</v>
      </c>
    </row>
    <row r="20" spans="1:7" s="43" customFormat="1" ht="135.75" customHeight="1">
      <c r="A20" s="3" t="s">
        <v>859</v>
      </c>
      <c r="B20" s="4" t="s">
        <v>346</v>
      </c>
      <c r="C20" s="4"/>
      <c r="D20" s="4"/>
      <c r="E20" s="4"/>
      <c r="F20" s="29">
        <f>F21</f>
        <v>82156</v>
      </c>
      <c r="G20" s="29"/>
    </row>
    <row r="21" spans="1:7" s="43" customFormat="1" ht="63">
      <c r="A21" s="3" t="s">
        <v>525</v>
      </c>
      <c r="B21" s="4" t="s">
        <v>346</v>
      </c>
      <c r="C21" s="4" t="s">
        <v>609</v>
      </c>
      <c r="D21" s="4"/>
      <c r="E21" s="4"/>
      <c r="F21" s="29">
        <f>F22</f>
        <v>82156</v>
      </c>
      <c r="G21" s="29"/>
    </row>
    <row r="22" spans="1:7" s="43" customFormat="1" ht="31.5">
      <c r="A22" s="3" t="s">
        <v>51</v>
      </c>
      <c r="B22" s="4" t="s">
        <v>346</v>
      </c>
      <c r="C22" s="4" t="s">
        <v>609</v>
      </c>
      <c r="D22" s="4" t="s">
        <v>43</v>
      </c>
      <c r="E22" s="4"/>
      <c r="F22" s="29">
        <f>F23</f>
        <v>82156</v>
      </c>
      <c r="G22" s="29"/>
    </row>
    <row r="23" spans="1:7" s="43" customFormat="1" ht="31.5">
      <c r="A23" s="3" t="s">
        <v>52</v>
      </c>
      <c r="B23" s="4" t="s">
        <v>346</v>
      </c>
      <c r="C23" s="4" t="s">
        <v>609</v>
      </c>
      <c r="D23" s="4" t="s">
        <v>43</v>
      </c>
      <c r="E23" s="4" t="s">
        <v>917</v>
      </c>
      <c r="F23" s="29">
        <f>прил6!F492</f>
        <v>82156</v>
      </c>
      <c r="G23" s="29"/>
    </row>
    <row r="24" spans="1:7" s="43" customFormat="1" ht="141.75">
      <c r="A24" s="3" t="s">
        <v>347</v>
      </c>
      <c r="B24" s="4" t="s">
        <v>348</v>
      </c>
      <c r="C24" s="4"/>
      <c r="D24" s="4"/>
      <c r="E24" s="4"/>
      <c r="F24" s="29">
        <f>F25</f>
        <v>553739</v>
      </c>
      <c r="G24" s="29">
        <f>F24</f>
        <v>553739</v>
      </c>
    </row>
    <row r="25" spans="1:7" s="16" customFormat="1" ht="63">
      <c r="A25" s="27" t="s">
        <v>525</v>
      </c>
      <c r="B25" s="4" t="s">
        <v>348</v>
      </c>
      <c r="C25" s="4" t="s">
        <v>609</v>
      </c>
      <c r="D25" s="4"/>
      <c r="E25" s="4"/>
      <c r="F25" s="29">
        <f>F26</f>
        <v>553739</v>
      </c>
      <c r="G25" s="29">
        <f>F25</f>
        <v>553739</v>
      </c>
    </row>
    <row r="26" spans="1:7" ht="31.5">
      <c r="A26" s="3" t="s">
        <v>51</v>
      </c>
      <c r="B26" s="4" t="s">
        <v>348</v>
      </c>
      <c r="C26" s="4" t="s">
        <v>609</v>
      </c>
      <c r="D26" s="4" t="s">
        <v>43</v>
      </c>
      <c r="E26" s="4"/>
      <c r="F26" s="29">
        <f>F27</f>
        <v>553739</v>
      </c>
      <c r="G26" s="29">
        <f>F26</f>
        <v>553739</v>
      </c>
    </row>
    <row r="27" spans="1:7" ht="31.5">
      <c r="A27" s="3" t="s">
        <v>52</v>
      </c>
      <c r="B27" s="4" t="s">
        <v>348</v>
      </c>
      <c r="C27" s="4" t="s">
        <v>609</v>
      </c>
      <c r="D27" s="4" t="s">
        <v>43</v>
      </c>
      <c r="E27" s="4" t="s">
        <v>917</v>
      </c>
      <c r="F27" s="29">
        <f>прил6!F494</f>
        <v>553739</v>
      </c>
      <c r="G27" s="29">
        <f>F27</f>
        <v>553739</v>
      </c>
    </row>
    <row r="28" spans="1:7" ht="141.75">
      <c r="A28" s="3" t="s">
        <v>347</v>
      </c>
      <c r="B28" s="4" t="s">
        <v>349</v>
      </c>
      <c r="C28" s="4"/>
      <c r="D28" s="4"/>
      <c r="E28" s="4"/>
      <c r="F28" s="29">
        <f>F29</f>
        <v>30701.13</v>
      </c>
      <c r="G28" s="29"/>
    </row>
    <row r="29" spans="1:7" ht="63">
      <c r="A29" s="27" t="s">
        <v>525</v>
      </c>
      <c r="B29" s="4" t="s">
        <v>349</v>
      </c>
      <c r="C29" s="4" t="s">
        <v>609</v>
      </c>
      <c r="D29" s="4"/>
      <c r="E29" s="4"/>
      <c r="F29" s="29">
        <f>F30</f>
        <v>30701.13</v>
      </c>
      <c r="G29" s="29"/>
    </row>
    <row r="30" spans="1:7" ht="31.5">
      <c r="A30" s="3" t="s">
        <v>51</v>
      </c>
      <c r="B30" s="4" t="s">
        <v>349</v>
      </c>
      <c r="C30" s="4" t="s">
        <v>609</v>
      </c>
      <c r="D30" s="4" t="s">
        <v>43</v>
      </c>
      <c r="E30" s="4"/>
      <c r="F30" s="29">
        <f>F31</f>
        <v>30701.13</v>
      </c>
      <c r="G30" s="29"/>
    </row>
    <row r="31" spans="1:7" ht="31.5">
      <c r="A31" s="3" t="s">
        <v>52</v>
      </c>
      <c r="B31" s="4" t="s">
        <v>349</v>
      </c>
      <c r="C31" s="4" t="s">
        <v>609</v>
      </c>
      <c r="D31" s="4" t="s">
        <v>43</v>
      </c>
      <c r="E31" s="4" t="s">
        <v>917</v>
      </c>
      <c r="F31" s="29">
        <f>прил6!F496</f>
        <v>30701.13</v>
      </c>
      <c r="G31" s="29"/>
    </row>
    <row r="32" spans="1:7" ht="97.5" customHeight="1">
      <c r="A32" s="3" t="s">
        <v>350</v>
      </c>
      <c r="B32" s="4" t="s">
        <v>351</v>
      </c>
      <c r="C32" s="4"/>
      <c r="D32" s="4"/>
      <c r="E32" s="4"/>
      <c r="F32" s="29">
        <f>F33+F43</f>
        <v>187412174.53</v>
      </c>
      <c r="G32" s="29"/>
    </row>
    <row r="33" spans="1:7" ht="94.5">
      <c r="A33" s="3" t="s">
        <v>749</v>
      </c>
      <c r="B33" s="4" t="s">
        <v>352</v>
      </c>
      <c r="C33" s="4"/>
      <c r="D33" s="4"/>
      <c r="E33" s="4"/>
      <c r="F33" s="29">
        <f>F34</f>
        <v>181419742.53</v>
      </c>
      <c r="G33" s="29"/>
    </row>
    <row r="34" spans="1:7" ht="63">
      <c r="A34" s="27" t="s">
        <v>525</v>
      </c>
      <c r="B34" s="4" t="s">
        <v>352</v>
      </c>
      <c r="C34" s="4" t="s">
        <v>609</v>
      </c>
      <c r="D34" s="4"/>
      <c r="E34" s="4"/>
      <c r="F34" s="29">
        <f>F35</f>
        <v>181419742.53</v>
      </c>
      <c r="G34" s="29"/>
    </row>
    <row r="35" spans="1:7" ht="31.5">
      <c r="A35" s="3" t="s">
        <v>51</v>
      </c>
      <c r="B35" s="4" t="s">
        <v>352</v>
      </c>
      <c r="C35" s="4" t="s">
        <v>609</v>
      </c>
      <c r="D35" s="4" t="s">
        <v>43</v>
      </c>
      <c r="E35" s="4"/>
      <c r="F35" s="29">
        <f>F36</f>
        <v>181419742.53</v>
      </c>
      <c r="G35" s="29"/>
    </row>
    <row r="36" spans="1:7" ht="31.5">
      <c r="A36" s="3" t="s">
        <v>52</v>
      </c>
      <c r="B36" s="4" t="s">
        <v>352</v>
      </c>
      <c r="C36" s="4" t="s">
        <v>609</v>
      </c>
      <c r="D36" s="4" t="s">
        <v>43</v>
      </c>
      <c r="E36" s="4" t="s">
        <v>917</v>
      </c>
      <c r="F36" s="29">
        <f>прил6!F499</f>
        <v>181419742.53</v>
      </c>
      <c r="G36" s="29"/>
    </row>
    <row r="37" spans="1:7" ht="61.5" hidden="1">
      <c r="A37" s="3" t="s">
        <v>353</v>
      </c>
      <c r="B37" s="4" t="s">
        <v>354</v>
      </c>
      <c r="C37" s="4"/>
      <c r="D37" s="4"/>
      <c r="E37" s="4"/>
      <c r="F37" s="29"/>
      <c r="G37" s="29"/>
    </row>
    <row r="38" spans="1:7" ht="108" hidden="1">
      <c r="A38" s="3" t="s">
        <v>749</v>
      </c>
      <c r="B38" s="4" t="s">
        <v>355</v>
      </c>
      <c r="C38" s="4"/>
      <c r="D38" s="4"/>
      <c r="E38" s="4"/>
      <c r="F38" s="29"/>
      <c r="G38" s="29"/>
    </row>
    <row r="39" spans="1:7" ht="61.5" hidden="1">
      <c r="A39" s="27" t="s">
        <v>525</v>
      </c>
      <c r="B39" s="4" t="s">
        <v>355</v>
      </c>
      <c r="C39" s="4" t="s">
        <v>609</v>
      </c>
      <c r="D39" s="4"/>
      <c r="E39" s="4"/>
      <c r="F39" s="29"/>
      <c r="G39" s="29"/>
    </row>
    <row r="40" spans="1:7" ht="15" hidden="1">
      <c r="A40" s="3" t="s">
        <v>51</v>
      </c>
      <c r="B40" s="4" t="s">
        <v>355</v>
      </c>
      <c r="C40" s="4" t="s">
        <v>609</v>
      </c>
      <c r="D40" s="4" t="s">
        <v>43</v>
      </c>
      <c r="E40" s="4"/>
      <c r="F40" s="29"/>
      <c r="G40" s="29"/>
    </row>
    <row r="41" spans="1:7" ht="15" hidden="1">
      <c r="A41" s="3" t="s">
        <v>52</v>
      </c>
      <c r="B41" s="4" t="s">
        <v>355</v>
      </c>
      <c r="C41" s="4" t="s">
        <v>609</v>
      </c>
      <c r="D41" s="4" t="s">
        <v>43</v>
      </c>
      <c r="E41" s="4" t="s">
        <v>917</v>
      </c>
      <c r="F41" s="29"/>
      <c r="G41" s="29"/>
    </row>
    <row r="42" spans="1:7" ht="31.5">
      <c r="A42" s="3" t="s">
        <v>523</v>
      </c>
      <c r="B42" s="4" t="s">
        <v>1098</v>
      </c>
      <c r="C42" s="4"/>
      <c r="D42" s="4"/>
      <c r="E42" s="4"/>
      <c r="F42" s="29">
        <f>F43</f>
        <v>5992432</v>
      </c>
      <c r="G42" s="29"/>
    </row>
    <row r="43" spans="1:7" ht="63">
      <c r="A43" s="3" t="s">
        <v>525</v>
      </c>
      <c r="B43" s="4" t="s">
        <v>1098</v>
      </c>
      <c r="C43" s="4" t="s">
        <v>609</v>
      </c>
      <c r="D43" s="4"/>
      <c r="E43" s="4"/>
      <c r="F43" s="29">
        <f>F44</f>
        <v>5992432</v>
      </c>
      <c r="G43" s="29"/>
    </row>
    <row r="44" spans="1:7" ht="31.5">
      <c r="A44" s="3" t="s">
        <v>51</v>
      </c>
      <c r="B44" s="4" t="s">
        <v>1098</v>
      </c>
      <c r="C44" s="4" t="s">
        <v>609</v>
      </c>
      <c r="D44" s="4" t="s">
        <v>43</v>
      </c>
      <c r="E44" s="4"/>
      <c r="F44" s="29">
        <f>F45</f>
        <v>5992432</v>
      </c>
      <c r="G44" s="29"/>
    </row>
    <row r="45" spans="1:7" ht="31.5">
      <c r="A45" s="3" t="s">
        <v>52</v>
      </c>
      <c r="B45" s="4" t="s">
        <v>1098</v>
      </c>
      <c r="C45" s="4" t="s">
        <v>609</v>
      </c>
      <c r="D45" s="4" t="s">
        <v>43</v>
      </c>
      <c r="E45" s="4" t="s">
        <v>917</v>
      </c>
      <c r="F45" s="29">
        <f>прил6!F501</f>
        <v>5992432</v>
      </c>
      <c r="G45" s="29"/>
    </row>
    <row r="46" spans="1:7" ht="31.5">
      <c r="A46" s="3" t="s">
        <v>356</v>
      </c>
      <c r="B46" s="4" t="s">
        <v>357</v>
      </c>
      <c r="C46" s="4"/>
      <c r="D46" s="4"/>
      <c r="E46" s="4"/>
      <c r="F46" s="29">
        <f>F47+F51+F55</f>
        <v>7931940.64</v>
      </c>
      <c r="G46" s="29">
        <f>G47+G51+G55</f>
        <v>742773</v>
      </c>
    </row>
    <row r="47" spans="1:7" ht="94.5">
      <c r="A47" s="3" t="s">
        <v>749</v>
      </c>
      <c r="B47" s="4" t="s">
        <v>358</v>
      </c>
      <c r="C47" s="4"/>
      <c r="D47" s="4"/>
      <c r="E47" s="4"/>
      <c r="F47" s="29">
        <f>F48</f>
        <v>7189167.64</v>
      </c>
      <c r="G47" s="29"/>
    </row>
    <row r="48" spans="1:7" ht="63">
      <c r="A48" s="27" t="s">
        <v>525</v>
      </c>
      <c r="B48" s="4" t="s">
        <v>358</v>
      </c>
      <c r="C48" s="4" t="s">
        <v>609</v>
      </c>
      <c r="D48" s="4"/>
      <c r="E48" s="4"/>
      <c r="F48" s="29">
        <f>F49</f>
        <v>7189167.64</v>
      </c>
      <c r="G48" s="29"/>
    </row>
    <row r="49" spans="1:7" ht="31.5">
      <c r="A49" s="3" t="s">
        <v>51</v>
      </c>
      <c r="B49" s="4" t="s">
        <v>358</v>
      </c>
      <c r="C49" s="4" t="s">
        <v>609</v>
      </c>
      <c r="D49" s="4" t="s">
        <v>43</v>
      </c>
      <c r="E49" s="4"/>
      <c r="F49" s="29">
        <f>F50</f>
        <v>7189167.64</v>
      </c>
      <c r="G49" s="29"/>
    </row>
    <row r="50" spans="1:7" ht="31.5">
      <c r="A50" s="3" t="s">
        <v>52</v>
      </c>
      <c r="B50" s="4" t="s">
        <v>358</v>
      </c>
      <c r="C50" s="4" t="s">
        <v>609</v>
      </c>
      <c r="D50" s="4" t="s">
        <v>43</v>
      </c>
      <c r="E50" s="4" t="s">
        <v>917</v>
      </c>
      <c r="F50" s="29">
        <f>прил6!F504</f>
        <v>7189167.64</v>
      </c>
      <c r="G50" s="29"/>
    </row>
    <row r="51" spans="1:7" ht="141.75">
      <c r="A51" s="3" t="s">
        <v>359</v>
      </c>
      <c r="B51" s="4" t="s">
        <v>360</v>
      </c>
      <c r="C51" s="4"/>
      <c r="D51" s="4"/>
      <c r="E51" s="4"/>
      <c r="F51" s="29">
        <f>F52</f>
        <v>1093</v>
      </c>
      <c r="G51" s="29">
        <f aca="true" t="shared" si="1" ref="G51:G58">F51</f>
        <v>1093</v>
      </c>
    </row>
    <row r="52" spans="1:7" ht="63">
      <c r="A52" s="27" t="s">
        <v>525</v>
      </c>
      <c r="B52" s="4" t="s">
        <v>360</v>
      </c>
      <c r="C52" s="4" t="s">
        <v>609</v>
      </c>
      <c r="D52" s="4"/>
      <c r="E52" s="4"/>
      <c r="F52" s="29">
        <f>F53</f>
        <v>1093</v>
      </c>
      <c r="G52" s="29">
        <f t="shared" si="1"/>
        <v>1093</v>
      </c>
    </row>
    <row r="53" spans="1:7" ht="31.5">
      <c r="A53" s="3" t="s">
        <v>54</v>
      </c>
      <c r="B53" s="4" t="s">
        <v>360</v>
      </c>
      <c r="C53" s="4" t="s">
        <v>609</v>
      </c>
      <c r="D53" s="4" t="s">
        <v>48</v>
      </c>
      <c r="E53" s="4"/>
      <c r="F53" s="29">
        <f>F54</f>
        <v>1093</v>
      </c>
      <c r="G53" s="29">
        <f t="shared" si="1"/>
        <v>1093</v>
      </c>
    </row>
    <row r="54" spans="1:7" ht="31.5">
      <c r="A54" s="3" t="s">
        <v>738</v>
      </c>
      <c r="B54" s="4" t="s">
        <v>360</v>
      </c>
      <c r="C54" s="4" t="s">
        <v>609</v>
      </c>
      <c r="D54" s="4" t="s">
        <v>48</v>
      </c>
      <c r="E54" s="4" t="s">
        <v>47</v>
      </c>
      <c r="F54" s="29">
        <f>прил6!F749</f>
        <v>1093</v>
      </c>
      <c r="G54" s="29">
        <f t="shared" si="1"/>
        <v>1093</v>
      </c>
    </row>
    <row r="55" spans="1:7" ht="126">
      <c r="A55" s="3" t="s">
        <v>496</v>
      </c>
      <c r="B55" s="4" t="s">
        <v>497</v>
      </c>
      <c r="C55" s="4"/>
      <c r="D55" s="4"/>
      <c r="E55" s="4"/>
      <c r="F55" s="29">
        <f>F56</f>
        <v>741680</v>
      </c>
      <c r="G55" s="29">
        <f t="shared" si="1"/>
        <v>741680</v>
      </c>
    </row>
    <row r="56" spans="1:7" ht="63">
      <c r="A56" s="27" t="s">
        <v>525</v>
      </c>
      <c r="B56" s="4" t="s">
        <v>497</v>
      </c>
      <c r="C56" s="4" t="s">
        <v>609</v>
      </c>
      <c r="D56" s="4"/>
      <c r="E56" s="2"/>
      <c r="F56" s="29">
        <f>F57</f>
        <v>741680</v>
      </c>
      <c r="G56" s="29">
        <f t="shared" si="1"/>
        <v>741680</v>
      </c>
    </row>
    <row r="57" spans="1:7" ht="31.5">
      <c r="A57" s="3" t="s">
        <v>54</v>
      </c>
      <c r="B57" s="4" t="s">
        <v>497</v>
      </c>
      <c r="C57" s="4" t="s">
        <v>609</v>
      </c>
      <c r="D57" s="4" t="s">
        <v>48</v>
      </c>
      <c r="E57" s="4"/>
      <c r="F57" s="29">
        <f>F58</f>
        <v>741680</v>
      </c>
      <c r="G57" s="29">
        <f t="shared" si="1"/>
        <v>741680</v>
      </c>
    </row>
    <row r="58" spans="1:7" ht="31.5">
      <c r="A58" s="3" t="s">
        <v>738</v>
      </c>
      <c r="B58" s="4" t="s">
        <v>497</v>
      </c>
      <c r="C58" s="4" t="s">
        <v>609</v>
      </c>
      <c r="D58" s="4" t="s">
        <v>48</v>
      </c>
      <c r="E58" s="4" t="s">
        <v>47</v>
      </c>
      <c r="F58" s="29">
        <f>прил6!F751</f>
        <v>741680</v>
      </c>
      <c r="G58" s="29">
        <f t="shared" si="1"/>
        <v>741680</v>
      </c>
    </row>
    <row r="59" spans="1:7" ht="76.5" customHeight="1">
      <c r="A59" s="3" t="s">
        <v>1074</v>
      </c>
      <c r="B59" s="4" t="s">
        <v>1075</v>
      </c>
      <c r="C59" s="4"/>
      <c r="D59" s="4"/>
      <c r="E59" s="4"/>
      <c r="F59" s="29">
        <f>F60</f>
        <v>420700</v>
      </c>
      <c r="G59" s="29">
        <f>G60</f>
        <v>420700</v>
      </c>
    </row>
    <row r="60" spans="1:7" ht="90.75" customHeight="1">
      <c r="A60" s="3" t="s">
        <v>1076</v>
      </c>
      <c r="B60" s="281" t="s">
        <v>1078</v>
      </c>
      <c r="C60" s="281"/>
      <c r="D60" s="281"/>
      <c r="E60" s="281"/>
      <c r="F60" s="280">
        <f>F62+F65</f>
        <v>420700</v>
      </c>
      <c r="G60" s="280">
        <f>F60</f>
        <v>420700</v>
      </c>
    </row>
    <row r="61" spans="1:7" ht="133.5" customHeight="1">
      <c r="A61" s="3" t="s">
        <v>1077</v>
      </c>
      <c r="B61" s="281"/>
      <c r="C61" s="281"/>
      <c r="D61" s="281"/>
      <c r="E61" s="281"/>
      <c r="F61" s="280"/>
      <c r="G61" s="280"/>
    </row>
    <row r="62" spans="1:7" ht="47.25">
      <c r="A62" s="3" t="s">
        <v>701</v>
      </c>
      <c r="B62" s="4" t="s">
        <v>1078</v>
      </c>
      <c r="C62" s="4" t="s">
        <v>605</v>
      </c>
      <c r="D62" s="4"/>
      <c r="E62" s="4"/>
      <c r="F62" s="37">
        <f>F63</f>
        <v>168257.5</v>
      </c>
      <c r="G62" s="37">
        <f aca="true" t="shared" si="2" ref="G62:G72">F62</f>
        <v>168257.5</v>
      </c>
    </row>
    <row r="63" spans="1:7" ht="31.5">
      <c r="A63" s="3" t="s">
        <v>54</v>
      </c>
      <c r="B63" s="4" t="s">
        <v>1078</v>
      </c>
      <c r="C63" s="4" t="s">
        <v>605</v>
      </c>
      <c r="D63" s="4" t="s">
        <v>48</v>
      </c>
      <c r="E63" s="4"/>
      <c r="F63" s="37">
        <f>F64</f>
        <v>168257.5</v>
      </c>
      <c r="G63" s="37">
        <f t="shared" si="2"/>
        <v>168257.5</v>
      </c>
    </row>
    <row r="64" spans="1:7" ht="31.5">
      <c r="A64" s="3" t="s">
        <v>445</v>
      </c>
      <c r="B64" s="4" t="s">
        <v>1078</v>
      </c>
      <c r="C64" s="4" t="s">
        <v>605</v>
      </c>
      <c r="D64" s="4" t="s">
        <v>48</v>
      </c>
      <c r="E64" s="4" t="s">
        <v>50</v>
      </c>
      <c r="F64" s="37">
        <f>прил6!F800</f>
        <v>168257.5</v>
      </c>
      <c r="G64" s="37">
        <f t="shared" si="2"/>
        <v>168257.5</v>
      </c>
    </row>
    <row r="65" spans="1:7" ht="63">
      <c r="A65" s="3" t="s">
        <v>525</v>
      </c>
      <c r="B65" s="4" t="s">
        <v>1078</v>
      </c>
      <c r="C65" s="4" t="s">
        <v>609</v>
      </c>
      <c r="D65" s="4"/>
      <c r="E65" s="4"/>
      <c r="F65" s="29">
        <f>F66</f>
        <v>252442.5</v>
      </c>
      <c r="G65" s="29">
        <f t="shared" si="2"/>
        <v>252442.5</v>
      </c>
    </row>
    <row r="66" spans="1:7" ht="31.5">
      <c r="A66" s="3" t="s">
        <v>54</v>
      </c>
      <c r="B66" s="4" t="s">
        <v>1078</v>
      </c>
      <c r="C66" s="4" t="s">
        <v>609</v>
      </c>
      <c r="D66" s="4" t="s">
        <v>48</v>
      </c>
      <c r="E66" s="4"/>
      <c r="F66" s="29">
        <f>F67</f>
        <v>252442.5</v>
      </c>
      <c r="G66" s="29">
        <f t="shared" si="2"/>
        <v>252442.5</v>
      </c>
    </row>
    <row r="67" spans="1:7" ht="31.5">
      <c r="A67" s="3" t="s">
        <v>445</v>
      </c>
      <c r="B67" s="4" t="s">
        <v>1078</v>
      </c>
      <c r="C67" s="4" t="s">
        <v>609</v>
      </c>
      <c r="D67" s="4" t="s">
        <v>48</v>
      </c>
      <c r="E67" s="4" t="s">
        <v>50</v>
      </c>
      <c r="F67" s="29">
        <f>прил6!F801</f>
        <v>252442.5</v>
      </c>
      <c r="G67" s="29">
        <f t="shared" si="2"/>
        <v>252442.5</v>
      </c>
    </row>
    <row r="68" spans="1:7" ht="47.25">
      <c r="A68" s="3" t="s">
        <v>373</v>
      </c>
      <c r="B68" s="4" t="s">
        <v>1071</v>
      </c>
      <c r="C68" s="4"/>
      <c r="D68" s="4"/>
      <c r="E68" s="4"/>
      <c r="F68" s="29">
        <f>F69</f>
        <v>16829500</v>
      </c>
      <c r="G68" s="29">
        <f t="shared" si="2"/>
        <v>16829500</v>
      </c>
    </row>
    <row r="69" spans="1:7" ht="110.25">
      <c r="A69" s="3" t="s">
        <v>1072</v>
      </c>
      <c r="B69" s="4" t="s">
        <v>1073</v>
      </c>
      <c r="C69" s="4"/>
      <c r="D69" s="4"/>
      <c r="E69" s="4"/>
      <c r="F69" s="29">
        <f>F70</f>
        <v>16829500</v>
      </c>
      <c r="G69" s="29">
        <f t="shared" si="2"/>
        <v>16829500</v>
      </c>
    </row>
    <row r="70" spans="1:7" ht="31.5">
      <c r="A70" s="3" t="s">
        <v>565</v>
      </c>
      <c r="B70" s="4" t="s">
        <v>1073</v>
      </c>
      <c r="C70" s="4" t="s">
        <v>566</v>
      </c>
      <c r="D70" s="4"/>
      <c r="E70" s="4"/>
      <c r="F70" s="29">
        <f>F71</f>
        <v>16829500</v>
      </c>
      <c r="G70" s="29">
        <f t="shared" si="2"/>
        <v>16829500</v>
      </c>
    </row>
    <row r="71" spans="1:7" ht="31.5">
      <c r="A71" s="3" t="s">
        <v>54</v>
      </c>
      <c r="B71" s="4" t="s">
        <v>1073</v>
      </c>
      <c r="C71" s="4" t="s">
        <v>566</v>
      </c>
      <c r="D71" s="4" t="s">
        <v>48</v>
      </c>
      <c r="E71" s="4"/>
      <c r="F71" s="29">
        <f>F72</f>
        <v>16829500</v>
      </c>
      <c r="G71" s="29">
        <f t="shared" si="2"/>
        <v>16829500</v>
      </c>
    </row>
    <row r="72" spans="1:7" ht="31.5">
      <c r="A72" s="3" t="s">
        <v>445</v>
      </c>
      <c r="B72" s="4" t="s">
        <v>1073</v>
      </c>
      <c r="C72" s="4" t="s">
        <v>566</v>
      </c>
      <c r="D72" s="4" t="s">
        <v>48</v>
      </c>
      <c r="E72" s="4" t="s">
        <v>50</v>
      </c>
      <c r="F72" s="29">
        <f>прил6!F804</f>
        <v>16829500</v>
      </c>
      <c r="G72" s="29">
        <f t="shared" si="2"/>
        <v>16829500</v>
      </c>
    </row>
    <row r="73" spans="1:7" ht="63">
      <c r="A73" s="27" t="s">
        <v>529</v>
      </c>
      <c r="B73" s="4" t="s">
        <v>498</v>
      </c>
      <c r="C73" s="4"/>
      <c r="D73" s="4"/>
      <c r="E73" s="4"/>
      <c r="F73" s="29">
        <f>F74+F87+F100+F105+F116+F129+F142</f>
        <v>641357446.66</v>
      </c>
      <c r="G73" s="29">
        <f>G74+G87+G100+G105+G116+G129+G142</f>
        <v>330608181</v>
      </c>
    </row>
    <row r="74" spans="1:7" ht="94.5">
      <c r="A74" s="3" t="s">
        <v>499</v>
      </c>
      <c r="B74" s="4" t="s">
        <v>500</v>
      </c>
      <c r="C74" s="4"/>
      <c r="D74" s="4"/>
      <c r="E74" s="4"/>
      <c r="F74" s="29">
        <f>F75+F79+F83</f>
        <v>131200291.36</v>
      </c>
      <c r="G74" s="29">
        <f>G75+G79+G83</f>
        <v>131187006</v>
      </c>
    </row>
    <row r="75" spans="1:7" ht="141.75">
      <c r="A75" s="3" t="s">
        <v>347</v>
      </c>
      <c r="B75" s="4" t="s">
        <v>928</v>
      </c>
      <c r="C75" s="4"/>
      <c r="D75" s="4"/>
      <c r="E75" s="4"/>
      <c r="F75" s="29">
        <f>F76</f>
        <v>239756</v>
      </c>
      <c r="G75" s="29">
        <f>F75</f>
        <v>239756</v>
      </c>
    </row>
    <row r="76" spans="1:7" ht="63">
      <c r="A76" s="3" t="s">
        <v>525</v>
      </c>
      <c r="B76" s="4" t="s">
        <v>928</v>
      </c>
      <c r="C76" s="4" t="s">
        <v>609</v>
      </c>
      <c r="D76" s="4"/>
      <c r="E76" s="4"/>
      <c r="F76" s="29">
        <f>F77</f>
        <v>239756</v>
      </c>
      <c r="G76" s="29">
        <f>F76</f>
        <v>239756</v>
      </c>
    </row>
    <row r="77" spans="1:7" ht="31.5">
      <c r="A77" s="3" t="s">
        <v>51</v>
      </c>
      <c r="B77" s="4" t="s">
        <v>928</v>
      </c>
      <c r="C77" s="4" t="s">
        <v>609</v>
      </c>
      <c r="D77" s="4" t="s">
        <v>43</v>
      </c>
      <c r="E77" s="4"/>
      <c r="F77" s="29">
        <f>F78</f>
        <v>239756</v>
      </c>
      <c r="G77" s="29">
        <f>F77</f>
        <v>239756</v>
      </c>
    </row>
    <row r="78" spans="1:7" ht="31.5">
      <c r="A78" s="3" t="s">
        <v>53</v>
      </c>
      <c r="B78" s="4" t="s">
        <v>928</v>
      </c>
      <c r="C78" s="4" t="s">
        <v>609</v>
      </c>
      <c r="D78" s="4" t="s">
        <v>43</v>
      </c>
      <c r="E78" s="4" t="s">
        <v>45</v>
      </c>
      <c r="F78" s="29">
        <f>прил6!F524</f>
        <v>239756</v>
      </c>
      <c r="G78" s="29">
        <f>F78</f>
        <v>239756</v>
      </c>
    </row>
    <row r="79" spans="1:7" ht="141.75">
      <c r="A79" s="3" t="s">
        <v>347</v>
      </c>
      <c r="B79" s="4" t="s">
        <v>929</v>
      </c>
      <c r="C79" s="4"/>
      <c r="D79" s="4"/>
      <c r="E79" s="4"/>
      <c r="F79" s="29">
        <f>F80</f>
        <v>13285.36</v>
      </c>
      <c r="G79" s="29"/>
    </row>
    <row r="80" spans="1:7" ht="63">
      <c r="A80" s="3" t="s">
        <v>525</v>
      </c>
      <c r="B80" s="4" t="s">
        <v>929</v>
      </c>
      <c r="C80" s="4" t="s">
        <v>609</v>
      </c>
      <c r="D80" s="4"/>
      <c r="E80" s="4"/>
      <c r="F80" s="29">
        <f>F81</f>
        <v>13285.36</v>
      </c>
      <c r="G80" s="29"/>
    </row>
    <row r="81" spans="1:7" ht="31.5">
      <c r="A81" s="3" t="s">
        <v>51</v>
      </c>
      <c r="B81" s="4" t="s">
        <v>929</v>
      </c>
      <c r="C81" s="4" t="s">
        <v>609</v>
      </c>
      <c r="D81" s="4" t="s">
        <v>43</v>
      </c>
      <c r="E81" s="4"/>
      <c r="F81" s="29">
        <f>F82</f>
        <v>13285.36</v>
      </c>
      <c r="G81" s="29"/>
    </row>
    <row r="82" spans="1:7" ht="31.5">
      <c r="A82" s="3" t="s">
        <v>53</v>
      </c>
      <c r="B82" s="4" t="s">
        <v>929</v>
      </c>
      <c r="C82" s="4" t="s">
        <v>609</v>
      </c>
      <c r="D82" s="4" t="s">
        <v>43</v>
      </c>
      <c r="E82" s="4" t="s">
        <v>45</v>
      </c>
      <c r="F82" s="29">
        <f>прил6!F526</f>
        <v>13285.36</v>
      </c>
      <c r="G82" s="29"/>
    </row>
    <row r="83" spans="1:7" ht="94.5">
      <c r="A83" s="3" t="s">
        <v>501</v>
      </c>
      <c r="B83" s="4" t="s">
        <v>502</v>
      </c>
      <c r="C83" s="4"/>
      <c r="D83" s="4"/>
      <c r="E83" s="4"/>
      <c r="F83" s="29">
        <f>F84</f>
        <v>130947250</v>
      </c>
      <c r="G83" s="29">
        <f>F83</f>
        <v>130947250</v>
      </c>
    </row>
    <row r="84" spans="1:7" ht="63">
      <c r="A84" s="3" t="s">
        <v>525</v>
      </c>
      <c r="B84" s="4" t="s">
        <v>502</v>
      </c>
      <c r="C84" s="4" t="s">
        <v>609</v>
      </c>
      <c r="D84" s="4"/>
      <c r="E84" s="4"/>
      <c r="F84" s="29">
        <f>F85</f>
        <v>130947250</v>
      </c>
      <c r="G84" s="29">
        <f>F84</f>
        <v>130947250</v>
      </c>
    </row>
    <row r="85" spans="1:7" ht="31.5">
      <c r="A85" s="3" t="s">
        <v>51</v>
      </c>
      <c r="B85" s="4" t="s">
        <v>502</v>
      </c>
      <c r="C85" s="4" t="s">
        <v>609</v>
      </c>
      <c r="D85" s="4" t="s">
        <v>43</v>
      </c>
      <c r="E85" s="4"/>
      <c r="F85" s="29">
        <f>F86</f>
        <v>130947250</v>
      </c>
      <c r="G85" s="29">
        <f>F85</f>
        <v>130947250</v>
      </c>
    </row>
    <row r="86" spans="1:7" ht="31.5">
      <c r="A86" s="3" t="s">
        <v>53</v>
      </c>
      <c r="B86" s="4" t="s">
        <v>502</v>
      </c>
      <c r="C86" s="4" t="s">
        <v>609</v>
      </c>
      <c r="D86" s="4" t="s">
        <v>43</v>
      </c>
      <c r="E86" s="4" t="s">
        <v>45</v>
      </c>
      <c r="F86" s="29">
        <f>прил6!F528</f>
        <v>130947250</v>
      </c>
      <c r="G86" s="29">
        <f>F86</f>
        <v>130947250</v>
      </c>
    </row>
    <row r="87" spans="1:7" ht="94.5">
      <c r="A87" s="3" t="s">
        <v>503</v>
      </c>
      <c r="B87" s="4" t="s">
        <v>504</v>
      </c>
      <c r="C87" s="4"/>
      <c r="D87" s="4"/>
      <c r="E87" s="4"/>
      <c r="F87" s="29">
        <f>F88+F92+F96</f>
        <v>164744560.15</v>
      </c>
      <c r="G87" s="29">
        <f>G88+G92+G96</f>
        <v>164733203</v>
      </c>
    </row>
    <row r="88" spans="1:7" ht="141.75">
      <c r="A88" s="3" t="s">
        <v>347</v>
      </c>
      <c r="B88" s="4" t="s">
        <v>930</v>
      </c>
      <c r="C88" s="4"/>
      <c r="D88" s="4"/>
      <c r="E88" s="4"/>
      <c r="F88" s="29">
        <f>F89</f>
        <v>204953</v>
      </c>
      <c r="G88" s="29">
        <f>F88</f>
        <v>204953</v>
      </c>
    </row>
    <row r="89" spans="1:7" ht="63">
      <c r="A89" s="3" t="s">
        <v>525</v>
      </c>
      <c r="B89" s="4" t="s">
        <v>930</v>
      </c>
      <c r="C89" s="4" t="s">
        <v>609</v>
      </c>
      <c r="D89" s="4"/>
      <c r="E89" s="4"/>
      <c r="F89" s="29">
        <f>F90</f>
        <v>204953</v>
      </c>
      <c r="G89" s="29">
        <f>F89</f>
        <v>204953</v>
      </c>
    </row>
    <row r="90" spans="1:7" ht="31.5">
      <c r="A90" s="3" t="s">
        <v>51</v>
      </c>
      <c r="B90" s="4" t="s">
        <v>930</v>
      </c>
      <c r="C90" s="4" t="s">
        <v>609</v>
      </c>
      <c r="D90" s="4" t="s">
        <v>43</v>
      </c>
      <c r="E90" s="4"/>
      <c r="F90" s="29">
        <f>F91</f>
        <v>204953</v>
      </c>
      <c r="G90" s="29">
        <f>F90</f>
        <v>204953</v>
      </c>
    </row>
    <row r="91" spans="1:7" ht="31.5">
      <c r="A91" s="3" t="s">
        <v>53</v>
      </c>
      <c r="B91" s="4" t="s">
        <v>930</v>
      </c>
      <c r="C91" s="4" t="s">
        <v>609</v>
      </c>
      <c r="D91" s="4" t="s">
        <v>43</v>
      </c>
      <c r="E91" s="4" t="s">
        <v>45</v>
      </c>
      <c r="F91" s="29">
        <f>прил6!F531</f>
        <v>204953</v>
      </c>
      <c r="G91" s="29">
        <f>F91</f>
        <v>204953</v>
      </c>
    </row>
    <row r="92" spans="1:7" ht="141.75">
      <c r="A92" s="3" t="s">
        <v>347</v>
      </c>
      <c r="B92" s="4" t="s">
        <v>931</v>
      </c>
      <c r="C92" s="4"/>
      <c r="D92" s="4"/>
      <c r="E92" s="4"/>
      <c r="F92" s="29">
        <f>F93</f>
        <v>11357.15</v>
      </c>
      <c r="G92" s="29"/>
    </row>
    <row r="93" spans="1:7" ht="63">
      <c r="A93" s="3" t="s">
        <v>525</v>
      </c>
      <c r="B93" s="4" t="s">
        <v>931</v>
      </c>
      <c r="C93" s="4" t="s">
        <v>609</v>
      </c>
      <c r="D93" s="4"/>
      <c r="E93" s="4"/>
      <c r="F93" s="29">
        <f>F94</f>
        <v>11357.15</v>
      </c>
      <c r="G93" s="29"/>
    </row>
    <row r="94" spans="1:7" ht="31.5">
      <c r="A94" s="3" t="s">
        <v>51</v>
      </c>
      <c r="B94" s="4" t="s">
        <v>931</v>
      </c>
      <c r="C94" s="4" t="s">
        <v>609</v>
      </c>
      <c r="D94" s="4" t="s">
        <v>43</v>
      </c>
      <c r="E94" s="4"/>
      <c r="F94" s="29">
        <f>F95</f>
        <v>11357.15</v>
      </c>
      <c r="G94" s="29"/>
    </row>
    <row r="95" spans="1:7" ht="31.5">
      <c r="A95" s="3" t="s">
        <v>53</v>
      </c>
      <c r="B95" s="4" t="s">
        <v>931</v>
      </c>
      <c r="C95" s="4" t="s">
        <v>609</v>
      </c>
      <c r="D95" s="4" t="s">
        <v>43</v>
      </c>
      <c r="E95" s="4" t="s">
        <v>45</v>
      </c>
      <c r="F95" s="29">
        <f>прил6!F533</f>
        <v>11357.15</v>
      </c>
      <c r="G95" s="29"/>
    </row>
    <row r="96" spans="1:7" ht="94.5">
      <c r="A96" s="3" t="s">
        <v>501</v>
      </c>
      <c r="B96" s="4" t="s">
        <v>505</v>
      </c>
      <c r="C96" s="4"/>
      <c r="D96" s="4"/>
      <c r="E96" s="4"/>
      <c r="F96" s="29">
        <f>F97</f>
        <v>164528250</v>
      </c>
      <c r="G96" s="29">
        <f>F96</f>
        <v>164528250</v>
      </c>
    </row>
    <row r="97" spans="1:7" ht="63">
      <c r="A97" s="3" t="s">
        <v>525</v>
      </c>
      <c r="B97" s="4" t="s">
        <v>505</v>
      </c>
      <c r="C97" s="4" t="s">
        <v>609</v>
      </c>
      <c r="D97" s="4"/>
      <c r="E97" s="4"/>
      <c r="F97" s="29">
        <f>F98</f>
        <v>164528250</v>
      </c>
      <c r="G97" s="29">
        <f>F97</f>
        <v>164528250</v>
      </c>
    </row>
    <row r="98" spans="1:7" ht="31.5">
      <c r="A98" s="3" t="s">
        <v>51</v>
      </c>
      <c r="B98" s="4" t="s">
        <v>505</v>
      </c>
      <c r="C98" s="4" t="s">
        <v>609</v>
      </c>
      <c r="D98" s="4" t="s">
        <v>43</v>
      </c>
      <c r="E98" s="4"/>
      <c r="F98" s="29">
        <f>F99</f>
        <v>164528250</v>
      </c>
      <c r="G98" s="29">
        <f>F98</f>
        <v>164528250</v>
      </c>
    </row>
    <row r="99" spans="1:7" ht="31.5">
      <c r="A99" s="3" t="s">
        <v>53</v>
      </c>
      <c r="B99" s="4" t="s">
        <v>505</v>
      </c>
      <c r="C99" s="4" t="s">
        <v>609</v>
      </c>
      <c r="D99" s="4" t="s">
        <v>43</v>
      </c>
      <c r="E99" s="4" t="s">
        <v>45</v>
      </c>
      <c r="F99" s="29">
        <f>прил6!F535</f>
        <v>164528250</v>
      </c>
      <c r="G99" s="29">
        <f>F99</f>
        <v>164528250</v>
      </c>
    </row>
    <row r="100" spans="1:7" ht="94.5">
      <c r="A100" s="3" t="s">
        <v>256</v>
      </c>
      <c r="B100" s="4" t="s">
        <v>257</v>
      </c>
      <c r="C100" s="4"/>
      <c r="D100" s="4"/>
      <c r="E100" s="4"/>
      <c r="F100" s="29">
        <f>F101</f>
        <v>30434100</v>
      </c>
      <c r="G100" s="29">
        <f>G101</f>
        <v>30434100</v>
      </c>
    </row>
    <row r="101" spans="1:7" ht="94.5">
      <c r="A101" s="3" t="s">
        <v>501</v>
      </c>
      <c r="B101" s="4" t="s">
        <v>258</v>
      </c>
      <c r="C101" s="4"/>
      <c r="D101" s="4"/>
      <c r="E101" s="4"/>
      <c r="F101" s="29">
        <f>F102</f>
        <v>30434100</v>
      </c>
      <c r="G101" s="29">
        <f>F101</f>
        <v>30434100</v>
      </c>
    </row>
    <row r="102" spans="1:7" ht="63">
      <c r="A102" s="3" t="s">
        <v>525</v>
      </c>
      <c r="B102" s="4" t="s">
        <v>258</v>
      </c>
      <c r="C102" s="4" t="s">
        <v>609</v>
      </c>
      <c r="D102" s="4"/>
      <c r="E102" s="4"/>
      <c r="F102" s="29">
        <f>F103</f>
        <v>30434100</v>
      </c>
      <c r="G102" s="29">
        <f>F102</f>
        <v>30434100</v>
      </c>
    </row>
    <row r="103" spans="1:7" ht="31.5">
      <c r="A103" s="3" t="s">
        <v>51</v>
      </c>
      <c r="B103" s="4" t="s">
        <v>258</v>
      </c>
      <c r="C103" s="4" t="s">
        <v>609</v>
      </c>
      <c r="D103" s="4" t="s">
        <v>43</v>
      </c>
      <c r="E103" s="4"/>
      <c r="F103" s="29">
        <f>F104</f>
        <v>30434100</v>
      </c>
      <c r="G103" s="29">
        <f>F103</f>
        <v>30434100</v>
      </c>
    </row>
    <row r="104" spans="1:7" ht="31.5">
      <c r="A104" s="3" t="s">
        <v>53</v>
      </c>
      <c r="B104" s="4" t="s">
        <v>258</v>
      </c>
      <c r="C104" s="4" t="s">
        <v>609</v>
      </c>
      <c r="D104" s="4" t="s">
        <v>43</v>
      </c>
      <c r="E104" s="4" t="s">
        <v>45</v>
      </c>
      <c r="F104" s="29">
        <f>прил6!F538</f>
        <v>30434100</v>
      </c>
      <c r="G104" s="29">
        <f>F104</f>
        <v>30434100</v>
      </c>
    </row>
    <row r="105" spans="1:7" ht="141.75">
      <c r="A105" s="3" t="s">
        <v>488</v>
      </c>
      <c r="B105" s="281" t="s">
        <v>259</v>
      </c>
      <c r="C105" s="281"/>
      <c r="D105" s="281"/>
      <c r="E105" s="281"/>
      <c r="F105" s="280">
        <f>F107</f>
        <v>100923704.24</v>
      </c>
      <c r="G105" s="286"/>
    </row>
    <row r="106" spans="1:7" ht="63">
      <c r="A106" s="3" t="s">
        <v>66</v>
      </c>
      <c r="B106" s="281"/>
      <c r="C106" s="281"/>
      <c r="D106" s="281"/>
      <c r="E106" s="281"/>
      <c r="F106" s="280"/>
      <c r="G106" s="286"/>
    </row>
    <row r="107" spans="1:7" ht="94.5">
      <c r="A107" s="3" t="s">
        <v>749</v>
      </c>
      <c r="B107" s="4" t="s">
        <v>260</v>
      </c>
      <c r="C107" s="4"/>
      <c r="D107" s="4"/>
      <c r="E107" s="4"/>
      <c r="F107" s="37">
        <f>F108</f>
        <v>100923704.24</v>
      </c>
      <c r="G107" s="29"/>
    </row>
    <row r="108" spans="1:7" ht="63">
      <c r="A108" s="3" t="s">
        <v>525</v>
      </c>
      <c r="B108" s="4" t="s">
        <v>260</v>
      </c>
      <c r="C108" s="4" t="s">
        <v>609</v>
      </c>
      <c r="D108" s="4"/>
      <c r="E108" s="4"/>
      <c r="F108" s="29">
        <f>F109</f>
        <v>100923704.24</v>
      </c>
      <c r="G108" s="29"/>
    </row>
    <row r="109" spans="1:7" ht="31.5">
      <c r="A109" s="3" t="s">
        <v>51</v>
      </c>
      <c r="B109" s="4" t="s">
        <v>260</v>
      </c>
      <c r="C109" s="4" t="s">
        <v>609</v>
      </c>
      <c r="D109" s="4" t="s">
        <v>43</v>
      </c>
      <c r="E109" s="4"/>
      <c r="F109" s="29">
        <f>F110</f>
        <v>100923704.24</v>
      </c>
      <c r="G109" s="29"/>
    </row>
    <row r="110" spans="1:7" ht="31.5">
      <c r="A110" s="3" t="s">
        <v>53</v>
      </c>
      <c r="B110" s="4" t="s">
        <v>260</v>
      </c>
      <c r="C110" s="4" t="s">
        <v>609</v>
      </c>
      <c r="D110" s="4" t="s">
        <v>43</v>
      </c>
      <c r="E110" s="4" t="s">
        <v>45</v>
      </c>
      <c r="F110" s="29">
        <f>прил6!F542</f>
        <v>100923704.24</v>
      </c>
      <c r="G110" s="29"/>
    </row>
    <row r="111" spans="1:7" ht="46.5" hidden="1">
      <c r="A111" s="3" t="s">
        <v>261</v>
      </c>
      <c r="B111" s="4" t="s">
        <v>262</v>
      </c>
      <c r="C111" s="4"/>
      <c r="D111" s="4"/>
      <c r="E111" s="4"/>
      <c r="F111" s="29"/>
      <c r="G111" s="29"/>
    </row>
    <row r="112" spans="1:7" ht="108" hidden="1">
      <c r="A112" s="27" t="s">
        <v>749</v>
      </c>
      <c r="B112" s="4" t="s">
        <v>263</v>
      </c>
      <c r="C112" s="4"/>
      <c r="D112" s="4"/>
      <c r="E112" s="4"/>
      <c r="F112" s="29"/>
      <c r="G112" s="29"/>
    </row>
    <row r="113" spans="1:7" ht="61.5" hidden="1">
      <c r="A113" s="3" t="s">
        <v>525</v>
      </c>
      <c r="B113" s="4" t="s">
        <v>263</v>
      </c>
      <c r="C113" s="4" t="s">
        <v>609</v>
      </c>
      <c r="D113" s="4"/>
      <c r="E113" s="4"/>
      <c r="F113" s="29"/>
      <c r="G113" s="29"/>
    </row>
    <row r="114" spans="1:7" ht="15" hidden="1">
      <c r="A114" s="3" t="s">
        <v>51</v>
      </c>
      <c r="B114" s="4" t="s">
        <v>263</v>
      </c>
      <c r="C114" s="4" t="s">
        <v>609</v>
      </c>
      <c r="D114" s="4" t="s">
        <v>43</v>
      </c>
      <c r="E114" s="4"/>
      <c r="F114" s="29"/>
      <c r="G114" s="29"/>
    </row>
    <row r="115" spans="1:7" ht="15" hidden="1">
      <c r="A115" s="3" t="s">
        <v>53</v>
      </c>
      <c r="B115" s="4" t="s">
        <v>263</v>
      </c>
      <c r="C115" s="4" t="s">
        <v>609</v>
      </c>
      <c r="D115" s="4" t="s">
        <v>43</v>
      </c>
      <c r="E115" s="4" t="s">
        <v>45</v>
      </c>
      <c r="F115" s="29"/>
      <c r="G115" s="29"/>
    </row>
    <row r="116" spans="1:7" ht="31.5">
      <c r="A116" s="3" t="s">
        <v>356</v>
      </c>
      <c r="B116" s="4" t="s">
        <v>264</v>
      </c>
      <c r="C116" s="4"/>
      <c r="D116" s="4"/>
      <c r="E116" s="4"/>
      <c r="F116" s="29">
        <f>F117+F121+F125</f>
        <v>5936477.4</v>
      </c>
      <c r="G116" s="29">
        <f>G117+G121+G125</f>
        <v>1295522</v>
      </c>
    </row>
    <row r="117" spans="1:7" ht="94.5">
      <c r="A117" s="3" t="s">
        <v>749</v>
      </c>
      <c r="B117" s="4" t="s">
        <v>265</v>
      </c>
      <c r="C117" s="4"/>
      <c r="D117" s="4"/>
      <c r="E117" s="4"/>
      <c r="F117" s="29">
        <f>F118</f>
        <v>4640955.4</v>
      </c>
      <c r="G117" s="29"/>
    </row>
    <row r="118" spans="1:7" ht="63">
      <c r="A118" s="3" t="s">
        <v>525</v>
      </c>
      <c r="B118" s="4" t="s">
        <v>265</v>
      </c>
      <c r="C118" s="4" t="s">
        <v>609</v>
      </c>
      <c r="D118" s="4"/>
      <c r="E118" s="4"/>
      <c r="F118" s="29">
        <f>F119</f>
        <v>4640955.4</v>
      </c>
      <c r="G118" s="29"/>
    </row>
    <row r="119" spans="1:7" ht="31.5">
      <c r="A119" s="3" t="s">
        <v>51</v>
      </c>
      <c r="B119" s="4" t="s">
        <v>265</v>
      </c>
      <c r="C119" s="4" t="s">
        <v>609</v>
      </c>
      <c r="D119" s="4" t="s">
        <v>43</v>
      </c>
      <c r="E119" s="4"/>
      <c r="F119" s="29">
        <f>F120</f>
        <v>4640955.4</v>
      </c>
      <c r="G119" s="29"/>
    </row>
    <row r="120" spans="1:7" ht="31.5">
      <c r="A120" s="3" t="s">
        <v>53</v>
      </c>
      <c r="B120" s="4" t="s">
        <v>265</v>
      </c>
      <c r="C120" s="4" t="s">
        <v>609</v>
      </c>
      <c r="D120" s="4" t="s">
        <v>43</v>
      </c>
      <c r="E120" s="4" t="s">
        <v>45</v>
      </c>
      <c r="F120" s="29">
        <f>прил6!F545</f>
        <v>4640955.4</v>
      </c>
      <c r="G120" s="29"/>
    </row>
    <row r="121" spans="1:7" ht="141.75">
      <c r="A121" s="3" t="s">
        <v>359</v>
      </c>
      <c r="B121" s="4" t="s">
        <v>654</v>
      </c>
      <c r="C121" s="4"/>
      <c r="D121" s="4"/>
      <c r="E121" s="4"/>
      <c r="F121" s="29">
        <f>F122</f>
        <v>1240</v>
      </c>
      <c r="G121" s="29">
        <f aca="true" t="shared" si="3" ref="G121:G128">F121</f>
        <v>1240</v>
      </c>
    </row>
    <row r="122" spans="1:7" ht="63">
      <c r="A122" s="3" t="s">
        <v>525</v>
      </c>
      <c r="B122" s="4" t="s">
        <v>654</v>
      </c>
      <c r="C122" s="4" t="s">
        <v>609</v>
      </c>
      <c r="D122" s="4"/>
      <c r="E122" s="4"/>
      <c r="F122" s="29">
        <f>F123</f>
        <v>1240</v>
      </c>
      <c r="G122" s="29">
        <f t="shared" si="3"/>
        <v>1240</v>
      </c>
    </row>
    <row r="123" spans="1:7" ht="31.5">
      <c r="A123" s="3" t="s">
        <v>54</v>
      </c>
      <c r="B123" s="4" t="s">
        <v>654</v>
      </c>
      <c r="C123" s="4" t="s">
        <v>609</v>
      </c>
      <c r="D123" s="4" t="s">
        <v>48</v>
      </c>
      <c r="E123" s="4"/>
      <c r="F123" s="29">
        <f>F124</f>
        <v>1240</v>
      </c>
      <c r="G123" s="29">
        <f t="shared" si="3"/>
        <v>1240</v>
      </c>
    </row>
    <row r="124" spans="1:7" ht="31.5">
      <c r="A124" s="3" t="s">
        <v>738</v>
      </c>
      <c r="B124" s="4" t="s">
        <v>654</v>
      </c>
      <c r="C124" s="4" t="s">
        <v>609</v>
      </c>
      <c r="D124" s="4" t="s">
        <v>48</v>
      </c>
      <c r="E124" s="4" t="s">
        <v>47</v>
      </c>
      <c r="F124" s="29">
        <f>прил6!F755</f>
        <v>1240</v>
      </c>
      <c r="G124" s="29">
        <f t="shared" si="3"/>
        <v>1240</v>
      </c>
    </row>
    <row r="125" spans="1:7" ht="126">
      <c r="A125" s="3" t="s">
        <v>496</v>
      </c>
      <c r="B125" s="4" t="s">
        <v>655</v>
      </c>
      <c r="C125" s="4"/>
      <c r="D125" s="4"/>
      <c r="E125" s="4"/>
      <c r="F125" s="29">
        <f>F126</f>
        <v>1294282</v>
      </c>
      <c r="G125" s="29">
        <f t="shared" si="3"/>
        <v>1294282</v>
      </c>
    </row>
    <row r="126" spans="1:7" ht="63">
      <c r="A126" s="3" t="s">
        <v>525</v>
      </c>
      <c r="B126" s="4" t="s">
        <v>655</v>
      </c>
      <c r="C126" s="4" t="s">
        <v>609</v>
      </c>
      <c r="D126" s="4"/>
      <c r="E126" s="4"/>
      <c r="F126" s="29">
        <f>F127</f>
        <v>1294282</v>
      </c>
      <c r="G126" s="29">
        <f t="shared" si="3"/>
        <v>1294282</v>
      </c>
    </row>
    <row r="127" spans="1:7" ht="31.5">
      <c r="A127" s="3" t="s">
        <v>54</v>
      </c>
      <c r="B127" s="4" t="s">
        <v>655</v>
      </c>
      <c r="C127" s="4" t="s">
        <v>609</v>
      </c>
      <c r="D127" s="4" t="s">
        <v>48</v>
      </c>
      <c r="E127" s="4"/>
      <c r="F127" s="29">
        <f>F128</f>
        <v>1294282</v>
      </c>
      <c r="G127" s="29">
        <f t="shared" si="3"/>
        <v>1294282</v>
      </c>
    </row>
    <row r="128" spans="1:7" ht="31.5">
      <c r="A128" s="3" t="s">
        <v>738</v>
      </c>
      <c r="B128" s="4" t="s">
        <v>655</v>
      </c>
      <c r="C128" s="4" t="s">
        <v>609</v>
      </c>
      <c r="D128" s="4" t="s">
        <v>48</v>
      </c>
      <c r="E128" s="4" t="s">
        <v>47</v>
      </c>
      <c r="F128" s="29">
        <f>прил6!F757</f>
        <v>1294282</v>
      </c>
      <c r="G128" s="29">
        <f t="shared" si="3"/>
        <v>1294282</v>
      </c>
    </row>
    <row r="129" spans="1:7" ht="69" customHeight="1">
      <c r="A129" s="3" t="s">
        <v>266</v>
      </c>
      <c r="B129" s="4" t="s">
        <v>267</v>
      </c>
      <c r="C129" s="4"/>
      <c r="D129" s="4"/>
      <c r="E129" s="4"/>
      <c r="F129" s="29">
        <f>F130+F134+F138</f>
        <v>205584063.51999998</v>
      </c>
      <c r="G129" s="29">
        <f>G130+G134+G138</f>
        <v>2958350</v>
      </c>
    </row>
    <row r="130" spans="1:7" ht="94.5">
      <c r="A130" s="3" t="s">
        <v>749</v>
      </c>
      <c r="B130" s="4" t="s">
        <v>268</v>
      </c>
      <c r="C130" s="4"/>
      <c r="D130" s="4"/>
      <c r="E130" s="4"/>
      <c r="F130" s="29">
        <f>F131</f>
        <v>199958653.01</v>
      </c>
      <c r="G130" s="29"/>
    </row>
    <row r="131" spans="1:7" ht="63">
      <c r="A131" s="3" t="s">
        <v>525</v>
      </c>
      <c r="B131" s="4" t="s">
        <v>268</v>
      </c>
      <c r="C131" s="4" t="s">
        <v>609</v>
      </c>
      <c r="D131" s="4"/>
      <c r="E131" s="4"/>
      <c r="F131" s="29">
        <f>F132</f>
        <v>199958653.01</v>
      </c>
      <c r="G131" s="29"/>
    </row>
    <row r="132" spans="1:7" ht="31.5">
      <c r="A132" s="3" t="s">
        <v>51</v>
      </c>
      <c r="B132" s="4" t="s">
        <v>268</v>
      </c>
      <c r="C132" s="4" t="s">
        <v>609</v>
      </c>
      <c r="D132" s="4" t="s">
        <v>43</v>
      </c>
      <c r="E132" s="4"/>
      <c r="F132" s="29">
        <f>F133</f>
        <v>199958653.01</v>
      </c>
      <c r="G132" s="29"/>
    </row>
    <row r="133" spans="1:7" ht="31.5">
      <c r="A133" s="3" t="s">
        <v>53</v>
      </c>
      <c r="B133" s="4" t="s">
        <v>268</v>
      </c>
      <c r="C133" s="4" t="s">
        <v>609</v>
      </c>
      <c r="D133" s="4" t="s">
        <v>43</v>
      </c>
      <c r="E133" s="4" t="s">
        <v>45</v>
      </c>
      <c r="F133" s="29">
        <f>прил6!F548</f>
        <v>199958653.01</v>
      </c>
      <c r="G133" s="29"/>
    </row>
    <row r="134" spans="1:7" ht="133.5" customHeight="1">
      <c r="A134" s="3" t="s">
        <v>859</v>
      </c>
      <c r="B134" s="4" t="s">
        <v>269</v>
      </c>
      <c r="C134" s="4"/>
      <c r="D134" s="4"/>
      <c r="E134" s="4"/>
      <c r="F134" s="29">
        <f>F135</f>
        <v>2958350</v>
      </c>
      <c r="G134" s="29">
        <f>F134</f>
        <v>2958350</v>
      </c>
    </row>
    <row r="135" spans="1:7" ht="63">
      <c r="A135" s="3" t="s">
        <v>525</v>
      </c>
      <c r="B135" s="4" t="s">
        <v>269</v>
      </c>
      <c r="C135" s="4" t="s">
        <v>609</v>
      </c>
      <c r="D135" s="4"/>
      <c r="E135" s="4"/>
      <c r="F135" s="29">
        <f>F136</f>
        <v>2958350</v>
      </c>
      <c r="G135" s="29">
        <f>F135</f>
        <v>2958350</v>
      </c>
    </row>
    <row r="136" spans="1:7" ht="31.5">
      <c r="A136" s="3" t="s">
        <v>51</v>
      </c>
      <c r="B136" s="4" t="s">
        <v>269</v>
      </c>
      <c r="C136" s="4" t="s">
        <v>609</v>
      </c>
      <c r="D136" s="4" t="s">
        <v>43</v>
      </c>
      <c r="E136" s="4"/>
      <c r="F136" s="29">
        <f>F137</f>
        <v>2958350</v>
      </c>
      <c r="G136" s="29">
        <f>F136</f>
        <v>2958350</v>
      </c>
    </row>
    <row r="137" spans="1:7" ht="31.5">
      <c r="A137" s="3" t="s">
        <v>53</v>
      </c>
      <c r="B137" s="4" t="s">
        <v>269</v>
      </c>
      <c r="C137" s="4" t="s">
        <v>609</v>
      </c>
      <c r="D137" s="4" t="s">
        <v>43</v>
      </c>
      <c r="E137" s="4" t="s">
        <v>45</v>
      </c>
      <c r="F137" s="29">
        <f>прил6!F550</f>
        <v>2958350</v>
      </c>
      <c r="G137" s="29">
        <f>F137</f>
        <v>2958350</v>
      </c>
    </row>
    <row r="138" spans="1:7" ht="126">
      <c r="A138" s="3" t="s">
        <v>859</v>
      </c>
      <c r="B138" s="4" t="s">
        <v>925</v>
      </c>
      <c r="C138" s="4"/>
      <c r="D138" s="4"/>
      <c r="E138" s="4"/>
      <c r="F138" s="29">
        <f>F139</f>
        <v>2667060.51</v>
      </c>
      <c r="G138" s="29"/>
    </row>
    <row r="139" spans="1:7" ht="63">
      <c r="A139" s="3" t="s">
        <v>525</v>
      </c>
      <c r="B139" s="4" t="s">
        <v>925</v>
      </c>
      <c r="C139" s="4" t="s">
        <v>609</v>
      </c>
      <c r="D139" s="4"/>
      <c r="E139" s="4"/>
      <c r="F139" s="29">
        <f>F140</f>
        <v>2667060.51</v>
      </c>
      <c r="G139" s="29"/>
    </row>
    <row r="140" spans="1:7" ht="31.5">
      <c r="A140" s="3" t="s">
        <v>51</v>
      </c>
      <c r="B140" s="4" t="s">
        <v>925</v>
      </c>
      <c r="C140" s="4" t="s">
        <v>609</v>
      </c>
      <c r="D140" s="4" t="s">
        <v>43</v>
      </c>
      <c r="E140" s="4"/>
      <c r="F140" s="29">
        <f>F141</f>
        <v>2667060.51</v>
      </c>
      <c r="G140" s="29"/>
    </row>
    <row r="141" spans="1:7" ht="31.5">
      <c r="A141" s="3" t="s">
        <v>53</v>
      </c>
      <c r="B141" s="4" t="s">
        <v>925</v>
      </c>
      <c r="C141" s="4" t="s">
        <v>609</v>
      </c>
      <c r="D141" s="4" t="s">
        <v>43</v>
      </c>
      <c r="E141" s="4" t="s">
        <v>45</v>
      </c>
      <c r="F141" s="29">
        <f>прил6!F552</f>
        <v>2667060.51</v>
      </c>
      <c r="G141" s="29"/>
    </row>
    <row r="142" spans="1:7" ht="31.5">
      <c r="A142" s="3" t="s">
        <v>356</v>
      </c>
      <c r="B142" s="4" t="s">
        <v>926</v>
      </c>
      <c r="C142" s="4"/>
      <c r="D142" s="4"/>
      <c r="E142" s="4"/>
      <c r="F142" s="29">
        <f>F143</f>
        <v>2534249.99</v>
      </c>
      <c r="G142" s="29"/>
    </row>
    <row r="143" spans="1:7" ht="94.5">
      <c r="A143" s="3" t="s">
        <v>749</v>
      </c>
      <c r="B143" s="4" t="s">
        <v>927</v>
      </c>
      <c r="C143" s="4"/>
      <c r="D143" s="4"/>
      <c r="E143" s="4"/>
      <c r="F143" s="29">
        <f>F144</f>
        <v>2534249.99</v>
      </c>
      <c r="G143" s="29"/>
    </row>
    <row r="144" spans="1:7" ht="63">
      <c r="A144" s="3" t="s">
        <v>525</v>
      </c>
      <c r="B144" s="4" t="s">
        <v>927</v>
      </c>
      <c r="C144" s="4" t="s">
        <v>609</v>
      </c>
      <c r="D144" s="4"/>
      <c r="E144" s="4"/>
      <c r="F144" s="29">
        <f>F145</f>
        <v>2534249.99</v>
      </c>
      <c r="G144" s="29"/>
    </row>
    <row r="145" spans="1:7" ht="31.5">
      <c r="A145" s="3" t="s">
        <v>51</v>
      </c>
      <c r="B145" s="4" t="s">
        <v>927</v>
      </c>
      <c r="C145" s="4" t="s">
        <v>609</v>
      </c>
      <c r="D145" s="4" t="s">
        <v>43</v>
      </c>
      <c r="E145" s="4"/>
      <c r="F145" s="29">
        <f>F146</f>
        <v>2534249.99</v>
      </c>
      <c r="G145" s="29"/>
    </row>
    <row r="146" spans="1:7" ht="31.5">
      <c r="A146" s="3" t="s">
        <v>53</v>
      </c>
      <c r="B146" s="4" t="s">
        <v>927</v>
      </c>
      <c r="C146" s="4" t="s">
        <v>609</v>
      </c>
      <c r="D146" s="4" t="s">
        <v>43</v>
      </c>
      <c r="E146" s="4" t="s">
        <v>45</v>
      </c>
      <c r="F146" s="29">
        <f>прил6!F555</f>
        <v>2534249.99</v>
      </c>
      <c r="G146" s="29"/>
    </row>
    <row r="147" spans="1:7" ht="73.5" customHeight="1">
      <c r="A147" s="3" t="s">
        <v>533</v>
      </c>
      <c r="B147" s="4" t="s">
        <v>326</v>
      </c>
      <c r="C147" s="4"/>
      <c r="D147" s="4"/>
      <c r="E147" s="4"/>
      <c r="F147" s="29">
        <f>F148+F153+F162+F194+F199+F207+F221+F171+F178+F187</f>
        <v>56831410.43</v>
      </c>
      <c r="G147" s="29">
        <f>G148+G153+G162+G194+G199+G207+G221+G171+G178+G187</f>
        <v>40976200</v>
      </c>
    </row>
    <row r="148" spans="1:7" ht="157.5">
      <c r="A148" s="3" t="s">
        <v>489</v>
      </c>
      <c r="B148" s="4" t="s">
        <v>327</v>
      </c>
      <c r="C148" s="4"/>
      <c r="D148" s="4"/>
      <c r="E148" s="4"/>
      <c r="F148" s="29">
        <f>F149</f>
        <v>797662.85</v>
      </c>
      <c r="G148" s="29"/>
    </row>
    <row r="149" spans="1:7" ht="47.25">
      <c r="A149" s="3" t="s">
        <v>589</v>
      </c>
      <c r="B149" s="4" t="s">
        <v>328</v>
      </c>
      <c r="C149" s="4"/>
      <c r="D149" s="4"/>
      <c r="E149" s="4"/>
      <c r="F149" s="29">
        <f>F150</f>
        <v>797662.85</v>
      </c>
      <c r="G149" s="29"/>
    </row>
    <row r="150" spans="1:7" ht="110.25">
      <c r="A150" s="21" t="s">
        <v>506</v>
      </c>
      <c r="B150" s="4" t="s">
        <v>328</v>
      </c>
      <c r="C150" s="4" t="s">
        <v>604</v>
      </c>
      <c r="D150" s="4"/>
      <c r="E150" s="4"/>
      <c r="F150" s="29">
        <f>F151</f>
        <v>797662.85</v>
      </c>
      <c r="G150" s="29"/>
    </row>
    <row r="151" spans="1:7" ht="31.5">
      <c r="A151" s="3" t="s">
        <v>59</v>
      </c>
      <c r="B151" s="4" t="s">
        <v>328</v>
      </c>
      <c r="C151" s="4" t="s">
        <v>604</v>
      </c>
      <c r="D151" s="4" t="s">
        <v>917</v>
      </c>
      <c r="E151" s="4"/>
      <c r="F151" s="29">
        <f>F152</f>
        <v>797662.85</v>
      </c>
      <c r="G151" s="29"/>
    </row>
    <row r="152" spans="1:7" ht="114.75" customHeight="1">
      <c r="A152" s="3" t="s">
        <v>599</v>
      </c>
      <c r="B152" s="4" t="s">
        <v>328</v>
      </c>
      <c r="C152" s="4" t="s">
        <v>604</v>
      </c>
      <c r="D152" s="4" t="s">
        <v>917</v>
      </c>
      <c r="E152" s="4" t="s">
        <v>50</v>
      </c>
      <c r="F152" s="29">
        <f>прил6!F29</f>
        <v>797662.85</v>
      </c>
      <c r="G152" s="29"/>
    </row>
    <row r="153" spans="1:7" ht="126">
      <c r="A153" s="3" t="s">
        <v>329</v>
      </c>
      <c r="B153" s="4" t="s">
        <v>330</v>
      </c>
      <c r="C153" s="4"/>
      <c r="D153" s="4"/>
      <c r="E153" s="4"/>
      <c r="F153" s="29">
        <f>F155+F158</f>
        <v>1015551.47</v>
      </c>
      <c r="G153" s="29"/>
    </row>
    <row r="154" spans="1:7" ht="47.25">
      <c r="A154" s="3" t="s">
        <v>589</v>
      </c>
      <c r="B154" s="4" t="s">
        <v>331</v>
      </c>
      <c r="C154" s="4"/>
      <c r="D154" s="4"/>
      <c r="E154" s="4"/>
      <c r="F154" s="29">
        <f>F155</f>
        <v>955551.47</v>
      </c>
      <c r="G154" s="29"/>
    </row>
    <row r="155" spans="1:7" ht="110.25">
      <c r="A155" s="21" t="s">
        <v>506</v>
      </c>
      <c r="B155" s="4" t="s">
        <v>331</v>
      </c>
      <c r="C155" s="4" t="s">
        <v>604</v>
      </c>
      <c r="D155" s="4"/>
      <c r="E155" s="4"/>
      <c r="F155" s="29">
        <f>F156</f>
        <v>955551.47</v>
      </c>
      <c r="G155" s="29"/>
    </row>
    <row r="156" spans="1:7" ht="31.5">
      <c r="A156" s="3" t="s">
        <v>59</v>
      </c>
      <c r="B156" s="4" t="s">
        <v>331</v>
      </c>
      <c r="C156" s="4" t="s">
        <v>604</v>
      </c>
      <c r="D156" s="4" t="s">
        <v>917</v>
      </c>
      <c r="E156" s="4"/>
      <c r="F156" s="29">
        <f>F157</f>
        <v>955551.47</v>
      </c>
      <c r="G156" s="29"/>
    </row>
    <row r="157" spans="1:7" ht="94.5">
      <c r="A157" s="3" t="s">
        <v>599</v>
      </c>
      <c r="B157" s="4" t="s">
        <v>331</v>
      </c>
      <c r="C157" s="4" t="s">
        <v>604</v>
      </c>
      <c r="D157" s="4" t="s">
        <v>917</v>
      </c>
      <c r="E157" s="4" t="s">
        <v>50</v>
      </c>
      <c r="F157" s="29">
        <f>прил6!F32</f>
        <v>955551.47</v>
      </c>
      <c r="G157" s="29"/>
    </row>
    <row r="158" spans="1:7" ht="94.5">
      <c r="A158" s="21" t="s">
        <v>587</v>
      </c>
      <c r="B158" s="4" t="s">
        <v>332</v>
      </c>
      <c r="C158" s="4"/>
      <c r="D158" s="4"/>
      <c r="E158" s="4"/>
      <c r="F158" s="29">
        <f>F159</f>
        <v>60000</v>
      </c>
      <c r="G158" s="29"/>
    </row>
    <row r="159" spans="1:7" ht="110.25">
      <c r="A159" s="21" t="s">
        <v>506</v>
      </c>
      <c r="B159" s="4" t="s">
        <v>332</v>
      </c>
      <c r="C159" s="4" t="s">
        <v>604</v>
      </c>
      <c r="D159" s="4"/>
      <c r="E159" s="4"/>
      <c r="F159" s="29">
        <f>F160</f>
        <v>60000</v>
      </c>
      <c r="G159" s="29"/>
    </row>
    <row r="160" spans="1:7" ht="31.5">
      <c r="A160" s="3" t="s">
        <v>59</v>
      </c>
      <c r="B160" s="4" t="s">
        <v>332</v>
      </c>
      <c r="C160" s="4" t="s">
        <v>604</v>
      </c>
      <c r="D160" s="4" t="s">
        <v>917</v>
      </c>
      <c r="E160" s="4"/>
      <c r="F160" s="29">
        <f>F161</f>
        <v>60000</v>
      </c>
      <c r="G160" s="29"/>
    </row>
    <row r="161" spans="1:7" s="16" customFormat="1" ht="94.5">
      <c r="A161" s="3" t="s">
        <v>599</v>
      </c>
      <c r="B161" s="4" t="s">
        <v>332</v>
      </c>
      <c r="C161" s="4" t="s">
        <v>604</v>
      </c>
      <c r="D161" s="4" t="s">
        <v>917</v>
      </c>
      <c r="E161" s="4" t="s">
        <v>50</v>
      </c>
      <c r="F161" s="29">
        <f>прил6!F34</f>
        <v>60000</v>
      </c>
      <c r="G161" s="29"/>
    </row>
    <row r="162" spans="1:7" s="16" customFormat="1" ht="63">
      <c r="A162" s="3" t="s">
        <v>154</v>
      </c>
      <c r="B162" s="4" t="s">
        <v>157</v>
      </c>
      <c r="C162" s="4"/>
      <c r="D162" s="4"/>
      <c r="E162" s="4"/>
      <c r="F162" s="29">
        <f>F163</f>
        <v>4405000</v>
      </c>
      <c r="G162" s="29">
        <f>G163</f>
        <v>4405000</v>
      </c>
    </row>
    <row r="163" spans="1:7" s="16" customFormat="1" ht="94.5">
      <c r="A163" s="3" t="s">
        <v>155</v>
      </c>
      <c r="B163" s="287" t="s">
        <v>158</v>
      </c>
      <c r="C163" s="4"/>
      <c r="D163" s="4"/>
      <c r="E163" s="4"/>
      <c r="F163" s="280">
        <f>F165+F168</f>
        <v>4405000</v>
      </c>
      <c r="G163" s="280">
        <f>G165+G168</f>
        <v>4405000</v>
      </c>
    </row>
    <row r="164" spans="1:7" s="16" customFormat="1" ht="78.75">
      <c r="A164" s="3" t="s">
        <v>156</v>
      </c>
      <c r="B164" s="287"/>
      <c r="C164" s="4"/>
      <c r="D164" s="4"/>
      <c r="E164" s="4"/>
      <c r="F164" s="280"/>
      <c r="G164" s="280"/>
    </row>
    <row r="165" spans="1:7" s="16" customFormat="1" ht="110.25">
      <c r="A165" s="21" t="s">
        <v>506</v>
      </c>
      <c r="B165" s="4" t="s">
        <v>158</v>
      </c>
      <c r="C165" s="4" t="s">
        <v>604</v>
      </c>
      <c r="D165" s="4"/>
      <c r="E165" s="4"/>
      <c r="F165" s="29">
        <f>F166</f>
        <v>3554115.42</v>
      </c>
      <c r="G165" s="29">
        <f aca="true" t="shared" si="4" ref="G165:G170">F165</f>
        <v>3554115.42</v>
      </c>
    </row>
    <row r="166" spans="1:7" s="16" customFormat="1" ht="31.5">
      <c r="A166" s="3" t="s">
        <v>54</v>
      </c>
      <c r="B166" s="4" t="s">
        <v>158</v>
      </c>
      <c r="C166" s="4" t="s">
        <v>604</v>
      </c>
      <c r="D166" s="4" t="s">
        <v>48</v>
      </c>
      <c r="E166" s="4"/>
      <c r="F166" s="29">
        <f>F167</f>
        <v>3554115.42</v>
      </c>
      <c r="G166" s="29">
        <f t="shared" si="4"/>
        <v>3554115.42</v>
      </c>
    </row>
    <row r="167" spans="1:7" s="16" customFormat="1" ht="31.5">
      <c r="A167" s="3" t="s">
        <v>445</v>
      </c>
      <c r="B167" s="4" t="s">
        <v>158</v>
      </c>
      <c r="C167" s="4" t="s">
        <v>604</v>
      </c>
      <c r="D167" s="4" t="s">
        <v>48</v>
      </c>
      <c r="E167" s="4" t="s">
        <v>50</v>
      </c>
      <c r="F167" s="29">
        <f>прил6!F809</f>
        <v>3554115.42</v>
      </c>
      <c r="G167" s="29">
        <f t="shared" si="4"/>
        <v>3554115.42</v>
      </c>
    </row>
    <row r="168" spans="1:7" s="16" customFormat="1" ht="47.25">
      <c r="A168" s="3" t="s">
        <v>701</v>
      </c>
      <c r="B168" s="4" t="s">
        <v>158</v>
      </c>
      <c r="C168" s="4" t="s">
        <v>605</v>
      </c>
      <c r="D168" s="4"/>
      <c r="E168" s="4"/>
      <c r="F168" s="29">
        <f>F169</f>
        <v>850884.58</v>
      </c>
      <c r="G168" s="29">
        <f t="shared" si="4"/>
        <v>850884.58</v>
      </c>
    </row>
    <row r="169" spans="1:7" s="16" customFormat="1" ht="31.5">
      <c r="A169" s="3" t="s">
        <v>54</v>
      </c>
      <c r="B169" s="4" t="s">
        <v>158</v>
      </c>
      <c r="C169" s="4" t="s">
        <v>605</v>
      </c>
      <c r="D169" s="4" t="s">
        <v>48</v>
      </c>
      <c r="E169" s="4"/>
      <c r="F169" s="29">
        <f>F170</f>
        <v>850884.58</v>
      </c>
      <c r="G169" s="29">
        <f t="shared" si="4"/>
        <v>850884.58</v>
      </c>
    </row>
    <row r="170" spans="1:7" s="16" customFormat="1" ht="31.5">
      <c r="A170" s="3" t="s">
        <v>445</v>
      </c>
      <c r="B170" s="4" t="s">
        <v>158</v>
      </c>
      <c r="C170" s="4" t="s">
        <v>605</v>
      </c>
      <c r="D170" s="4" t="s">
        <v>48</v>
      </c>
      <c r="E170" s="4" t="s">
        <v>50</v>
      </c>
      <c r="F170" s="29">
        <f>прил6!F810</f>
        <v>850884.58</v>
      </c>
      <c r="G170" s="29">
        <f t="shared" si="4"/>
        <v>850884.58</v>
      </c>
    </row>
    <row r="171" spans="1:7" s="16" customFormat="1" ht="141.75">
      <c r="A171" s="3" t="s">
        <v>67</v>
      </c>
      <c r="B171" s="281" t="s">
        <v>656</v>
      </c>
      <c r="C171" s="281"/>
      <c r="D171" s="281"/>
      <c r="E171" s="281"/>
      <c r="F171" s="280">
        <f>F173</f>
        <v>73600</v>
      </c>
      <c r="G171" s="280">
        <f>G173</f>
        <v>73600</v>
      </c>
    </row>
    <row r="172" spans="1:7" s="16" customFormat="1" ht="94.5">
      <c r="A172" s="3" t="s">
        <v>68</v>
      </c>
      <c r="B172" s="281"/>
      <c r="C172" s="281"/>
      <c r="D172" s="281"/>
      <c r="E172" s="281"/>
      <c r="F172" s="280"/>
      <c r="G172" s="280"/>
    </row>
    <row r="173" spans="1:7" s="16" customFormat="1" ht="126">
      <c r="A173" s="3" t="s">
        <v>657</v>
      </c>
      <c r="B173" s="281" t="s">
        <v>362</v>
      </c>
      <c r="C173" s="281"/>
      <c r="D173" s="281"/>
      <c r="E173" s="281"/>
      <c r="F173" s="280">
        <f>F175</f>
        <v>73600</v>
      </c>
      <c r="G173" s="280">
        <f>F173</f>
        <v>73600</v>
      </c>
    </row>
    <row r="174" spans="1:7" s="16" customFormat="1" ht="126">
      <c r="A174" s="3" t="s">
        <v>361</v>
      </c>
      <c r="B174" s="281"/>
      <c r="C174" s="281"/>
      <c r="D174" s="281"/>
      <c r="E174" s="281"/>
      <c r="F174" s="280"/>
      <c r="G174" s="280"/>
    </row>
    <row r="175" spans="1:7" s="16" customFormat="1" ht="31.5">
      <c r="A175" s="21" t="s">
        <v>565</v>
      </c>
      <c r="B175" s="4" t="s">
        <v>362</v>
      </c>
      <c r="C175" s="4" t="s">
        <v>566</v>
      </c>
      <c r="D175" s="4"/>
      <c r="E175" s="4"/>
      <c r="F175" s="29">
        <f>F176</f>
        <v>73600</v>
      </c>
      <c r="G175" s="29">
        <f>F175</f>
        <v>73600</v>
      </c>
    </row>
    <row r="176" spans="1:7" s="16" customFormat="1" ht="31.5">
      <c r="A176" s="3" t="s">
        <v>54</v>
      </c>
      <c r="B176" s="4" t="s">
        <v>362</v>
      </c>
      <c r="C176" s="4" t="s">
        <v>566</v>
      </c>
      <c r="D176" s="4" t="s">
        <v>48</v>
      </c>
      <c r="E176" s="4"/>
      <c r="F176" s="29">
        <f>F177</f>
        <v>73600</v>
      </c>
      <c r="G176" s="29">
        <f>F176</f>
        <v>73600</v>
      </c>
    </row>
    <row r="177" spans="1:7" s="16" customFormat="1" ht="31.5">
      <c r="A177" s="3" t="s">
        <v>738</v>
      </c>
      <c r="B177" s="4" t="s">
        <v>362</v>
      </c>
      <c r="C177" s="4" t="s">
        <v>566</v>
      </c>
      <c r="D177" s="4" t="s">
        <v>48</v>
      </c>
      <c r="E177" s="4" t="s">
        <v>47</v>
      </c>
      <c r="F177" s="29">
        <f>прил6!F763</f>
        <v>73600</v>
      </c>
      <c r="G177" s="29">
        <f>F177</f>
        <v>73600</v>
      </c>
    </row>
    <row r="178" spans="1:7" s="16" customFormat="1" ht="141.75">
      <c r="A178" s="3" t="s">
        <v>363</v>
      </c>
      <c r="B178" s="4" t="s">
        <v>364</v>
      </c>
      <c r="C178" s="4"/>
      <c r="D178" s="4"/>
      <c r="E178" s="4"/>
      <c r="F178" s="29">
        <f>F179+F183</f>
        <v>1616400</v>
      </c>
      <c r="G178" s="29">
        <f>G179+G183</f>
        <v>1616400</v>
      </c>
    </row>
    <row r="179" spans="1:7" s="16" customFormat="1" ht="141.75">
      <c r="A179" s="21" t="s">
        <v>365</v>
      </c>
      <c r="B179" s="4" t="s">
        <v>366</v>
      </c>
      <c r="C179" s="4"/>
      <c r="D179" s="4"/>
      <c r="E179" s="4"/>
      <c r="F179" s="29">
        <f>F180</f>
        <v>1594000</v>
      </c>
      <c r="G179" s="29">
        <f>F179</f>
        <v>1594000</v>
      </c>
    </row>
    <row r="180" spans="1:7" s="16" customFormat="1" ht="31.5">
      <c r="A180" s="21" t="s">
        <v>565</v>
      </c>
      <c r="B180" s="4" t="s">
        <v>366</v>
      </c>
      <c r="C180" s="4" t="s">
        <v>566</v>
      </c>
      <c r="D180" s="4"/>
      <c r="E180" s="4"/>
      <c r="F180" s="29">
        <f>F181</f>
        <v>1594000</v>
      </c>
      <c r="G180" s="29">
        <f>F180</f>
        <v>1594000</v>
      </c>
    </row>
    <row r="181" spans="1:7" s="16" customFormat="1" ht="31.5">
      <c r="A181" s="3" t="s">
        <v>54</v>
      </c>
      <c r="B181" s="4" t="s">
        <v>366</v>
      </c>
      <c r="C181" s="4" t="s">
        <v>566</v>
      </c>
      <c r="D181" s="4" t="s">
        <v>48</v>
      </c>
      <c r="E181" s="4"/>
      <c r="F181" s="29">
        <f>F182</f>
        <v>1594000</v>
      </c>
      <c r="G181" s="29">
        <f>F181</f>
        <v>1594000</v>
      </c>
    </row>
    <row r="182" spans="1:7" s="16" customFormat="1" ht="31.5">
      <c r="A182" s="3" t="s">
        <v>738</v>
      </c>
      <c r="B182" s="4" t="s">
        <v>366</v>
      </c>
      <c r="C182" s="4" t="s">
        <v>566</v>
      </c>
      <c r="D182" s="4" t="s">
        <v>48</v>
      </c>
      <c r="E182" s="4" t="s">
        <v>47</v>
      </c>
      <c r="F182" s="29">
        <f>прил6!F766</f>
        <v>1594000</v>
      </c>
      <c r="G182" s="29">
        <f>F182</f>
        <v>1594000</v>
      </c>
    </row>
    <row r="183" spans="1:7" s="16" customFormat="1" ht="144.75" customHeight="1">
      <c r="A183" s="3" t="s">
        <v>367</v>
      </c>
      <c r="B183" s="4" t="s">
        <v>368</v>
      </c>
      <c r="C183" s="4"/>
      <c r="D183" s="4"/>
      <c r="E183" s="4"/>
      <c r="F183" s="29">
        <f>F184</f>
        <v>22400</v>
      </c>
      <c r="G183" s="29">
        <f>G184</f>
        <v>22400</v>
      </c>
    </row>
    <row r="184" spans="1:7" s="16" customFormat="1" ht="141.75" customHeight="1">
      <c r="A184" s="3" t="s">
        <v>92</v>
      </c>
      <c r="B184" s="4" t="s">
        <v>368</v>
      </c>
      <c r="C184" s="4" t="s">
        <v>604</v>
      </c>
      <c r="D184" s="4"/>
      <c r="E184" s="4"/>
      <c r="F184" s="29">
        <f>F185</f>
        <v>22400</v>
      </c>
      <c r="G184" s="29">
        <f>F184</f>
        <v>22400</v>
      </c>
    </row>
    <row r="185" spans="1:7" s="16" customFormat="1" ht="31.5">
      <c r="A185" s="3" t="s">
        <v>54</v>
      </c>
      <c r="B185" s="4" t="s">
        <v>368</v>
      </c>
      <c r="C185" s="4" t="s">
        <v>604</v>
      </c>
      <c r="D185" s="4" t="s">
        <v>48</v>
      </c>
      <c r="E185" s="4"/>
      <c r="F185" s="29">
        <f>F186</f>
        <v>22400</v>
      </c>
      <c r="G185" s="29">
        <f>F185</f>
        <v>22400</v>
      </c>
    </row>
    <row r="186" spans="1:7" s="16" customFormat="1" ht="31.5">
      <c r="A186" s="3" t="s">
        <v>738</v>
      </c>
      <c r="B186" s="4" t="s">
        <v>368</v>
      </c>
      <c r="C186" s="4" t="s">
        <v>604</v>
      </c>
      <c r="D186" s="4" t="s">
        <v>48</v>
      </c>
      <c r="E186" s="4" t="s">
        <v>47</v>
      </c>
      <c r="F186" s="29">
        <f>прил6!F768</f>
        <v>22400</v>
      </c>
      <c r="G186" s="29">
        <f>F186</f>
        <v>22400</v>
      </c>
    </row>
    <row r="187" spans="1:7" s="16" customFormat="1" ht="110.25">
      <c r="A187" s="3" t="s">
        <v>69</v>
      </c>
      <c r="B187" s="281" t="s">
        <v>369</v>
      </c>
      <c r="C187" s="281"/>
      <c r="D187" s="281"/>
      <c r="E187" s="281"/>
      <c r="F187" s="280">
        <f>F189</f>
        <v>209400</v>
      </c>
      <c r="G187" s="280">
        <f>F187</f>
        <v>209400</v>
      </c>
    </row>
    <row r="188" spans="1:7" s="16" customFormat="1" ht="47.25">
      <c r="A188" s="3" t="s">
        <v>70</v>
      </c>
      <c r="B188" s="281"/>
      <c r="C188" s="281"/>
      <c r="D188" s="281"/>
      <c r="E188" s="281"/>
      <c r="F188" s="280"/>
      <c r="G188" s="280"/>
    </row>
    <row r="189" spans="1:7" s="16" customFormat="1" ht="141.75">
      <c r="A189" s="3" t="s">
        <v>370</v>
      </c>
      <c r="B189" s="281" t="s">
        <v>372</v>
      </c>
      <c r="C189" s="281"/>
      <c r="D189" s="281"/>
      <c r="E189" s="281"/>
      <c r="F189" s="280">
        <f>F191</f>
        <v>209400</v>
      </c>
      <c r="G189" s="280">
        <f>F189</f>
        <v>209400</v>
      </c>
    </row>
    <row r="190" spans="1:7" s="16" customFormat="1" ht="94.5">
      <c r="A190" s="3" t="s">
        <v>371</v>
      </c>
      <c r="B190" s="281"/>
      <c r="C190" s="281"/>
      <c r="D190" s="281"/>
      <c r="E190" s="281"/>
      <c r="F190" s="280"/>
      <c r="G190" s="280"/>
    </row>
    <row r="191" spans="1:7" s="16" customFormat="1" ht="31.5">
      <c r="A191" s="21" t="s">
        <v>565</v>
      </c>
      <c r="B191" s="4" t="s">
        <v>372</v>
      </c>
      <c r="C191" s="4" t="s">
        <v>566</v>
      </c>
      <c r="D191" s="4"/>
      <c r="E191" s="4"/>
      <c r="F191" s="29">
        <f>F192</f>
        <v>209400</v>
      </c>
      <c r="G191" s="29">
        <f aca="true" t="shared" si="5" ref="G191:G199">F191</f>
        <v>209400</v>
      </c>
    </row>
    <row r="192" spans="1:7" s="16" customFormat="1" ht="31.5">
      <c r="A192" s="3" t="s">
        <v>54</v>
      </c>
      <c r="B192" s="4" t="s">
        <v>372</v>
      </c>
      <c r="C192" s="4" t="s">
        <v>566</v>
      </c>
      <c r="D192" s="4" t="s">
        <v>48</v>
      </c>
      <c r="E192" s="4"/>
      <c r="F192" s="29">
        <f>F193</f>
        <v>209400</v>
      </c>
      <c r="G192" s="29">
        <f t="shared" si="5"/>
        <v>209400</v>
      </c>
    </row>
    <row r="193" spans="1:7" s="16" customFormat="1" ht="31.5">
      <c r="A193" s="3" t="s">
        <v>738</v>
      </c>
      <c r="B193" s="4" t="s">
        <v>372</v>
      </c>
      <c r="C193" s="4" t="s">
        <v>566</v>
      </c>
      <c r="D193" s="4" t="s">
        <v>48</v>
      </c>
      <c r="E193" s="4" t="s">
        <v>47</v>
      </c>
      <c r="F193" s="29">
        <f>прил6!F773</f>
        <v>209400</v>
      </c>
      <c r="G193" s="29">
        <f t="shared" si="5"/>
        <v>209400</v>
      </c>
    </row>
    <row r="194" spans="1:7" s="16" customFormat="1" ht="78.75">
      <c r="A194" s="3" t="s">
        <v>159</v>
      </c>
      <c r="B194" s="4" t="s">
        <v>160</v>
      </c>
      <c r="C194" s="4"/>
      <c r="D194" s="4"/>
      <c r="E194" s="4"/>
      <c r="F194" s="29">
        <f>F195</f>
        <v>491500</v>
      </c>
      <c r="G194" s="29">
        <f t="shared" si="5"/>
        <v>491500</v>
      </c>
    </row>
    <row r="195" spans="1:7" s="16" customFormat="1" ht="141.75">
      <c r="A195" s="3" t="s">
        <v>161</v>
      </c>
      <c r="B195" s="4" t="s">
        <v>162</v>
      </c>
      <c r="C195" s="4"/>
      <c r="D195" s="4"/>
      <c r="E195" s="4"/>
      <c r="F195" s="29">
        <f>F196</f>
        <v>491500</v>
      </c>
      <c r="G195" s="29">
        <f t="shared" si="5"/>
        <v>491500</v>
      </c>
    </row>
    <row r="196" spans="1:7" s="16" customFormat="1" ht="31.5">
      <c r="A196" s="3" t="s">
        <v>565</v>
      </c>
      <c r="B196" s="4" t="s">
        <v>162</v>
      </c>
      <c r="C196" s="4" t="s">
        <v>566</v>
      </c>
      <c r="D196" s="4"/>
      <c r="E196" s="4"/>
      <c r="F196" s="29">
        <f>F197</f>
        <v>491500</v>
      </c>
      <c r="G196" s="29">
        <f t="shared" si="5"/>
        <v>491500</v>
      </c>
    </row>
    <row r="197" spans="1:7" s="16" customFormat="1" ht="31.5">
      <c r="A197" s="3" t="s">
        <v>54</v>
      </c>
      <c r="B197" s="4" t="s">
        <v>162</v>
      </c>
      <c r="C197" s="4" t="s">
        <v>566</v>
      </c>
      <c r="D197" s="4" t="s">
        <v>48</v>
      </c>
      <c r="E197" s="4"/>
      <c r="F197" s="29">
        <f>F198</f>
        <v>491500</v>
      </c>
      <c r="G197" s="29">
        <f t="shared" si="5"/>
        <v>491500</v>
      </c>
    </row>
    <row r="198" spans="1:7" s="16" customFormat="1" ht="31.5">
      <c r="A198" s="3" t="s">
        <v>445</v>
      </c>
      <c r="B198" s="4" t="s">
        <v>162</v>
      </c>
      <c r="C198" s="4" t="s">
        <v>566</v>
      </c>
      <c r="D198" s="4" t="s">
        <v>48</v>
      </c>
      <c r="E198" s="4" t="s">
        <v>50</v>
      </c>
      <c r="F198" s="29">
        <f>прил6!F813</f>
        <v>491500</v>
      </c>
      <c r="G198" s="29">
        <f t="shared" si="5"/>
        <v>491500</v>
      </c>
    </row>
    <row r="199" spans="1:7" s="16" customFormat="1" ht="78.75">
      <c r="A199" s="3" t="s">
        <v>163</v>
      </c>
      <c r="B199" s="4" t="s">
        <v>164</v>
      </c>
      <c r="C199" s="4"/>
      <c r="D199" s="4"/>
      <c r="E199" s="4"/>
      <c r="F199" s="29">
        <f>F200</f>
        <v>34180300</v>
      </c>
      <c r="G199" s="29">
        <f t="shared" si="5"/>
        <v>34180300</v>
      </c>
    </row>
    <row r="200" spans="1:7" s="16" customFormat="1" ht="78.75">
      <c r="A200" s="3" t="s">
        <v>165</v>
      </c>
      <c r="B200" s="4" t="s">
        <v>166</v>
      </c>
      <c r="C200" s="4"/>
      <c r="D200" s="4"/>
      <c r="E200" s="4"/>
      <c r="F200" s="29">
        <f>F201+F204</f>
        <v>34180300</v>
      </c>
      <c r="G200" s="29">
        <f>G201+G204</f>
        <v>34180300</v>
      </c>
    </row>
    <row r="201" spans="1:7" s="16" customFormat="1" ht="52.5" customHeight="1" hidden="1">
      <c r="A201" s="3" t="s">
        <v>701</v>
      </c>
      <c r="B201" s="4" t="s">
        <v>166</v>
      </c>
      <c r="C201" s="4" t="s">
        <v>605</v>
      </c>
      <c r="D201" s="4"/>
      <c r="E201" s="4"/>
      <c r="F201" s="29">
        <f>F202</f>
        <v>0</v>
      </c>
      <c r="G201" s="29">
        <f aca="true" t="shared" si="6" ref="G201:G206">F201</f>
        <v>0</v>
      </c>
    </row>
    <row r="202" spans="1:7" s="16" customFormat="1" ht="15" hidden="1">
      <c r="A202" s="3" t="s">
        <v>54</v>
      </c>
      <c r="B202" s="4" t="s">
        <v>166</v>
      </c>
      <c r="C202" s="4" t="s">
        <v>605</v>
      </c>
      <c r="D202" s="4" t="s">
        <v>48</v>
      </c>
      <c r="E202" s="4"/>
      <c r="F202" s="29">
        <f>F203</f>
        <v>0</v>
      </c>
      <c r="G202" s="29">
        <f t="shared" si="6"/>
        <v>0</v>
      </c>
    </row>
    <row r="203" spans="1:7" s="16" customFormat="1" ht="15" hidden="1">
      <c r="A203" s="3" t="s">
        <v>445</v>
      </c>
      <c r="B203" s="4" t="s">
        <v>166</v>
      </c>
      <c r="C203" s="4" t="s">
        <v>605</v>
      </c>
      <c r="D203" s="4" t="s">
        <v>48</v>
      </c>
      <c r="E203" s="4" t="s">
        <v>50</v>
      </c>
      <c r="F203" s="29">
        <f>прил6!F816</f>
        <v>0</v>
      </c>
      <c r="G203" s="29">
        <f t="shared" si="6"/>
        <v>0</v>
      </c>
    </row>
    <row r="204" spans="1:7" s="16" customFormat="1" ht="31.5">
      <c r="A204" s="3" t="s">
        <v>565</v>
      </c>
      <c r="B204" s="4" t="s">
        <v>166</v>
      </c>
      <c r="C204" s="4" t="s">
        <v>566</v>
      </c>
      <c r="D204" s="4"/>
      <c r="E204" s="4"/>
      <c r="F204" s="29">
        <f>F205</f>
        <v>34180300</v>
      </c>
      <c r="G204" s="29">
        <f t="shared" si="6"/>
        <v>34180300</v>
      </c>
    </row>
    <row r="205" spans="1:7" s="16" customFormat="1" ht="31.5">
      <c r="A205" s="3" t="s">
        <v>54</v>
      </c>
      <c r="B205" s="4" t="s">
        <v>166</v>
      </c>
      <c r="C205" s="4" t="s">
        <v>566</v>
      </c>
      <c r="D205" s="4" t="s">
        <v>48</v>
      </c>
      <c r="E205" s="4"/>
      <c r="F205" s="29">
        <f>F206</f>
        <v>34180300</v>
      </c>
      <c r="G205" s="29">
        <f t="shared" si="6"/>
        <v>34180300</v>
      </c>
    </row>
    <row r="206" spans="1:7" s="16" customFormat="1" ht="31.5">
      <c r="A206" s="3" t="s">
        <v>445</v>
      </c>
      <c r="B206" s="4" t="s">
        <v>166</v>
      </c>
      <c r="C206" s="4" t="s">
        <v>566</v>
      </c>
      <c r="D206" s="4" t="s">
        <v>48</v>
      </c>
      <c r="E206" s="4" t="s">
        <v>50</v>
      </c>
      <c r="F206" s="29">
        <f>прил6!F817</f>
        <v>34180300</v>
      </c>
      <c r="G206" s="29">
        <f t="shared" si="6"/>
        <v>34180300</v>
      </c>
    </row>
    <row r="207" spans="1:7" ht="141.75">
      <c r="A207" s="3" t="s">
        <v>491</v>
      </c>
      <c r="B207" s="4" t="s">
        <v>333</v>
      </c>
      <c r="C207" s="4"/>
      <c r="D207" s="4"/>
      <c r="E207" s="4"/>
      <c r="F207" s="29">
        <f>F209+F213</f>
        <v>3989369.13</v>
      </c>
      <c r="G207" s="29"/>
    </row>
    <row r="208" spans="1:7" ht="31.5">
      <c r="A208" s="3" t="s">
        <v>75</v>
      </c>
      <c r="B208" s="4"/>
      <c r="C208" s="4"/>
      <c r="D208" s="4"/>
      <c r="E208" s="4"/>
      <c r="F208" s="29"/>
      <c r="G208" s="29"/>
    </row>
    <row r="209" spans="1:7" ht="56.25" customHeight="1">
      <c r="A209" s="3" t="s">
        <v>589</v>
      </c>
      <c r="B209" s="4" t="s">
        <v>334</v>
      </c>
      <c r="C209" s="4"/>
      <c r="D209" s="4"/>
      <c r="E209" s="4"/>
      <c r="F209" s="29">
        <f>F210</f>
        <v>3901605.13</v>
      </c>
      <c r="G209" s="29"/>
    </row>
    <row r="210" spans="1:7" ht="110.25">
      <c r="A210" s="21" t="s">
        <v>506</v>
      </c>
      <c r="B210" s="4" t="s">
        <v>334</v>
      </c>
      <c r="C210" s="4" t="s">
        <v>604</v>
      </c>
      <c r="D210" s="4"/>
      <c r="E210" s="4"/>
      <c r="F210" s="29">
        <f>F211</f>
        <v>3901605.13</v>
      </c>
      <c r="G210" s="29"/>
    </row>
    <row r="211" spans="1:7" ht="31.5">
      <c r="A211" s="3" t="s">
        <v>59</v>
      </c>
      <c r="B211" s="4" t="s">
        <v>334</v>
      </c>
      <c r="C211" s="4" t="s">
        <v>604</v>
      </c>
      <c r="D211" s="4" t="s">
        <v>917</v>
      </c>
      <c r="E211" s="4"/>
      <c r="F211" s="29">
        <f>F212</f>
        <v>3901605.13</v>
      </c>
      <c r="G211" s="29"/>
    </row>
    <row r="212" spans="1:7" ht="114.75" customHeight="1">
      <c r="A212" s="3" t="s">
        <v>599</v>
      </c>
      <c r="B212" s="4" t="s">
        <v>334</v>
      </c>
      <c r="C212" s="4" t="s">
        <v>604</v>
      </c>
      <c r="D212" s="4" t="s">
        <v>917</v>
      </c>
      <c r="E212" s="4" t="s">
        <v>50</v>
      </c>
      <c r="F212" s="29">
        <f>прил6!F38</f>
        <v>3901605.13</v>
      </c>
      <c r="G212" s="29"/>
    </row>
    <row r="213" spans="1:7" ht="94.5">
      <c r="A213" s="3" t="s">
        <v>587</v>
      </c>
      <c r="B213" s="4" t="s">
        <v>335</v>
      </c>
      <c r="C213" s="4"/>
      <c r="D213" s="4"/>
      <c r="E213" s="2"/>
      <c r="F213" s="29">
        <f>F214</f>
        <v>87764</v>
      </c>
      <c r="G213" s="29"/>
    </row>
    <row r="214" spans="1:7" ht="110.25">
      <c r="A214" s="21" t="s">
        <v>506</v>
      </c>
      <c r="B214" s="4" t="s">
        <v>335</v>
      </c>
      <c r="C214" s="4" t="s">
        <v>604</v>
      </c>
      <c r="D214" s="4"/>
      <c r="E214" s="4"/>
      <c r="F214" s="29">
        <f>F215</f>
        <v>87764</v>
      </c>
      <c r="G214" s="29"/>
    </row>
    <row r="215" spans="1:7" ht="31.5">
      <c r="A215" s="3" t="s">
        <v>59</v>
      </c>
      <c r="B215" s="4" t="s">
        <v>335</v>
      </c>
      <c r="C215" s="4" t="s">
        <v>604</v>
      </c>
      <c r="D215" s="4" t="s">
        <v>917</v>
      </c>
      <c r="E215" s="4"/>
      <c r="F215" s="29">
        <f>F216</f>
        <v>87764</v>
      </c>
      <c r="G215" s="29"/>
    </row>
    <row r="216" spans="1:7" ht="94.5">
      <c r="A216" s="3" t="s">
        <v>599</v>
      </c>
      <c r="B216" s="4" t="s">
        <v>335</v>
      </c>
      <c r="C216" s="4" t="s">
        <v>604</v>
      </c>
      <c r="D216" s="4" t="s">
        <v>917</v>
      </c>
      <c r="E216" s="4" t="s">
        <v>50</v>
      </c>
      <c r="F216" s="29">
        <f>прил6!F40</f>
        <v>87764</v>
      </c>
      <c r="G216" s="29"/>
    </row>
    <row r="217" spans="1:7" ht="15" hidden="1">
      <c r="A217" s="3"/>
      <c r="B217" s="4"/>
      <c r="C217" s="4"/>
      <c r="D217" s="4"/>
      <c r="E217" s="4"/>
      <c r="F217" s="29"/>
      <c r="G217" s="29"/>
    </row>
    <row r="218" spans="1:7" ht="15" hidden="1">
      <c r="A218" s="27"/>
      <c r="B218" s="4"/>
      <c r="C218" s="4"/>
      <c r="D218" s="4"/>
      <c r="E218" s="4"/>
      <c r="F218" s="29"/>
      <c r="G218" s="29"/>
    </row>
    <row r="219" spans="1:7" ht="15" hidden="1">
      <c r="A219" s="3"/>
      <c r="B219" s="4"/>
      <c r="C219" s="4"/>
      <c r="D219" s="4"/>
      <c r="E219" s="4"/>
      <c r="F219" s="29"/>
      <c r="G219" s="29"/>
    </row>
    <row r="220" spans="1:7" ht="15" hidden="1">
      <c r="A220" s="3"/>
      <c r="B220" s="4"/>
      <c r="C220" s="4"/>
      <c r="D220" s="4"/>
      <c r="E220" s="4"/>
      <c r="F220" s="29"/>
      <c r="G220" s="29"/>
    </row>
    <row r="221" spans="1:7" ht="141.75">
      <c r="A221" s="3" t="s">
        <v>1151</v>
      </c>
      <c r="B221" s="4" t="s">
        <v>336</v>
      </c>
      <c r="C221" s="4"/>
      <c r="D221" s="4"/>
      <c r="E221" s="4"/>
      <c r="F221" s="29">
        <f>F223+F231+F227</f>
        <v>10052626.979999999</v>
      </c>
      <c r="G221" s="29"/>
    </row>
    <row r="222" spans="1:7" ht="86.25" customHeight="1">
      <c r="A222" s="21" t="s">
        <v>64</v>
      </c>
      <c r="B222" s="4"/>
      <c r="C222" s="4"/>
      <c r="D222" s="4"/>
      <c r="E222" s="4"/>
      <c r="F222" s="29"/>
      <c r="G222" s="29"/>
    </row>
    <row r="223" spans="1:7" ht="47.25">
      <c r="A223" s="3" t="s">
        <v>589</v>
      </c>
      <c r="B223" s="4" t="s">
        <v>337</v>
      </c>
      <c r="C223" s="4"/>
      <c r="D223" s="4"/>
      <c r="E223" s="4"/>
      <c r="F223" s="29">
        <f>F224</f>
        <v>9947626.979999999</v>
      </c>
      <c r="G223" s="29"/>
    </row>
    <row r="224" spans="1:7" ht="145.5" customHeight="1">
      <c r="A224" s="21" t="s">
        <v>506</v>
      </c>
      <c r="B224" s="4" t="s">
        <v>337</v>
      </c>
      <c r="C224" s="4" t="s">
        <v>604</v>
      </c>
      <c r="D224" s="4"/>
      <c r="E224" s="4"/>
      <c r="F224" s="29">
        <f>F225</f>
        <v>9947626.979999999</v>
      </c>
      <c r="G224" s="29"/>
    </row>
    <row r="225" spans="1:7" ht="31.5">
      <c r="A225" s="3" t="s">
        <v>59</v>
      </c>
      <c r="B225" s="4" t="s">
        <v>337</v>
      </c>
      <c r="C225" s="4" t="s">
        <v>604</v>
      </c>
      <c r="D225" s="4" t="s">
        <v>917</v>
      </c>
      <c r="E225" s="4"/>
      <c r="F225" s="29">
        <f>F226</f>
        <v>9947626.979999999</v>
      </c>
      <c r="G225" s="29"/>
    </row>
    <row r="226" spans="1:7" ht="120" customHeight="1">
      <c r="A226" s="3" t="s">
        <v>599</v>
      </c>
      <c r="B226" s="4" t="s">
        <v>337</v>
      </c>
      <c r="C226" s="4" t="s">
        <v>604</v>
      </c>
      <c r="D226" s="4" t="s">
        <v>917</v>
      </c>
      <c r="E226" s="4" t="s">
        <v>50</v>
      </c>
      <c r="F226" s="29">
        <f>прил6!F44</f>
        <v>9947626.979999999</v>
      </c>
      <c r="G226" s="29"/>
    </row>
    <row r="227" spans="1:7" ht="47.25">
      <c r="A227" s="21" t="s">
        <v>590</v>
      </c>
      <c r="B227" s="4" t="s">
        <v>338</v>
      </c>
      <c r="C227" s="4"/>
      <c r="D227" s="4"/>
      <c r="E227" s="4"/>
      <c r="F227" s="29">
        <f>F228</f>
        <v>1800</v>
      </c>
      <c r="G227" s="29"/>
    </row>
    <row r="228" spans="1:7" ht="110.25">
      <c r="A228" s="21" t="s">
        <v>506</v>
      </c>
      <c r="B228" s="4" t="s">
        <v>338</v>
      </c>
      <c r="C228" s="4" t="s">
        <v>604</v>
      </c>
      <c r="D228" s="4"/>
      <c r="E228" s="4"/>
      <c r="F228" s="29">
        <f>F229</f>
        <v>1800</v>
      </c>
      <c r="G228" s="29"/>
    </row>
    <row r="229" spans="1:7" ht="31.5">
      <c r="A229" s="3" t="s">
        <v>59</v>
      </c>
      <c r="B229" s="4" t="s">
        <v>338</v>
      </c>
      <c r="C229" s="4" t="s">
        <v>604</v>
      </c>
      <c r="D229" s="4" t="s">
        <v>917</v>
      </c>
      <c r="E229" s="4"/>
      <c r="F229" s="29">
        <f>F230</f>
        <v>1800</v>
      </c>
      <c r="G229" s="29"/>
    </row>
    <row r="230" spans="1:7" ht="94.5">
      <c r="A230" s="3" t="s">
        <v>599</v>
      </c>
      <c r="B230" s="4" t="s">
        <v>338</v>
      </c>
      <c r="C230" s="4" t="s">
        <v>604</v>
      </c>
      <c r="D230" s="4" t="s">
        <v>917</v>
      </c>
      <c r="E230" s="4" t="s">
        <v>50</v>
      </c>
      <c r="F230" s="29">
        <f>прил6!F46</f>
        <v>1800</v>
      </c>
      <c r="G230" s="29"/>
    </row>
    <row r="231" spans="1:7" ht="94.5">
      <c r="A231" s="3" t="s">
        <v>587</v>
      </c>
      <c r="B231" s="4" t="s">
        <v>339</v>
      </c>
      <c r="C231" s="4"/>
      <c r="D231" s="4"/>
      <c r="E231" s="2"/>
      <c r="F231" s="29">
        <f>F232</f>
        <v>103200</v>
      </c>
      <c r="G231" s="29"/>
    </row>
    <row r="232" spans="1:7" ht="141.75" customHeight="1">
      <c r="A232" s="21" t="s">
        <v>506</v>
      </c>
      <c r="B232" s="4" t="s">
        <v>339</v>
      </c>
      <c r="C232" s="4" t="s">
        <v>604</v>
      </c>
      <c r="D232" s="4"/>
      <c r="E232" s="4"/>
      <c r="F232" s="29">
        <f>F233</f>
        <v>103200</v>
      </c>
      <c r="G232" s="29"/>
    </row>
    <row r="233" spans="1:7" ht="31.5">
      <c r="A233" s="3" t="s">
        <v>59</v>
      </c>
      <c r="B233" s="4" t="s">
        <v>339</v>
      </c>
      <c r="C233" s="4" t="s">
        <v>604</v>
      </c>
      <c r="D233" s="4" t="s">
        <v>917</v>
      </c>
      <c r="E233" s="4"/>
      <c r="F233" s="29">
        <f>F234</f>
        <v>103200</v>
      </c>
      <c r="G233" s="29"/>
    </row>
    <row r="234" spans="1:7" ht="117" customHeight="1">
      <c r="A234" s="3" t="s">
        <v>599</v>
      </c>
      <c r="B234" s="4" t="s">
        <v>339</v>
      </c>
      <c r="C234" s="4" t="s">
        <v>604</v>
      </c>
      <c r="D234" s="4" t="s">
        <v>917</v>
      </c>
      <c r="E234" s="4" t="s">
        <v>50</v>
      </c>
      <c r="F234" s="29">
        <f>прил6!F48</f>
        <v>103200</v>
      </c>
      <c r="G234" s="29"/>
    </row>
    <row r="235" spans="1:7" ht="85.5" customHeight="1">
      <c r="A235" s="3" t="s">
        <v>750</v>
      </c>
      <c r="B235" s="4" t="s">
        <v>941</v>
      </c>
      <c r="C235" s="4"/>
      <c r="D235" s="4"/>
      <c r="E235" s="4"/>
      <c r="F235" s="29">
        <f>F236+F241</f>
        <v>20338952.75</v>
      </c>
      <c r="G235" s="29"/>
    </row>
    <row r="236" spans="1:7" ht="78.75">
      <c r="A236" s="3" t="s">
        <v>942</v>
      </c>
      <c r="B236" s="4" t="s">
        <v>943</v>
      </c>
      <c r="C236" s="4"/>
      <c r="D236" s="4"/>
      <c r="E236" s="4"/>
      <c r="F236" s="29">
        <f>F237</f>
        <v>20043880</v>
      </c>
      <c r="G236" s="29"/>
    </row>
    <row r="237" spans="1:7" ht="94.5">
      <c r="A237" s="3" t="s">
        <v>749</v>
      </c>
      <c r="B237" s="4" t="s">
        <v>632</v>
      </c>
      <c r="C237" s="4"/>
      <c r="D237" s="4"/>
      <c r="E237" s="4"/>
      <c r="F237" s="29">
        <f>F238</f>
        <v>20043880</v>
      </c>
      <c r="G237" s="29"/>
    </row>
    <row r="238" spans="1:7" ht="63">
      <c r="A238" s="3" t="s">
        <v>525</v>
      </c>
      <c r="B238" s="4" t="s">
        <v>632</v>
      </c>
      <c r="C238" s="4" t="s">
        <v>609</v>
      </c>
      <c r="D238" s="4"/>
      <c r="E238" s="4"/>
      <c r="F238" s="29">
        <f>F239</f>
        <v>20043880</v>
      </c>
      <c r="G238" s="29"/>
    </row>
    <row r="239" spans="1:7" ht="31.5">
      <c r="A239" s="3" t="s">
        <v>51</v>
      </c>
      <c r="B239" s="4" t="s">
        <v>632</v>
      </c>
      <c r="C239" s="4" t="s">
        <v>609</v>
      </c>
      <c r="D239" s="4" t="s">
        <v>43</v>
      </c>
      <c r="E239" s="4"/>
      <c r="F239" s="29">
        <f>F240</f>
        <v>20043880</v>
      </c>
      <c r="G239" s="29"/>
    </row>
    <row r="240" spans="1:7" ht="31.5">
      <c r="A240" s="3" t="s">
        <v>736</v>
      </c>
      <c r="B240" s="4" t="s">
        <v>632</v>
      </c>
      <c r="C240" s="4" t="s">
        <v>609</v>
      </c>
      <c r="D240" s="4" t="s">
        <v>43</v>
      </c>
      <c r="E240" s="4" t="s">
        <v>46</v>
      </c>
      <c r="F240" s="29">
        <f>прил6!F625</f>
        <v>20043880</v>
      </c>
      <c r="G240" s="29"/>
    </row>
    <row r="241" spans="1:7" ht="31.5">
      <c r="A241" s="3" t="s">
        <v>356</v>
      </c>
      <c r="B241" s="4" t="s">
        <v>633</v>
      </c>
      <c r="C241" s="4"/>
      <c r="D241" s="4"/>
      <c r="E241" s="4"/>
      <c r="F241" s="29">
        <f>F242</f>
        <v>295072.75</v>
      </c>
      <c r="G241" s="29"/>
    </row>
    <row r="242" spans="1:7" ht="94.5">
      <c r="A242" s="3" t="s">
        <v>749</v>
      </c>
      <c r="B242" s="4" t="s">
        <v>634</v>
      </c>
      <c r="C242" s="4"/>
      <c r="D242" s="4"/>
      <c r="E242" s="4"/>
      <c r="F242" s="29">
        <f>F243</f>
        <v>295072.75</v>
      </c>
      <c r="G242" s="29"/>
    </row>
    <row r="243" spans="1:7" ht="63">
      <c r="A243" s="3" t="s">
        <v>525</v>
      </c>
      <c r="B243" s="4" t="s">
        <v>634</v>
      </c>
      <c r="C243" s="4" t="s">
        <v>609</v>
      </c>
      <c r="D243" s="4"/>
      <c r="E243" s="4"/>
      <c r="F243" s="29">
        <f>F244</f>
        <v>295072.75</v>
      </c>
      <c r="G243" s="29"/>
    </row>
    <row r="244" spans="1:7" ht="31.5">
      <c r="A244" s="3" t="s">
        <v>51</v>
      </c>
      <c r="B244" s="4" t="s">
        <v>634</v>
      </c>
      <c r="C244" s="4" t="s">
        <v>609</v>
      </c>
      <c r="D244" s="4" t="s">
        <v>43</v>
      </c>
      <c r="E244" s="4"/>
      <c r="F244" s="29">
        <f>F245</f>
        <v>295072.75</v>
      </c>
      <c r="G244" s="29"/>
    </row>
    <row r="245" spans="1:7" ht="31.5">
      <c r="A245" s="3" t="s">
        <v>736</v>
      </c>
      <c r="B245" s="4" t="s">
        <v>634</v>
      </c>
      <c r="C245" s="4" t="s">
        <v>609</v>
      </c>
      <c r="D245" s="4" t="s">
        <v>43</v>
      </c>
      <c r="E245" s="4" t="s">
        <v>46</v>
      </c>
      <c r="F245" s="29">
        <f>прил6!F628</f>
        <v>295072.75</v>
      </c>
      <c r="G245" s="29"/>
    </row>
    <row r="246" spans="1:7" ht="78.75">
      <c r="A246" s="21" t="s">
        <v>751</v>
      </c>
      <c r="B246" s="4" t="s">
        <v>635</v>
      </c>
      <c r="C246" s="4"/>
      <c r="D246" s="4"/>
      <c r="E246" s="4"/>
      <c r="F246" s="37">
        <f>F247+F252</f>
        <v>26875448.32</v>
      </c>
      <c r="G246" s="111"/>
    </row>
    <row r="247" spans="1:7" ht="78.75">
      <c r="A247" s="3" t="s">
        <v>636</v>
      </c>
      <c r="B247" s="4" t="s">
        <v>637</v>
      </c>
      <c r="C247" s="4"/>
      <c r="D247" s="4"/>
      <c r="E247" s="4"/>
      <c r="F247" s="29">
        <f>F248</f>
        <v>26580375.56</v>
      </c>
      <c r="G247" s="29"/>
    </row>
    <row r="248" spans="1:7" ht="94.5">
      <c r="A248" s="3" t="s">
        <v>749</v>
      </c>
      <c r="B248" s="4" t="s">
        <v>638</v>
      </c>
      <c r="C248" s="4"/>
      <c r="D248" s="4"/>
      <c r="E248" s="4"/>
      <c r="F248" s="29">
        <f>F249</f>
        <v>26580375.56</v>
      </c>
      <c r="G248" s="29"/>
    </row>
    <row r="249" spans="1:7" ht="63">
      <c r="A249" s="3" t="s">
        <v>525</v>
      </c>
      <c r="B249" s="4" t="s">
        <v>638</v>
      </c>
      <c r="C249" s="4" t="s">
        <v>609</v>
      </c>
      <c r="D249" s="4"/>
      <c r="E249" s="4"/>
      <c r="F249" s="29">
        <f>F250</f>
        <v>26580375.56</v>
      </c>
      <c r="G249" s="29"/>
    </row>
    <row r="250" spans="1:7" ht="31.5">
      <c r="A250" s="3" t="s">
        <v>51</v>
      </c>
      <c r="B250" s="4" t="s">
        <v>638</v>
      </c>
      <c r="C250" s="4" t="s">
        <v>609</v>
      </c>
      <c r="D250" s="4" t="s">
        <v>43</v>
      </c>
      <c r="E250" s="4"/>
      <c r="F250" s="29">
        <f>F251</f>
        <v>26580375.56</v>
      </c>
      <c r="G250" s="29"/>
    </row>
    <row r="251" spans="1:7" ht="31.5">
      <c r="A251" s="3" t="s">
        <v>736</v>
      </c>
      <c r="B251" s="4" t="s">
        <v>638</v>
      </c>
      <c r="C251" s="4" t="s">
        <v>609</v>
      </c>
      <c r="D251" s="4" t="s">
        <v>43</v>
      </c>
      <c r="E251" s="4" t="s">
        <v>46</v>
      </c>
      <c r="F251" s="29">
        <f>прил6!F632</f>
        <v>26580375.56</v>
      </c>
      <c r="G251" s="29"/>
    </row>
    <row r="252" spans="1:7" ht="41.25" customHeight="1">
      <c r="A252" s="21" t="s">
        <v>356</v>
      </c>
      <c r="B252" s="4" t="s">
        <v>639</v>
      </c>
      <c r="C252" s="4"/>
      <c r="D252" s="4"/>
      <c r="E252" s="4"/>
      <c r="F252" s="29">
        <f>F253</f>
        <v>295072.76</v>
      </c>
      <c r="G252" s="29"/>
    </row>
    <row r="253" spans="1:7" ht="94.5">
      <c r="A253" s="3" t="s">
        <v>749</v>
      </c>
      <c r="B253" s="4" t="s">
        <v>640</v>
      </c>
      <c r="C253" s="4"/>
      <c r="D253" s="4"/>
      <c r="E253" s="4"/>
      <c r="F253" s="29">
        <f>F254</f>
        <v>295072.76</v>
      </c>
      <c r="G253" s="29"/>
    </row>
    <row r="254" spans="1:7" ht="63">
      <c r="A254" s="3" t="s">
        <v>525</v>
      </c>
      <c r="B254" s="4" t="s">
        <v>640</v>
      </c>
      <c r="C254" s="4" t="s">
        <v>609</v>
      </c>
      <c r="D254" s="4"/>
      <c r="E254" s="4"/>
      <c r="F254" s="29">
        <f>F255</f>
        <v>295072.76</v>
      </c>
      <c r="G254" s="29"/>
    </row>
    <row r="255" spans="1:7" ht="31.5">
      <c r="A255" s="3" t="s">
        <v>51</v>
      </c>
      <c r="B255" s="4" t="s">
        <v>640</v>
      </c>
      <c r="C255" s="4" t="s">
        <v>609</v>
      </c>
      <c r="D255" s="4" t="s">
        <v>43</v>
      </c>
      <c r="E255" s="4"/>
      <c r="F255" s="29">
        <f>F256</f>
        <v>295072.76</v>
      </c>
      <c r="G255" s="29"/>
    </row>
    <row r="256" spans="1:7" ht="31.5">
      <c r="A256" s="3" t="s">
        <v>736</v>
      </c>
      <c r="B256" s="4" t="s">
        <v>640</v>
      </c>
      <c r="C256" s="4" t="s">
        <v>609</v>
      </c>
      <c r="D256" s="4" t="s">
        <v>43</v>
      </c>
      <c r="E256" s="4" t="s">
        <v>46</v>
      </c>
      <c r="F256" s="29">
        <f>прил6!F635</f>
        <v>295072.76</v>
      </c>
      <c r="G256" s="29"/>
    </row>
    <row r="257" spans="1:7" ht="31.5">
      <c r="A257" s="3" t="s">
        <v>526</v>
      </c>
      <c r="B257" s="4" t="s">
        <v>641</v>
      </c>
      <c r="C257" s="4"/>
      <c r="D257" s="4"/>
      <c r="E257" s="4"/>
      <c r="F257" s="29">
        <f>F258+F267+F272</f>
        <v>20307569.76</v>
      </c>
      <c r="G257" s="29">
        <f>G258+G267+G272</f>
        <v>14533900</v>
      </c>
    </row>
    <row r="258" spans="1:7" ht="47.25">
      <c r="A258" s="3" t="s">
        <v>642</v>
      </c>
      <c r="B258" s="4" t="s">
        <v>643</v>
      </c>
      <c r="C258" s="4"/>
      <c r="D258" s="4"/>
      <c r="E258" s="4"/>
      <c r="F258" s="29">
        <f>F259+F263</f>
        <v>6875397</v>
      </c>
      <c r="G258" s="29">
        <f>G259+G263</f>
        <v>1396800</v>
      </c>
    </row>
    <row r="259" spans="1:7" ht="126">
      <c r="A259" s="3" t="s">
        <v>644</v>
      </c>
      <c r="B259" s="4" t="s">
        <v>645</v>
      </c>
      <c r="C259" s="4"/>
      <c r="D259" s="4"/>
      <c r="E259" s="4"/>
      <c r="F259" s="29">
        <f>F260</f>
        <v>1396800</v>
      </c>
      <c r="G259" s="29">
        <f>F259</f>
        <v>1396800</v>
      </c>
    </row>
    <row r="260" spans="1:7" ht="63">
      <c r="A260" s="3" t="s">
        <v>525</v>
      </c>
      <c r="B260" s="4" t="s">
        <v>645</v>
      </c>
      <c r="C260" s="4" t="s">
        <v>609</v>
      </c>
      <c r="D260" s="4"/>
      <c r="E260" s="4"/>
      <c r="F260" s="29">
        <f>F261</f>
        <v>1396800</v>
      </c>
      <c r="G260" s="29">
        <f>F260</f>
        <v>1396800</v>
      </c>
    </row>
    <row r="261" spans="1:7" ht="31.5">
      <c r="A261" s="3" t="s">
        <v>51</v>
      </c>
      <c r="B261" s="4" t="s">
        <v>645</v>
      </c>
      <c r="C261" s="4" t="s">
        <v>609</v>
      </c>
      <c r="D261" s="4" t="s">
        <v>43</v>
      </c>
      <c r="E261" s="4"/>
      <c r="F261" s="29">
        <f>F262</f>
        <v>1396800</v>
      </c>
      <c r="G261" s="29">
        <f>F261</f>
        <v>1396800</v>
      </c>
    </row>
    <row r="262" spans="1:7" ht="31.5">
      <c r="A262" s="3" t="s">
        <v>736</v>
      </c>
      <c r="B262" s="4" t="s">
        <v>645</v>
      </c>
      <c r="C262" s="4" t="s">
        <v>609</v>
      </c>
      <c r="D262" s="4" t="s">
        <v>43</v>
      </c>
      <c r="E262" s="4" t="s">
        <v>46</v>
      </c>
      <c r="F262" s="29">
        <f>прил6!F639</f>
        <v>1396800</v>
      </c>
      <c r="G262" s="29">
        <f>F262</f>
        <v>1396800</v>
      </c>
    </row>
    <row r="263" spans="1:7" ht="126">
      <c r="A263" s="27" t="s">
        <v>644</v>
      </c>
      <c r="B263" s="4" t="s">
        <v>646</v>
      </c>
      <c r="C263" s="4"/>
      <c r="D263" s="4"/>
      <c r="E263" s="4"/>
      <c r="F263" s="29">
        <f>F264</f>
        <v>5478597</v>
      </c>
      <c r="G263" s="29"/>
    </row>
    <row r="264" spans="1:7" ht="63">
      <c r="A264" s="3" t="s">
        <v>525</v>
      </c>
      <c r="B264" s="4" t="s">
        <v>646</v>
      </c>
      <c r="C264" s="4" t="s">
        <v>609</v>
      </c>
      <c r="D264" s="4"/>
      <c r="E264" s="4"/>
      <c r="F264" s="29">
        <f>F265</f>
        <v>5478597</v>
      </c>
      <c r="G264" s="29"/>
    </row>
    <row r="265" spans="1:7" ht="31.5">
      <c r="A265" s="3" t="s">
        <v>51</v>
      </c>
      <c r="B265" s="4" t="s">
        <v>646</v>
      </c>
      <c r="C265" s="4" t="s">
        <v>609</v>
      </c>
      <c r="D265" s="4" t="s">
        <v>43</v>
      </c>
      <c r="E265" s="4"/>
      <c r="F265" s="29">
        <f>F266</f>
        <v>5478597</v>
      </c>
      <c r="G265" s="29"/>
    </row>
    <row r="266" spans="1:7" ht="31.5">
      <c r="A266" s="3" t="s">
        <v>736</v>
      </c>
      <c r="B266" s="4" t="s">
        <v>646</v>
      </c>
      <c r="C266" s="4" t="s">
        <v>609</v>
      </c>
      <c r="D266" s="4" t="s">
        <v>43</v>
      </c>
      <c r="E266" s="4" t="s">
        <v>46</v>
      </c>
      <c r="F266" s="29">
        <f>прил6!F641</f>
        <v>5478597</v>
      </c>
      <c r="G266" s="29"/>
    </row>
    <row r="267" spans="1:7" ht="47.25">
      <c r="A267" s="3" t="s">
        <v>647</v>
      </c>
      <c r="B267" s="4" t="s">
        <v>648</v>
      </c>
      <c r="C267" s="4"/>
      <c r="D267" s="4"/>
      <c r="E267" s="4"/>
      <c r="F267" s="29">
        <f>F268</f>
        <v>13137100</v>
      </c>
      <c r="G267" s="29">
        <f>F267</f>
        <v>13137100</v>
      </c>
    </row>
    <row r="268" spans="1:7" ht="47.25">
      <c r="A268" s="3" t="s">
        <v>649</v>
      </c>
      <c r="B268" s="4" t="s">
        <v>650</v>
      </c>
      <c r="C268" s="4"/>
      <c r="D268" s="4"/>
      <c r="E268" s="4"/>
      <c r="F268" s="29">
        <f>F269</f>
        <v>13137100</v>
      </c>
      <c r="G268" s="29">
        <f>F268</f>
        <v>13137100</v>
      </c>
    </row>
    <row r="269" spans="1:7" ht="63">
      <c r="A269" s="3" t="s">
        <v>525</v>
      </c>
      <c r="B269" s="4" t="s">
        <v>650</v>
      </c>
      <c r="C269" s="4" t="s">
        <v>609</v>
      </c>
      <c r="D269" s="4"/>
      <c r="E269" s="4"/>
      <c r="F269" s="29">
        <f>F270</f>
        <v>13137100</v>
      </c>
      <c r="G269" s="29">
        <f>F269</f>
        <v>13137100</v>
      </c>
    </row>
    <row r="270" spans="1:7" ht="31.5">
      <c r="A270" s="3" t="s">
        <v>51</v>
      </c>
      <c r="B270" s="4" t="s">
        <v>650</v>
      </c>
      <c r="C270" s="4" t="s">
        <v>609</v>
      </c>
      <c r="D270" s="4" t="s">
        <v>43</v>
      </c>
      <c r="E270" s="4"/>
      <c r="F270" s="29">
        <f>F271</f>
        <v>13137100</v>
      </c>
      <c r="G270" s="29">
        <f>F270</f>
        <v>13137100</v>
      </c>
    </row>
    <row r="271" spans="1:7" ht="31.5">
      <c r="A271" s="3" t="s">
        <v>736</v>
      </c>
      <c r="B271" s="4" t="s">
        <v>650</v>
      </c>
      <c r="C271" s="4" t="s">
        <v>609</v>
      </c>
      <c r="D271" s="4" t="s">
        <v>43</v>
      </c>
      <c r="E271" s="4" t="s">
        <v>46</v>
      </c>
      <c r="F271" s="29">
        <f>прил6!F644</f>
        <v>13137100</v>
      </c>
      <c r="G271" s="29">
        <f>F271</f>
        <v>13137100</v>
      </c>
    </row>
    <row r="272" spans="1:7" ht="47.25">
      <c r="A272" s="3" t="s">
        <v>651</v>
      </c>
      <c r="B272" s="4" t="s">
        <v>652</v>
      </c>
      <c r="C272" s="4"/>
      <c r="D272" s="4"/>
      <c r="E272" s="4"/>
      <c r="F272" s="29">
        <f>F273</f>
        <v>295072.76</v>
      </c>
      <c r="G272" s="29"/>
    </row>
    <row r="273" spans="1:7" ht="94.5">
      <c r="A273" s="3" t="s">
        <v>749</v>
      </c>
      <c r="B273" s="4" t="s">
        <v>653</v>
      </c>
      <c r="C273" s="4"/>
      <c r="D273" s="4"/>
      <c r="E273" s="4"/>
      <c r="F273" s="29">
        <f>F274</f>
        <v>295072.76</v>
      </c>
      <c r="G273" s="29"/>
    </row>
    <row r="274" spans="1:7" ht="63">
      <c r="A274" s="3" t="s">
        <v>525</v>
      </c>
      <c r="B274" s="4" t="s">
        <v>653</v>
      </c>
      <c r="C274" s="4" t="s">
        <v>609</v>
      </c>
      <c r="D274" s="4"/>
      <c r="E274" s="4"/>
      <c r="F274" s="29">
        <f>F275</f>
        <v>295072.76</v>
      </c>
      <c r="G274" s="29"/>
    </row>
    <row r="275" spans="1:7" ht="31.5">
      <c r="A275" s="3" t="s">
        <v>51</v>
      </c>
      <c r="B275" s="4" t="s">
        <v>653</v>
      </c>
      <c r="C275" s="4" t="s">
        <v>609</v>
      </c>
      <c r="D275" s="4" t="s">
        <v>43</v>
      </c>
      <c r="E275" s="4"/>
      <c r="F275" s="29">
        <f>F276</f>
        <v>295072.76</v>
      </c>
      <c r="G275" s="29"/>
    </row>
    <row r="276" spans="1:7" ht="31.5">
      <c r="A276" s="3" t="s">
        <v>736</v>
      </c>
      <c r="B276" s="4" t="s">
        <v>653</v>
      </c>
      <c r="C276" s="4" t="s">
        <v>609</v>
      </c>
      <c r="D276" s="4" t="s">
        <v>43</v>
      </c>
      <c r="E276" s="4" t="s">
        <v>46</v>
      </c>
      <c r="F276" s="29">
        <f>прил6!F647</f>
        <v>295072.76</v>
      </c>
      <c r="G276" s="29"/>
    </row>
    <row r="277" spans="1:7" ht="63">
      <c r="A277" s="3" t="s">
        <v>752</v>
      </c>
      <c r="B277" s="4" t="s">
        <v>932</v>
      </c>
      <c r="C277" s="4"/>
      <c r="D277" s="4"/>
      <c r="E277" s="4"/>
      <c r="F277" s="29">
        <f>F278+F283</f>
        <v>12187134.1</v>
      </c>
      <c r="G277" s="29">
        <f>G278+G283</f>
        <v>3124600</v>
      </c>
    </row>
    <row r="278" spans="1:7" ht="47.25">
      <c r="A278" s="3" t="s">
        <v>933</v>
      </c>
      <c r="B278" s="4" t="s">
        <v>934</v>
      </c>
      <c r="C278" s="4"/>
      <c r="D278" s="4"/>
      <c r="E278" s="4"/>
      <c r="F278" s="29">
        <f>F279</f>
        <v>7038601.3</v>
      </c>
      <c r="G278" s="29"/>
    </row>
    <row r="279" spans="1:7" ht="31.5">
      <c r="A279" s="3" t="s">
        <v>523</v>
      </c>
      <c r="B279" s="4" t="s">
        <v>935</v>
      </c>
      <c r="C279" s="4"/>
      <c r="D279" s="4"/>
      <c r="E279" s="4"/>
      <c r="F279" s="29">
        <f>F280</f>
        <v>7038601.3</v>
      </c>
      <c r="G279" s="29"/>
    </row>
    <row r="280" spans="1:7" ht="63">
      <c r="A280" s="3" t="s">
        <v>525</v>
      </c>
      <c r="B280" s="4" t="s">
        <v>935</v>
      </c>
      <c r="C280" s="4" t="s">
        <v>609</v>
      </c>
      <c r="D280" s="4"/>
      <c r="E280" s="4"/>
      <c r="F280" s="29">
        <f>F281</f>
        <v>7038601.3</v>
      </c>
      <c r="G280" s="29"/>
    </row>
    <row r="281" spans="1:7" ht="31.5">
      <c r="A281" s="3" t="s">
        <v>51</v>
      </c>
      <c r="B281" s="4" t="s">
        <v>935</v>
      </c>
      <c r="C281" s="4" t="s">
        <v>609</v>
      </c>
      <c r="D281" s="4" t="s">
        <v>43</v>
      </c>
      <c r="E281" s="4"/>
      <c r="F281" s="29">
        <f>F282</f>
        <v>7038601.3</v>
      </c>
      <c r="G281" s="29"/>
    </row>
    <row r="282" spans="1:7" ht="31.5">
      <c r="A282" s="3" t="s">
        <v>6</v>
      </c>
      <c r="B282" s="4" t="s">
        <v>935</v>
      </c>
      <c r="C282" s="4" t="s">
        <v>609</v>
      </c>
      <c r="D282" s="4" t="s">
        <v>43</v>
      </c>
      <c r="E282" s="4" t="s">
        <v>43</v>
      </c>
      <c r="F282" s="29">
        <f>прил6!F588</f>
        <v>7038601.3</v>
      </c>
      <c r="G282" s="29"/>
    </row>
    <row r="283" spans="1:7" ht="63">
      <c r="A283" s="3" t="s">
        <v>936</v>
      </c>
      <c r="B283" s="4" t="s">
        <v>937</v>
      </c>
      <c r="C283" s="4"/>
      <c r="D283" s="4"/>
      <c r="E283" s="4"/>
      <c r="F283" s="29">
        <f>F284+F288</f>
        <v>5148532.8</v>
      </c>
      <c r="G283" s="29">
        <f>G284+G288</f>
        <v>3124600</v>
      </c>
    </row>
    <row r="284" spans="1:7" ht="94.5">
      <c r="A284" s="3" t="s">
        <v>938</v>
      </c>
      <c r="B284" s="4" t="s">
        <v>939</v>
      </c>
      <c r="C284" s="4"/>
      <c r="D284" s="4"/>
      <c r="E284" s="4"/>
      <c r="F284" s="29">
        <f>F285</f>
        <v>3124600</v>
      </c>
      <c r="G284" s="29">
        <f>F284</f>
        <v>3124600</v>
      </c>
    </row>
    <row r="285" spans="1:7" ht="63">
      <c r="A285" s="3" t="s">
        <v>525</v>
      </c>
      <c r="B285" s="4" t="s">
        <v>939</v>
      </c>
      <c r="C285" s="4" t="s">
        <v>609</v>
      </c>
      <c r="D285" s="4"/>
      <c r="E285" s="4"/>
      <c r="F285" s="29">
        <f>F286</f>
        <v>3124600</v>
      </c>
      <c r="G285" s="29">
        <f>F285</f>
        <v>3124600</v>
      </c>
    </row>
    <row r="286" spans="1:7" ht="31.5">
      <c r="A286" s="3" t="s">
        <v>51</v>
      </c>
      <c r="B286" s="4" t="s">
        <v>939</v>
      </c>
      <c r="C286" s="4" t="s">
        <v>609</v>
      </c>
      <c r="D286" s="4" t="s">
        <v>43</v>
      </c>
      <c r="E286" s="4"/>
      <c r="F286" s="29">
        <f>F287</f>
        <v>3124600</v>
      </c>
      <c r="G286" s="29">
        <f>F286</f>
        <v>3124600</v>
      </c>
    </row>
    <row r="287" spans="1:7" ht="31.5">
      <c r="A287" s="3" t="s">
        <v>6</v>
      </c>
      <c r="B287" s="4" t="s">
        <v>939</v>
      </c>
      <c r="C287" s="4" t="s">
        <v>609</v>
      </c>
      <c r="D287" s="4" t="s">
        <v>43</v>
      </c>
      <c r="E287" s="4" t="s">
        <v>43</v>
      </c>
      <c r="F287" s="29">
        <f>прил6!F591</f>
        <v>3124600</v>
      </c>
      <c r="G287" s="29">
        <f>F287</f>
        <v>3124600</v>
      </c>
    </row>
    <row r="288" spans="1:7" ht="94.5">
      <c r="A288" s="3" t="s">
        <v>938</v>
      </c>
      <c r="B288" s="4" t="s">
        <v>940</v>
      </c>
      <c r="C288" s="4"/>
      <c r="D288" s="4"/>
      <c r="E288" s="4"/>
      <c r="F288" s="29">
        <f>F289</f>
        <v>2023932.8</v>
      </c>
      <c r="G288" s="29"/>
    </row>
    <row r="289" spans="1:7" ht="63">
      <c r="A289" s="3" t="s">
        <v>525</v>
      </c>
      <c r="B289" s="4" t="s">
        <v>940</v>
      </c>
      <c r="C289" s="4" t="s">
        <v>609</v>
      </c>
      <c r="D289" s="4"/>
      <c r="E289" s="4"/>
      <c r="F289" s="29">
        <f>F290</f>
        <v>2023932.8</v>
      </c>
      <c r="G289" s="29"/>
    </row>
    <row r="290" spans="1:7" ht="31.5">
      <c r="A290" s="3" t="s">
        <v>51</v>
      </c>
      <c r="B290" s="4" t="s">
        <v>940</v>
      </c>
      <c r="C290" s="4" t="s">
        <v>609</v>
      </c>
      <c r="D290" s="4" t="s">
        <v>43</v>
      </c>
      <c r="E290" s="4"/>
      <c r="F290" s="29">
        <f>F291</f>
        <v>2023932.8</v>
      </c>
      <c r="G290" s="29"/>
    </row>
    <row r="291" spans="1:7" ht="31.5">
      <c r="A291" s="3" t="s">
        <v>6</v>
      </c>
      <c r="B291" s="4" t="s">
        <v>940</v>
      </c>
      <c r="C291" s="4" t="s">
        <v>609</v>
      </c>
      <c r="D291" s="4" t="s">
        <v>43</v>
      </c>
      <c r="E291" s="4" t="s">
        <v>43</v>
      </c>
      <c r="F291" s="29">
        <f>прил6!F593</f>
        <v>2023932.8</v>
      </c>
      <c r="G291" s="29"/>
    </row>
    <row r="292" spans="1:7" ht="63">
      <c r="A292" s="3" t="s">
        <v>4</v>
      </c>
      <c r="B292" s="4" t="s">
        <v>553</v>
      </c>
      <c r="C292" s="4"/>
      <c r="D292" s="4"/>
      <c r="E292" s="4"/>
      <c r="F292" s="29">
        <f>F307+F317+F293+F302+F327</f>
        <v>60473754.82</v>
      </c>
      <c r="G292" s="29"/>
    </row>
    <row r="293" spans="1:7" ht="31.5">
      <c r="A293" s="3" t="s">
        <v>922</v>
      </c>
      <c r="B293" s="4" t="s">
        <v>923</v>
      </c>
      <c r="C293" s="4"/>
      <c r="D293" s="4"/>
      <c r="E293" s="4"/>
      <c r="F293" s="29">
        <f>F298+F294</f>
        <v>41079010.14</v>
      </c>
      <c r="G293" s="29"/>
    </row>
    <row r="294" spans="1:7" ht="31.5">
      <c r="A294" s="3" t="s">
        <v>523</v>
      </c>
      <c r="B294" s="4" t="s">
        <v>1079</v>
      </c>
      <c r="C294" s="4"/>
      <c r="D294" s="4"/>
      <c r="E294" s="4"/>
      <c r="F294" s="29">
        <f>F295</f>
        <v>6300010.14</v>
      </c>
      <c r="G294" s="29"/>
    </row>
    <row r="295" spans="1:7" ht="47.25">
      <c r="A295" s="3" t="s">
        <v>701</v>
      </c>
      <c r="B295" s="4" t="s">
        <v>1079</v>
      </c>
      <c r="C295" s="4" t="s">
        <v>605</v>
      </c>
      <c r="D295" s="4"/>
      <c r="E295" s="4"/>
      <c r="F295" s="29">
        <f>F296</f>
        <v>6300010.14</v>
      </c>
      <c r="G295" s="29"/>
    </row>
    <row r="296" spans="1:7" ht="31.5">
      <c r="A296" s="3" t="s">
        <v>51</v>
      </c>
      <c r="B296" s="4" t="s">
        <v>1079</v>
      </c>
      <c r="C296" s="4" t="s">
        <v>605</v>
      </c>
      <c r="D296" s="4" t="s">
        <v>43</v>
      </c>
      <c r="E296" s="4"/>
      <c r="F296" s="29">
        <f>F297</f>
        <v>6300010.14</v>
      </c>
      <c r="G296" s="29"/>
    </row>
    <row r="297" spans="1:7" ht="31.5">
      <c r="A297" s="3" t="s">
        <v>52</v>
      </c>
      <c r="B297" s="4" t="s">
        <v>1079</v>
      </c>
      <c r="C297" s="4" t="s">
        <v>605</v>
      </c>
      <c r="D297" s="4" t="s">
        <v>43</v>
      </c>
      <c r="E297" s="4" t="s">
        <v>917</v>
      </c>
      <c r="F297" s="29">
        <f>прил6!F508</f>
        <v>6300010.14</v>
      </c>
      <c r="G297" s="29"/>
    </row>
    <row r="298" spans="1:7" ht="63">
      <c r="A298" s="3" t="s">
        <v>753</v>
      </c>
      <c r="B298" s="4" t="s">
        <v>924</v>
      </c>
      <c r="C298" s="4"/>
      <c r="D298" s="4"/>
      <c r="E298" s="4"/>
      <c r="F298" s="29">
        <f>F299</f>
        <v>34779000</v>
      </c>
      <c r="G298" s="29"/>
    </row>
    <row r="299" spans="1:7" ht="47.25">
      <c r="A299" s="3" t="s">
        <v>676</v>
      </c>
      <c r="B299" s="4" t="s">
        <v>924</v>
      </c>
      <c r="C299" s="4" t="s">
        <v>447</v>
      </c>
      <c r="D299" s="4"/>
      <c r="E299" s="4"/>
      <c r="F299" s="29">
        <f>F300</f>
        <v>34779000</v>
      </c>
      <c r="G299" s="29"/>
    </row>
    <row r="300" spans="1:7" ht="31.5">
      <c r="A300" s="3" t="s">
        <v>51</v>
      </c>
      <c r="B300" s="4" t="s">
        <v>924</v>
      </c>
      <c r="C300" s="4" t="s">
        <v>447</v>
      </c>
      <c r="D300" s="4" t="s">
        <v>43</v>
      </c>
      <c r="E300" s="4"/>
      <c r="F300" s="29">
        <f>F301</f>
        <v>34779000</v>
      </c>
      <c r="G300" s="29"/>
    </row>
    <row r="301" spans="1:7" ht="31.5">
      <c r="A301" s="3" t="s">
        <v>52</v>
      </c>
      <c r="B301" s="4" t="s">
        <v>924</v>
      </c>
      <c r="C301" s="4" t="s">
        <v>447</v>
      </c>
      <c r="D301" s="4" t="s">
        <v>43</v>
      </c>
      <c r="E301" s="4" t="s">
        <v>917</v>
      </c>
      <c r="F301" s="29">
        <f>прил6!F510</f>
        <v>34779000</v>
      </c>
      <c r="G301" s="29"/>
    </row>
    <row r="302" spans="1:7" ht="31.5">
      <c r="A302" s="3" t="s">
        <v>275</v>
      </c>
      <c r="B302" s="4" t="s">
        <v>276</v>
      </c>
      <c r="C302" s="4"/>
      <c r="D302" s="4"/>
      <c r="E302" s="4"/>
      <c r="F302" s="29">
        <f>F303</f>
        <v>2702387.68</v>
      </c>
      <c r="G302" s="29"/>
    </row>
    <row r="303" spans="1:7" ht="63">
      <c r="A303" s="3" t="s">
        <v>753</v>
      </c>
      <c r="B303" s="4" t="s">
        <v>277</v>
      </c>
      <c r="C303" s="4"/>
      <c r="D303" s="4"/>
      <c r="E303" s="4"/>
      <c r="F303" s="29">
        <f>F304</f>
        <v>2702387.68</v>
      </c>
      <c r="G303" s="29"/>
    </row>
    <row r="304" spans="1:7" ht="47.25">
      <c r="A304" s="3" t="s">
        <v>676</v>
      </c>
      <c r="B304" s="4" t="s">
        <v>277</v>
      </c>
      <c r="C304" s="4" t="s">
        <v>447</v>
      </c>
      <c r="D304" s="4"/>
      <c r="E304" s="4"/>
      <c r="F304" s="29">
        <f>F305</f>
        <v>2702387.68</v>
      </c>
      <c r="G304" s="29"/>
    </row>
    <row r="305" spans="1:7" ht="31.5">
      <c r="A305" s="3" t="s">
        <v>51</v>
      </c>
      <c r="B305" s="4" t="s">
        <v>277</v>
      </c>
      <c r="C305" s="4" t="s">
        <v>447</v>
      </c>
      <c r="D305" s="4" t="s">
        <v>43</v>
      </c>
      <c r="E305" s="4"/>
      <c r="F305" s="29">
        <f>F306</f>
        <v>2702387.68</v>
      </c>
      <c r="G305" s="29"/>
    </row>
    <row r="306" spans="1:7" ht="31.5">
      <c r="A306" s="3" t="s">
        <v>53</v>
      </c>
      <c r="B306" s="4" t="s">
        <v>277</v>
      </c>
      <c r="C306" s="4" t="s">
        <v>447</v>
      </c>
      <c r="D306" s="4" t="s">
        <v>43</v>
      </c>
      <c r="E306" s="4" t="s">
        <v>45</v>
      </c>
      <c r="F306" s="29">
        <f>прил6!F559</f>
        <v>2702387.68</v>
      </c>
      <c r="G306" s="29"/>
    </row>
    <row r="307" spans="1:7" ht="63">
      <c r="A307" s="3" t="s">
        <v>554</v>
      </c>
      <c r="B307" s="4" t="s">
        <v>555</v>
      </c>
      <c r="C307" s="4"/>
      <c r="D307" s="4"/>
      <c r="E307" s="4"/>
      <c r="F307" s="29">
        <f>F308+F313</f>
        <v>9242476.52</v>
      </c>
      <c r="G307" s="29"/>
    </row>
    <row r="308" spans="1:7" ht="47.25">
      <c r="A308" s="3" t="s">
        <v>756</v>
      </c>
      <c r="B308" s="4" t="s">
        <v>556</v>
      </c>
      <c r="C308" s="4"/>
      <c r="D308" s="4"/>
      <c r="E308" s="4"/>
      <c r="F308" s="29">
        <f>F309</f>
        <v>8256908.859999999</v>
      </c>
      <c r="G308" s="33"/>
    </row>
    <row r="309" spans="1:7" ht="49.5" customHeight="1">
      <c r="A309" s="3" t="s">
        <v>701</v>
      </c>
      <c r="B309" s="4" t="s">
        <v>556</v>
      </c>
      <c r="C309" s="4" t="s">
        <v>605</v>
      </c>
      <c r="D309" s="4"/>
      <c r="E309" s="4"/>
      <c r="F309" s="29">
        <f>F310</f>
        <v>8256908.859999999</v>
      </c>
      <c r="G309" s="29"/>
    </row>
    <row r="310" spans="1:7" ht="31.5">
      <c r="A310" s="3" t="s">
        <v>51</v>
      </c>
      <c r="B310" s="4" t="s">
        <v>556</v>
      </c>
      <c r="C310" s="4" t="s">
        <v>605</v>
      </c>
      <c r="D310" s="4" t="s">
        <v>43</v>
      </c>
      <c r="E310" s="4"/>
      <c r="F310" s="29">
        <f>F311+F312</f>
        <v>8256908.859999999</v>
      </c>
      <c r="G310" s="29"/>
    </row>
    <row r="311" spans="1:7" ht="31.5">
      <c r="A311" s="3" t="s">
        <v>52</v>
      </c>
      <c r="B311" s="4" t="s">
        <v>556</v>
      </c>
      <c r="C311" s="4" t="s">
        <v>605</v>
      </c>
      <c r="D311" s="4" t="s">
        <v>43</v>
      </c>
      <c r="E311" s="4" t="s">
        <v>917</v>
      </c>
      <c r="F311" s="29">
        <f>прил6!F513</f>
        <v>778540</v>
      </c>
      <c r="G311" s="29"/>
    </row>
    <row r="312" spans="1:7" ht="31.5">
      <c r="A312" s="3" t="s">
        <v>53</v>
      </c>
      <c r="B312" s="4" t="s">
        <v>556</v>
      </c>
      <c r="C312" s="4" t="s">
        <v>605</v>
      </c>
      <c r="D312" s="4" t="s">
        <v>43</v>
      </c>
      <c r="E312" s="4" t="s">
        <v>45</v>
      </c>
      <c r="F312" s="29">
        <f>прил6!F562</f>
        <v>7478368.859999999</v>
      </c>
      <c r="G312" s="29"/>
    </row>
    <row r="313" spans="1:7" ht="31.5">
      <c r="A313" s="3" t="s">
        <v>523</v>
      </c>
      <c r="B313" s="4" t="s">
        <v>1086</v>
      </c>
      <c r="C313" s="4"/>
      <c r="D313" s="4"/>
      <c r="E313" s="4"/>
      <c r="F313" s="29">
        <f>F314</f>
        <v>985567.66</v>
      </c>
      <c r="G313" s="29"/>
    </row>
    <row r="314" spans="1:7" ht="47.25">
      <c r="A314" s="3" t="s">
        <v>701</v>
      </c>
      <c r="B314" s="4" t="s">
        <v>1086</v>
      </c>
      <c r="C314" s="4" t="s">
        <v>605</v>
      </c>
      <c r="D314" s="4"/>
      <c r="E314" s="4"/>
      <c r="F314" s="29">
        <f>F315</f>
        <v>985567.66</v>
      </c>
      <c r="G314" s="29"/>
    </row>
    <row r="315" spans="1:7" ht="31.5">
      <c r="A315" s="3" t="s">
        <v>51</v>
      </c>
      <c r="B315" s="4" t="s">
        <v>1086</v>
      </c>
      <c r="C315" s="4" t="s">
        <v>605</v>
      </c>
      <c r="D315" s="4" t="s">
        <v>43</v>
      </c>
      <c r="E315" s="4"/>
      <c r="F315" s="29">
        <f>F316</f>
        <v>985567.66</v>
      </c>
      <c r="G315" s="29"/>
    </row>
    <row r="316" spans="1:7" ht="31.5">
      <c r="A316" s="3" t="s">
        <v>53</v>
      </c>
      <c r="B316" s="4" t="s">
        <v>1086</v>
      </c>
      <c r="C316" s="4" t="s">
        <v>605</v>
      </c>
      <c r="D316" s="4" t="s">
        <v>43</v>
      </c>
      <c r="E316" s="4" t="s">
        <v>45</v>
      </c>
      <c r="F316" s="29">
        <f>прил6!F564</f>
        <v>985567.66</v>
      </c>
      <c r="G316" s="29"/>
    </row>
    <row r="317" spans="1:7" ht="63">
      <c r="A317" s="3" t="s">
        <v>557</v>
      </c>
      <c r="B317" s="4" t="s">
        <v>558</v>
      </c>
      <c r="C317" s="4"/>
      <c r="D317" s="4"/>
      <c r="E317" s="4"/>
      <c r="F317" s="29">
        <f>F318+F323</f>
        <v>6240298.52</v>
      </c>
      <c r="G317" s="29"/>
    </row>
    <row r="318" spans="1:7" ht="47.25">
      <c r="A318" s="3" t="s">
        <v>756</v>
      </c>
      <c r="B318" s="4" t="s">
        <v>559</v>
      </c>
      <c r="C318" s="4"/>
      <c r="D318" s="4"/>
      <c r="E318" s="4"/>
      <c r="F318" s="29">
        <f>F319</f>
        <v>5182495.779999999</v>
      </c>
      <c r="G318" s="29"/>
    </row>
    <row r="319" spans="1:7" ht="47.25">
      <c r="A319" s="3" t="s">
        <v>701</v>
      </c>
      <c r="B319" s="4" t="s">
        <v>559</v>
      </c>
      <c r="C319" s="4" t="s">
        <v>605</v>
      </c>
      <c r="D319" s="4"/>
      <c r="E319" s="4"/>
      <c r="F319" s="29">
        <f>F320</f>
        <v>5182495.779999999</v>
      </c>
      <c r="G319" s="29"/>
    </row>
    <row r="320" spans="1:7" ht="31.5">
      <c r="A320" s="3" t="s">
        <v>51</v>
      </c>
      <c r="B320" s="4" t="s">
        <v>559</v>
      </c>
      <c r="C320" s="4" t="s">
        <v>605</v>
      </c>
      <c r="D320" s="4" t="s">
        <v>43</v>
      </c>
      <c r="E320" s="4"/>
      <c r="F320" s="29">
        <f>F321+F322</f>
        <v>5182495.779999999</v>
      </c>
      <c r="G320" s="29"/>
    </row>
    <row r="321" spans="1:7" ht="31.5">
      <c r="A321" s="3" t="s">
        <v>52</v>
      </c>
      <c r="B321" s="4" t="s">
        <v>559</v>
      </c>
      <c r="C321" s="4" t="s">
        <v>605</v>
      </c>
      <c r="D321" s="4" t="s">
        <v>43</v>
      </c>
      <c r="E321" s="4" t="s">
        <v>917</v>
      </c>
      <c r="F321" s="29">
        <f>прил6!F516</f>
        <v>2498244.8</v>
      </c>
      <c r="G321" s="29"/>
    </row>
    <row r="322" spans="1:7" ht="31.5">
      <c r="A322" s="3" t="s">
        <v>53</v>
      </c>
      <c r="B322" s="4" t="s">
        <v>559</v>
      </c>
      <c r="C322" s="4" t="s">
        <v>605</v>
      </c>
      <c r="D322" s="4" t="s">
        <v>43</v>
      </c>
      <c r="E322" s="4" t="s">
        <v>45</v>
      </c>
      <c r="F322" s="29">
        <f>прил6!F567</f>
        <v>2684250.98</v>
      </c>
      <c r="G322" s="33"/>
    </row>
    <row r="323" spans="1:7" ht="31.5">
      <c r="A323" s="3" t="s">
        <v>523</v>
      </c>
      <c r="B323" s="4" t="s">
        <v>1116</v>
      </c>
      <c r="C323" s="4"/>
      <c r="D323" s="4"/>
      <c r="E323" s="4"/>
      <c r="F323" s="29">
        <f>F324</f>
        <v>1057802.74</v>
      </c>
      <c r="G323" s="33"/>
    </row>
    <row r="324" spans="1:7" ht="63">
      <c r="A324" s="3" t="s">
        <v>525</v>
      </c>
      <c r="B324" s="4" t="s">
        <v>1116</v>
      </c>
      <c r="C324" s="4" t="s">
        <v>609</v>
      </c>
      <c r="D324" s="4"/>
      <c r="E324" s="4"/>
      <c r="F324" s="29">
        <f>F325</f>
        <v>1057802.74</v>
      </c>
      <c r="G324" s="33"/>
    </row>
    <row r="325" spans="1:7" ht="31.5">
      <c r="A325" s="3" t="s">
        <v>51</v>
      </c>
      <c r="B325" s="4" t="s">
        <v>1116</v>
      </c>
      <c r="C325" s="4" t="s">
        <v>609</v>
      </c>
      <c r="D325" s="4" t="s">
        <v>43</v>
      </c>
      <c r="E325" s="4"/>
      <c r="F325" s="29">
        <f>F326</f>
        <v>1057802.74</v>
      </c>
      <c r="G325" s="33"/>
    </row>
    <row r="326" spans="1:7" ht="31.5">
      <c r="A326" s="3" t="s">
        <v>52</v>
      </c>
      <c r="B326" s="4" t="s">
        <v>1116</v>
      </c>
      <c r="C326" s="4" t="s">
        <v>609</v>
      </c>
      <c r="D326" s="4" t="s">
        <v>43</v>
      </c>
      <c r="E326" s="4" t="s">
        <v>917</v>
      </c>
      <c r="F326" s="29">
        <f>прил6!F518</f>
        <v>1057802.74</v>
      </c>
      <c r="G326" s="33"/>
    </row>
    <row r="327" spans="1:7" ht="63">
      <c r="A327" s="3" t="s">
        <v>1095</v>
      </c>
      <c r="B327" s="4" t="s">
        <v>1096</v>
      </c>
      <c r="C327" s="4"/>
      <c r="D327" s="4"/>
      <c r="E327" s="4"/>
      <c r="F327" s="29">
        <f>F328</f>
        <v>1209581.96</v>
      </c>
      <c r="G327" s="29"/>
    </row>
    <row r="328" spans="1:7" ht="47.25">
      <c r="A328" s="3" t="s">
        <v>756</v>
      </c>
      <c r="B328" s="4" t="s">
        <v>1097</v>
      </c>
      <c r="C328" s="4"/>
      <c r="D328" s="4"/>
      <c r="E328" s="4"/>
      <c r="F328" s="29">
        <f>F329</f>
        <v>1209581.96</v>
      </c>
      <c r="G328" s="29"/>
    </row>
    <row r="329" spans="1:7" ht="54" customHeight="1">
      <c r="A329" s="3" t="s">
        <v>701</v>
      </c>
      <c r="B329" s="4" t="s">
        <v>1097</v>
      </c>
      <c r="C329" s="4" t="s">
        <v>605</v>
      </c>
      <c r="D329" s="4"/>
      <c r="E329" s="4"/>
      <c r="F329" s="29">
        <f>F330</f>
        <v>1209581.96</v>
      </c>
      <c r="G329" s="29"/>
    </row>
    <row r="330" spans="1:7" ht="31.5">
      <c r="A330" s="3" t="s">
        <v>51</v>
      </c>
      <c r="B330" s="4" t="s">
        <v>1097</v>
      </c>
      <c r="C330" s="4" t="s">
        <v>605</v>
      </c>
      <c r="D330" s="4" t="s">
        <v>43</v>
      </c>
      <c r="E330" s="4"/>
      <c r="F330" s="29">
        <f>F331</f>
        <v>1209581.96</v>
      </c>
      <c r="G330" s="29"/>
    </row>
    <row r="331" spans="1:7" ht="31.5">
      <c r="A331" s="3" t="s">
        <v>53</v>
      </c>
      <c r="B331" s="4" t="s">
        <v>1097</v>
      </c>
      <c r="C331" s="4" t="s">
        <v>605</v>
      </c>
      <c r="D331" s="4" t="s">
        <v>43</v>
      </c>
      <c r="E331" s="4" t="s">
        <v>45</v>
      </c>
      <c r="F331" s="29">
        <f>прил6!F570</f>
        <v>1209581.96</v>
      </c>
      <c r="G331" s="29"/>
    </row>
    <row r="332" spans="1:7" ht="78.75">
      <c r="A332" s="1" t="s">
        <v>105</v>
      </c>
      <c r="B332" s="2" t="s">
        <v>724</v>
      </c>
      <c r="C332" s="2"/>
      <c r="D332" s="2"/>
      <c r="E332" s="2"/>
      <c r="F332" s="33">
        <f>F333+F342+F350+F355</f>
        <v>2539912.09</v>
      </c>
      <c r="G332" s="33">
        <f>G333</f>
        <v>158000</v>
      </c>
    </row>
    <row r="333" spans="1:7" ht="94.5">
      <c r="A333" s="3" t="s">
        <v>73</v>
      </c>
      <c r="B333" s="4" t="s">
        <v>74</v>
      </c>
      <c r="C333" s="4"/>
      <c r="D333" s="4"/>
      <c r="E333" s="4"/>
      <c r="F333" s="29">
        <f>F334+F338</f>
        <v>672638</v>
      </c>
      <c r="G333" s="29">
        <f>G334</f>
        <v>158000</v>
      </c>
    </row>
    <row r="334" spans="1:7" ht="63">
      <c r="A334" s="3" t="s">
        <v>1159</v>
      </c>
      <c r="B334" s="4" t="s">
        <v>1161</v>
      </c>
      <c r="C334" s="4"/>
      <c r="D334" s="4"/>
      <c r="E334" s="4"/>
      <c r="F334" s="29">
        <f>F335</f>
        <v>158000</v>
      </c>
      <c r="G334" s="29">
        <f>G335</f>
        <v>158000</v>
      </c>
    </row>
    <row r="335" spans="1:7" ht="63">
      <c r="A335" s="3" t="s">
        <v>525</v>
      </c>
      <c r="B335" s="4" t="s">
        <v>1161</v>
      </c>
      <c r="C335" s="4" t="s">
        <v>609</v>
      </c>
      <c r="D335" s="4"/>
      <c r="E335" s="4"/>
      <c r="F335" s="29">
        <f>F336</f>
        <v>158000</v>
      </c>
      <c r="G335" s="29">
        <f>G336</f>
        <v>158000</v>
      </c>
    </row>
    <row r="336" spans="1:7" ht="31.5">
      <c r="A336" s="3" t="s">
        <v>606</v>
      </c>
      <c r="B336" s="4" t="s">
        <v>1161</v>
      </c>
      <c r="C336" s="4" t="s">
        <v>609</v>
      </c>
      <c r="D336" s="4" t="s">
        <v>44</v>
      </c>
      <c r="E336" s="4"/>
      <c r="F336" s="29">
        <f>F337</f>
        <v>158000</v>
      </c>
      <c r="G336" s="29">
        <f>G337</f>
        <v>158000</v>
      </c>
    </row>
    <row r="337" spans="1:7" ht="31.5">
      <c r="A337" s="3" t="s">
        <v>737</v>
      </c>
      <c r="B337" s="4" t="s">
        <v>1161</v>
      </c>
      <c r="C337" s="4" t="s">
        <v>609</v>
      </c>
      <c r="D337" s="4" t="s">
        <v>44</v>
      </c>
      <c r="E337" s="4" t="s">
        <v>917</v>
      </c>
      <c r="F337" s="29">
        <f>прил6!F653</f>
        <v>158000</v>
      </c>
      <c r="G337" s="29">
        <f>F337</f>
        <v>158000</v>
      </c>
    </row>
    <row r="338" spans="1:7" ht="63">
      <c r="A338" s="3" t="s">
        <v>1159</v>
      </c>
      <c r="B338" s="4" t="s">
        <v>1160</v>
      </c>
      <c r="C338" s="4"/>
      <c r="D338" s="4"/>
      <c r="E338" s="4"/>
      <c r="F338" s="29">
        <f>F339</f>
        <v>514638</v>
      </c>
      <c r="G338" s="29"/>
    </row>
    <row r="339" spans="1:7" ht="63">
      <c r="A339" s="3" t="s">
        <v>525</v>
      </c>
      <c r="B339" s="4" t="s">
        <v>1160</v>
      </c>
      <c r="C339" s="4" t="s">
        <v>609</v>
      </c>
      <c r="D339" s="4"/>
      <c r="E339" s="4"/>
      <c r="F339" s="29">
        <f>F340</f>
        <v>514638</v>
      </c>
      <c r="G339" s="29"/>
    </row>
    <row r="340" spans="1:7" ht="31.5">
      <c r="A340" s="3" t="s">
        <v>606</v>
      </c>
      <c r="B340" s="4" t="s">
        <v>1160</v>
      </c>
      <c r="C340" s="4" t="s">
        <v>609</v>
      </c>
      <c r="D340" s="4" t="s">
        <v>44</v>
      </c>
      <c r="E340" s="4"/>
      <c r="F340" s="29">
        <f>F341</f>
        <v>514638</v>
      </c>
      <c r="G340" s="29"/>
    </row>
    <row r="341" spans="1:7" ht="31.5">
      <c r="A341" s="3" t="s">
        <v>737</v>
      </c>
      <c r="B341" s="4" t="s">
        <v>1160</v>
      </c>
      <c r="C341" s="4" t="s">
        <v>609</v>
      </c>
      <c r="D341" s="4" t="s">
        <v>44</v>
      </c>
      <c r="E341" s="4" t="s">
        <v>917</v>
      </c>
      <c r="F341" s="29">
        <f>прил6!F655</f>
        <v>514638</v>
      </c>
      <c r="G341" s="29"/>
    </row>
    <row r="342" spans="1:7" ht="47.25">
      <c r="A342" s="3" t="s">
        <v>204</v>
      </c>
      <c r="B342" s="4" t="s">
        <v>205</v>
      </c>
      <c r="C342" s="4"/>
      <c r="D342" s="4"/>
      <c r="E342" s="4"/>
      <c r="F342" s="29">
        <f>F343</f>
        <v>1163000</v>
      </c>
      <c r="G342" s="29"/>
    </row>
    <row r="343" spans="1:7" ht="31.5">
      <c r="A343" s="3" t="s">
        <v>523</v>
      </c>
      <c r="B343" s="4" t="s">
        <v>206</v>
      </c>
      <c r="C343" s="4"/>
      <c r="D343" s="4"/>
      <c r="E343" s="4"/>
      <c r="F343" s="29">
        <f>F344+F347</f>
        <v>1163000</v>
      </c>
      <c r="G343" s="29"/>
    </row>
    <row r="344" spans="1:7" ht="53.25" customHeight="1">
      <c r="A344" s="3" t="s">
        <v>701</v>
      </c>
      <c r="B344" s="4" t="s">
        <v>206</v>
      </c>
      <c r="C344" s="4" t="s">
        <v>605</v>
      </c>
      <c r="D344" s="4"/>
      <c r="E344" s="4"/>
      <c r="F344" s="29">
        <f>F345</f>
        <v>57000</v>
      </c>
      <c r="G344" s="29"/>
    </row>
    <row r="345" spans="1:7" ht="31.5">
      <c r="A345" s="3" t="s">
        <v>59</v>
      </c>
      <c r="B345" s="4" t="s">
        <v>206</v>
      </c>
      <c r="C345" s="4" t="s">
        <v>605</v>
      </c>
      <c r="D345" s="4" t="s">
        <v>917</v>
      </c>
      <c r="E345" s="4"/>
      <c r="F345" s="29">
        <f>F346</f>
        <v>57000</v>
      </c>
      <c r="G345" s="29"/>
    </row>
    <row r="346" spans="1:7" ht="31.5">
      <c r="A346" s="3" t="s">
        <v>741</v>
      </c>
      <c r="B346" s="4" t="s">
        <v>206</v>
      </c>
      <c r="C346" s="4" t="s">
        <v>605</v>
      </c>
      <c r="D346" s="4" t="s">
        <v>917</v>
      </c>
      <c r="E346" s="4" t="s">
        <v>602</v>
      </c>
      <c r="F346" s="29">
        <f>прил6!F111</f>
        <v>57000</v>
      </c>
      <c r="G346" s="29"/>
    </row>
    <row r="347" spans="1:7" ht="31.5">
      <c r="A347" s="3" t="s">
        <v>565</v>
      </c>
      <c r="B347" s="4" t="s">
        <v>206</v>
      </c>
      <c r="C347" s="4" t="s">
        <v>566</v>
      </c>
      <c r="D347" s="4"/>
      <c r="E347" s="4"/>
      <c r="F347" s="29">
        <f>F348</f>
        <v>1106000</v>
      </c>
      <c r="G347" s="29"/>
    </row>
    <row r="348" spans="1:7" ht="31.5">
      <c r="A348" s="3" t="s">
        <v>59</v>
      </c>
      <c r="B348" s="4" t="s">
        <v>206</v>
      </c>
      <c r="C348" s="4" t="s">
        <v>566</v>
      </c>
      <c r="D348" s="4" t="s">
        <v>917</v>
      </c>
      <c r="E348" s="4"/>
      <c r="F348" s="29">
        <f>F349</f>
        <v>1106000</v>
      </c>
      <c r="G348" s="29"/>
    </row>
    <row r="349" spans="1:7" ht="31.5">
      <c r="A349" s="3" t="s">
        <v>741</v>
      </c>
      <c r="B349" s="4" t="s">
        <v>206</v>
      </c>
      <c r="C349" s="4" t="s">
        <v>566</v>
      </c>
      <c r="D349" s="4" t="s">
        <v>917</v>
      </c>
      <c r="E349" s="4" t="s">
        <v>602</v>
      </c>
      <c r="F349" s="29">
        <f>прил6!F112</f>
        <v>1106000</v>
      </c>
      <c r="G349" s="29"/>
    </row>
    <row r="350" spans="1:7" ht="76.5" customHeight="1">
      <c r="A350" s="3" t="s">
        <v>207</v>
      </c>
      <c r="B350" s="4" t="s">
        <v>208</v>
      </c>
      <c r="C350" s="4"/>
      <c r="D350" s="4"/>
      <c r="E350" s="4"/>
      <c r="F350" s="29">
        <f>F351</f>
        <v>300000</v>
      </c>
      <c r="G350" s="29"/>
    </row>
    <row r="351" spans="1:7" ht="47.25">
      <c r="A351" s="3" t="s">
        <v>524</v>
      </c>
      <c r="B351" s="4" t="s">
        <v>210</v>
      </c>
      <c r="C351" s="4"/>
      <c r="D351" s="4"/>
      <c r="E351" s="4"/>
      <c r="F351" s="29">
        <f>F352</f>
        <v>300000</v>
      </c>
      <c r="G351" s="29"/>
    </row>
    <row r="352" spans="1:7" ht="63">
      <c r="A352" s="3" t="s">
        <v>525</v>
      </c>
      <c r="B352" s="4" t="s">
        <v>210</v>
      </c>
      <c r="C352" s="4" t="s">
        <v>609</v>
      </c>
      <c r="D352" s="4"/>
      <c r="E352" s="4"/>
      <c r="F352" s="29">
        <f>F353</f>
        <v>300000</v>
      </c>
      <c r="G352" s="29"/>
    </row>
    <row r="353" spans="1:7" ht="31.5">
      <c r="A353" s="3" t="s">
        <v>59</v>
      </c>
      <c r="B353" s="4" t="s">
        <v>210</v>
      </c>
      <c r="C353" s="4" t="s">
        <v>609</v>
      </c>
      <c r="D353" s="4" t="s">
        <v>917</v>
      </c>
      <c r="E353" s="4"/>
      <c r="F353" s="29">
        <f>F354</f>
        <v>300000</v>
      </c>
      <c r="G353" s="29"/>
    </row>
    <row r="354" spans="1:7" ht="31.5">
      <c r="A354" s="3" t="s">
        <v>741</v>
      </c>
      <c r="B354" s="4" t="s">
        <v>210</v>
      </c>
      <c r="C354" s="4" t="s">
        <v>609</v>
      </c>
      <c r="D354" s="4" t="s">
        <v>917</v>
      </c>
      <c r="E354" s="4" t="s">
        <v>602</v>
      </c>
      <c r="F354" s="29">
        <f>прил6!F115</f>
        <v>300000</v>
      </c>
      <c r="G354" s="29"/>
    </row>
    <row r="355" spans="1:7" ht="47.25">
      <c r="A355" s="3" t="s">
        <v>627</v>
      </c>
      <c r="B355" s="4" t="s">
        <v>628</v>
      </c>
      <c r="C355" s="4"/>
      <c r="D355" s="4"/>
      <c r="E355" s="4"/>
      <c r="F355" s="29">
        <f>F356</f>
        <v>404274.08999999997</v>
      </c>
      <c r="G355" s="29"/>
    </row>
    <row r="356" spans="1:7" ht="47.25">
      <c r="A356" s="3" t="s">
        <v>756</v>
      </c>
      <c r="B356" s="4" t="s">
        <v>629</v>
      </c>
      <c r="C356" s="4"/>
      <c r="D356" s="4"/>
      <c r="E356" s="4"/>
      <c r="F356" s="29">
        <f>F357</f>
        <v>404274.08999999997</v>
      </c>
      <c r="G356" s="29"/>
    </row>
    <row r="357" spans="1:7" ht="47.25" customHeight="1">
      <c r="A357" s="3" t="s">
        <v>701</v>
      </c>
      <c r="B357" s="4" t="s">
        <v>629</v>
      </c>
      <c r="C357" s="4" t="s">
        <v>605</v>
      </c>
      <c r="D357" s="4"/>
      <c r="E357" s="4"/>
      <c r="F357" s="29">
        <f>F358</f>
        <v>404274.08999999997</v>
      </c>
      <c r="G357" s="29"/>
    </row>
    <row r="358" spans="1:7" ht="31.5">
      <c r="A358" s="3" t="s">
        <v>59</v>
      </c>
      <c r="B358" s="4" t="s">
        <v>629</v>
      </c>
      <c r="C358" s="4" t="s">
        <v>605</v>
      </c>
      <c r="D358" s="4" t="s">
        <v>917</v>
      </c>
      <c r="E358" s="4"/>
      <c r="F358" s="29">
        <f>F359</f>
        <v>404274.08999999997</v>
      </c>
      <c r="G358" s="29"/>
    </row>
    <row r="359" spans="1:7" ht="31.5">
      <c r="A359" s="3" t="s">
        <v>741</v>
      </c>
      <c r="B359" s="4" t="s">
        <v>629</v>
      </c>
      <c r="C359" s="4" t="s">
        <v>605</v>
      </c>
      <c r="D359" s="4" t="s">
        <v>917</v>
      </c>
      <c r="E359" s="4" t="s">
        <v>602</v>
      </c>
      <c r="F359" s="29">
        <f>прил6!F118</f>
        <v>404274.08999999997</v>
      </c>
      <c r="G359" s="29"/>
    </row>
    <row r="360" spans="1:8" ht="78.75">
      <c r="A360" s="1" t="s">
        <v>106</v>
      </c>
      <c r="B360" s="2" t="s">
        <v>725</v>
      </c>
      <c r="C360" s="2"/>
      <c r="D360" s="2"/>
      <c r="E360" s="2"/>
      <c r="F360" s="33">
        <f>F361+F378+F405</f>
        <v>20934906</v>
      </c>
      <c r="G360" s="33"/>
      <c r="H360" s="26">
        <f>прил6!F594+прил6!F828</f>
        <v>20934906</v>
      </c>
    </row>
    <row r="361" spans="1:7" ht="31.5">
      <c r="A361" s="3" t="s">
        <v>528</v>
      </c>
      <c r="B361" s="4" t="s">
        <v>437</v>
      </c>
      <c r="C361" s="4"/>
      <c r="D361" s="4"/>
      <c r="E361" s="4"/>
      <c r="F361" s="29">
        <f>F362+F370</f>
        <v>1400050</v>
      </c>
      <c r="G361" s="29"/>
    </row>
    <row r="362" spans="1:7" ht="63">
      <c r="A362" s="27" t="s">
        <v>438</v>
      </c>
      <c r="B362" s="4" t="s">
        <v>439</v>
      </c>
      <c r="C362" s="4"/>
      <c r="D362" s="4"/>
      <c r="E362" s="4"/>
      <c r="F362" s="29">
        <f>F363</f>
        <v>871197</v>
      </c>
      <c r="G362" s="29"/>
    </row>
    <row r="363" spans="1:7" ht="31.5">
      <c r="A363" s="27" t="s">
        <v>523</v>
      </c>
      <c r="B363" s="4" t="s">
        <v>440</v>
      </c>
      <c r="C363" s="4"/>
      <c r="D363" s="4"/>
      <c r="E363" s="4"/>
      <c r="F363" s="29">
        <f>F367+F364</f>
        <v>871197</v>
      </c>
      <c r="G363" s="29"/>
    </row>
    <row r="364" spans="1:7" ht="110.25">
      <c r="A364" s="27" t="s">
        <v>92</v>
      </c>
      <c r="B364" s="4" t="s">
        <v>440</v>
      </c>
      <c r="C364" s="4" t="s">
        <v>604</v>
      </c>
      <c r="D364" s="4"/>
      <c r="E364" s="4"/>
      <c r="F364" s="29">
        <f>F365</f>
        <v>470000</v>
      </c>
      <c r="G364" s="29"/>
    </row>
    <row r="365" spans="1:7" ht="31.5">
      <c r="A365" s="3" t="s">
        <v>142</v>
      </c>
      <c r="B365" s="4" t="s">
        <v>440</v>
      </c>
      <c r="C365" s="4" t="s">
        <v>604</v>
      </c>
      <c r="D365" s="4" t="s">
        <v>144</v>
      </c>
      <c r="E365" s="4"/>
      <c r="F365" s="29">
        <f>F366</f>
        <v>470000</v>
      </c>
      <c r="G365" s="29"/>
    </row>
    <row r="366" spans="1:7" ht="31.5">
      <c r="A366" s="3" t="s">
        <v>595</v>
      </c>
      <c r="B366" s="4" t="s">
        <v>440</v>
      </c>
      <c r="C366" s="4" t="s">
        <v>604</v>
      </c>
      <c r="D366" s="4" t="s">
        <v>144</v>
      </c>
      <c r="E366" s="4" t="s">
        <v>917</v>
      </c>
      <c r="F366" s="29">
        <f>прил6!F834</f>
        <v>470000</v>
      </c>
      <c r="G366" s="29"/>
    </row>
    <row r="367" spans="1:7" ht="54" customHeight="1">
      <c r="A367" s="3" t="s">
        <v>701</v>
      </c>
      <c r="B367" s="4" t="s">
        <v>440</v>
      </c>
      <c r="C367" s="4" t="s">
        <v>605</v>
      </c>
      <c r="D367" s="4"/>
      <c r="E367" s="4"/>
      <c r="F367" s="29">
        <f>F368</f>
        <v>401197</v>
      </c>
      <c r="G367" s="29"/>
    </row>
    <row r="368" spans="1:7" ht="31.5">
      <c r="A368" s="3" t="s">
        <v>142</v>
      </c>
      <c r="B368" s="4" t="s">
        <v>440</v>
      </c>
      <c r="C368" s="4" t="s">
        <v>605</v>
      </c>
      <c r="D368" s="4" t="s">
        <v>144</v>
      </c>
      <c r="E368" s="4"/>
      <c r="F368" s="29">
        <f>F369</f>
        <v>401197</v>
      </c>
      <c r="G368" s="29"/>
    </row>
    <row r="369" spans="1:7" ht="31.5">
      <c r="A369" s="3" t="s">
        <v>595</v>
      </c>
      <c r="B369" s="4" t="s">
        <v>440</v>
      </c>
      <c r="C369" s="4" t="s">
        <v>605</v>
      </c>
      <c r="D369" s="4" t="s">
        <v>144</v>
      </c>
      <c r="E369" s="4" t="s">
        <v>917</v>
      </c>
      <c r="F369" s="29">
        <f>прил6!F835</f>
        <v>401197</v>
      </c>
      <c r="G369" s="29"/>
    </row>
    <row r="370" spans="1:7" ht="94.5">
      <c r="A370" s="3" t="s">
        <v>495</v>
      </c>
      <c r="B370" s="4" t="s">
        <v>441</v>
      </c>
      <c r="C370" s="4"/>
      <c r="D370" s="4"/>
      <c r="E370" s="4"/>
      <c r="F370" s="29">
        <f>F371</f>
        <v>528853</v>
      </c>
      <c r="G370" s="29"/>
    </row>
    <row r="371" spans="1:7" ht="31.5">
      <c r="A371" s="27" t="s">
        <v>523</v>
      </c>
      <c r="B371" s="4" t="s">
        <v>442</v>
      </c>
      <c r="C371" s="4"/>
      <c r="D371" s="4"/>
      <c r="E371" s="4"/>
      <c r="F371" s="29">
        <f>F375+F372</f>
        <v>528853</v>
      </c>
      <c r="G371" s="29"/>
    </row>
    <row r="372" spans="1:7" ht="110.25">
      <c r="A372" s="27" t="s">
        <v>92</v>
      </c>
      <c r="B372" s="4" t="s">
        <v>442</v>
      </c>
      <c r="C372" s="4" t="s">
        <v>604</v>
      </c>
      <c r="D372" s="4"/>
      <c r="E372" s="4"/>
      <c r="F372" s="29">
        <f>F373</f>
        <v>200000</v>
      </c>
      <c r="G372" s="29"/>
    </row>
    <row r="373" spans="1:7" ht="31.5">
      <c r="A373" s="3" t="s">
        <v>142</v>
      </c>
      <c r="B373" s="4" t="s">
        <v>442</v>
      </c>
      <c r="C373" s="4" t="s">
        <v>604</v>
      </c>
      <c r="D373" s="4" t="s">
        <v>144</v>
      </c>
      <c r="E373" s="4"/>
      <c r="F373" s="29">
        <f>F374</f>
        <v>200000</v>
      </c>
      <c r="G373" s="29"/>
    </row>
    <row r="374" spans="1:7" ht="31.5">
      <c r="A374" s="3" t="s">
        <v>595</v>
      </c>
      <c r="B374" s="4" t="s">
        <v>442</v>
      </c>
      <c r="C374" s="4" t="s">
        <v>604</v>
      </c>
      <c r="D374" s="4" t="s">
        <v>144</v>
      </c>
      <c r="E374" s="4" t="s">
        <v>917</v>
      </c>
      <c r="F374" s="29">
        <f>прил6!F838</f>
        <v>200000</v>
      </c>
      <c r="G374" s="29"/>
    </row>
    <row r="375" spans="1:7" ht="47.25">
      <c r="A375" s="3" t="s">
        <v>701</v>
      </c>
      <c r="B375" s="4" t="s">
        <v>442</v>
      </c>
      <c r="C375" s="4" t="s">
        <v>605</v>
      </c>
      <c r="D375" s="4"/>
      <c r="E375" s="4"/>
      <c r="F375" s="29">
        <f>F376</f>
        <v>328853</v>
      </c>
      <c r="G375" s="29"/>
    </row>
    <row r="376" spans="1:7" ht="31.5">
      <c r="A376" s="3" t="s">
        <v>142</v>
      </c>
      <c r="B376" s="4" t="s">
        <v>442</v>
      </c>
      <c r="C376" s="4" t="s">
        <v>605</v>
      </c>
      <c r="D376" s="4" t="s">
        <v>144</v>
      </c>
      <c r="E376" s="4"/>
      <c r="F376" s="29">
        <f>F377</f>
        <v>328853</v>
      </c>
      <c r="G376" s="29"/>
    </row>
    <row r="377" spans="1:7" ht="31.5">
      <c r="A377" s="3" t="s">
        <v>595</v>
      </c>
      <c r="B377" s="4" t="s">
        <v>442</v>
      </c>
      <c r="C377" s="4" t="s">
        <v>605</v>
      </c>
      <c r="D377" s="4" t="s">
        <v>144</v>
      </c>
      <c r="E377" s="4" t="s">
        <v>917</v>
      </c>
      <c r="F377" s="29">
        <f>прил6!F839</f>
        <v>328853</v>
      </c>
      <c r="G377" s="29"/>
    </row>
    <row r="378" spans="1:7" ht="31.5">
      <c r="A378" s="3" t="s">
        <v>136</v>
      </c>
      <c r="B378" s="4" t="s">
        <v>689</v>
      </c>
      <c r="C378" s="4"/>
      <c r="D378" s="4"/>
      <c r="E378" s="4"/>
      <c r="F378" s="29">
        <f>F379+F387+F395+F400</f>
        <v>846250</v>
      </c>
      <c r="G378" s="29"/>
    </row>
    <row r="379" spans="1:7" ht="78.75">
      <c r="A379" s="3" t="s">
        <v>374</v>
      </c>
      <c r="B379" s="4" t="s">
        <v>375</v>
      </c>
      <c r="C379" s="4"/>
      <c r="D379" s="4"/>
      <c r="E379" s="4"/>
      <c r="F379" s="29">
        <f>F380</f>
        <v>443750</v>
      </c>
      <c r="G379" s="29"/>
    </row>
    <row r="380" spans="1:7" ht="31.5">
      <c r="A380" s="3" t="s">
        <v>523</v>
      </c>
      <c r="B380" s="4" t="s">
        <v>376</v>
      </c>
      <c r="C380" s="4"/>
      <c r="D380" s="4"/>
      <c r="E380" s="4"/>
      <c r="F380" s="29">
        <f>F381+F384</f>
        <v>443750</v>
      </c>
      <c r="G380" s="29"/>
    </row>
    <row r="381" spans="1:7" ht="47.25">
      <c r="A381" s="3" t="s">
        <v>701</v>
      </c>
      <c r="B381" s="4" t="s">
        <v>376</v>
      </c>
      <c r="C381" s="4" t="s">
        <v>605</v>
      </c>
      <c r="D381" s="4"/>
      <c r="E381" s="4"/>
      <c r="F381" s="29">
        <f>F382</f>
        <v>247250</v>
      </c>
      <c r="G381" s="29"/>
    </row>
    <row r="382" spans="1:7" ht="31.5">
      <c r="A382" s="3" t="s">
        <v>51</v>
      </c>
      <c r="B382" s="4" t="s">
        <v>376</v>
      </c>
      <c r="C382" s="4" t="s">
        <v>605</v>
      </c>
      <c r="D382" s="4" t="s">
        <v>43</v>
      </c>
      <c r="E382" s="4"/>
      <c r="F382" s="29">
        <f>F383</f>
        <v>247250</v>
      </c>
      <c r="G382" s="29"/>
    </row>
    <row r="383" spans="1:7" ht="31.5">
      <c r="A383" s="3" t="s">
        <v>6</v>
      </c>
      <c r="B383" s="4" t="s">
        <v>376</v>
      </c>
      <c r="C383" s="4" t="s">
        <v>605</v>
      </c>
      <c r="D383" s="4" t="s">
        <v>43</v>
      </c>
      <c r="E383" s="4" t="s">
        <v>43</v>
      </c>
      <c r="F383" s="29">
        <f>прил6!F598</f>
        <v>247250</v>
      </c>
      <c r="G383" s="29"/>
    </row>
    <row r="384" spans="1:7" ht="63">
      <c r="A384" s="3" t="s">
        <v>525</v>
      </c>
      <c r="B384" s="4" t="s">
        <v>376</v>
      </c>
      <c r="C384" s="4" t="s">
        <v>609</v>
      </c>
      <c r="D384" s="4"/>
      <c r="E384" s="4"/>
      <c r="F384" s="29">
        <f>F385</f>
        <v>196500</v>
      </c>
      <c r="G384" s="29"/>
    </row>
    <row r="385" spans="1:7" ht="31.5">
      <c r="A385" s="3" t="s">
        <v>51</v>
      </c>
      <c r="B385" s="4" t="s">
        <v>376</v>
      </c>
      <c r="C385" s="4" t="s">
        <v>609</v>
      </c>
      <c r="D385" s="4" t="s">
        <v>43</v>
      </c>
      <c r="E385" s="4"/>
      <c r="F385" s="29">
        <f>F386</f>
        <v>196500</v>
      </c>
      <c r="G385" s="29"/>
    </row>
    <row r="386" spans="1:7" ht="31.5">
      <c r="A386" s="3" t="s">
        <v>6</v>
      </c>
      <c r="B386" s="4" t="s">
        <v>376</v>
      </c>
      <c r="C386" s="4" t="s">
        <v>609</v>
      </c>
      <c r="D386" s="4" t="s">
        <v>43</v>
      </c>
      <c r="E386" s="4" t="s">
        <v>43</v>
      </c>
      <c r="F386" s="29">
        <f>прил6!F599</f>
        <v>196500</v>
      </c>
      <c r="G386" s="29"/>
    </row>
    <row r="387" spans="1:7" ht="126">
      <c r="A387" s="3" t="s">
        <v>377</v>
      </c>
      <c r="B387" s="4" t="s">
        <v>378</v>
      </c>
      <c r="C387" s="4"/>
      <c r="D387" s="4"/>
      <c r="E387" s="4"/>
      <c r="F387" s="29">
        <f>F388</f>
        <v>97500</v>
      </c>
      <c r="G387" s="29"/>
    </row>
    <row r="388" spans="1:7" ht="31.5">
      <c r="A388" s="3" t="s">
        <v>523</v>
      </c>
      <c r="B388" s="4" t="s">
        <v>379</v>
      </c>
      <c r="C388" s="4"/>
      <c r="D388" s="4"/>
      <c r="E388" s="4"/>
      <c r="F388" s="29">
        <f>F389</f>
        <v>97500</v>
      </c>
      <c r="G388" s="29"/>
    </row>
    <row r="389" spans="1:7" ht="47.25">
      <c r="A389" s="3" t="s">
        <v>701</v>
      </c>
      <c r="B389" s="4" t="s">
        <v>379</v>
      </c>
      <c r="C389" s="4" t="s">
        <v>605</v>
      </c>
      <c r="D389" s="4"/>
      <c r="E389" s="4"/>
      <c r="F389" s="29">
        <f>F390+F392</f>
        <v>97500</v>
      </c>
      <c r="G389" s="29"/>
    </row>
    <row r="390" spans="1:7" ht="31.5">
      <c r="A390" s="3" t="s">
        <v>51</v>
      </c>
      <c r="B390" s="4" t="s">
        <v>379</v>
      </c>
      <c r="C390" s="4" t="s">
        <v>605</v>
      </c>
      <c r="D390" s="4" t="s">
        <v>43</v>
      </c>
      <c r="E390" s="4"/>
      <c r="F390" s="29">
        <f>F391</f>
        <v>62500</v>
      </c>
      <c r="G390" s="29"/>
    </row>
    <row r="391" spans="1:7" ht="31.5">
      <c r="A391" s="3" t="s">
        <v>6</v>
      </c>
      <c r="B391" s="4" t="s">
        <v>379</v>
      </c>
      <c r="C391" s="4" t="s">
        <v>605</v>
      </c>
      <c r="D391" s="4" t="s">
        <v>43</v>
      </c>
      <c r="E391" s="4" t="s">
        <v>43</v>
      </c>
      <c r="F391" s="29">
        <f>прил6!F602</f>
        <v>62500</v>
      </c>
      <c r="G391" s="29"/>
    </row>
    <row r="392" spans="1:7" ht="63">
      <c r="A392" s="3" t="s">
        <v>525</v>
      </c>
      <c r="B392" s="4" t="s">
        <v>379</v>
      </c>
      <c r="C392" s="4" t="s">
        <v>609</v>
      </c>
      <c r="D392" s="4"/>
      <c r="E392" s="4"/>
      <c r="F392" s="29">
        <f>F393</f>
        <v>35000</v>
      </c>
      <c r="G392" s="29"/>
    </row>
    <row r="393" spans="1:7" ht="31.5">
      <c r="A393" s="3" t="s">
        <v>51</v>
      </c>
      <c r="B393" s="4" t="s">
        <v>379</v>
      </c>
      <c r="C393" s="4" t="s">
        <v>609</v>
      </c>
      <c r="D393" s="4" t="s">
        <v>43</v>
      </c>
      <c r="E393" s="4"/>
      <c r="F393" s="29">
        <f>F394</f>
        <v>35000</v>
      </c>
      <c r="G393" s="29"/>
    </row>
    <row r="394" spans="1:7" ht="31.5">
      <c r="A394" s="3" t="s">
        <v>6</v>
      </c>
      <c r="B394" s="4" t="s">
        <v>379</v>
      </c>
      <c r="C394" s="4" t="s">
        <v>609</v>
      </c>
      <c r="D394" s="4" t="s">
        <v>43</v>
      </c>
      <c r="E394" s="4" t="s">
        <v>43</v>
      </c>
      <c r="F394" s="29">
        <f>прил6!F603</f>
        <v>35000</v>
      </c>
      <c r="G394" s="29"/>
    </row>
    <row r="395" spans="1:7" ht="47.25">
      <c r="A395" s="3" t="s">
        <v>380</v>
      </c>
      <c r="B395" s="4" t="s">
        <v>381</v>
      </c>
      <c r="C395" s="4"/>
      <c r="D395" s="4"/>
      <c r="E395" s="4"/>
      <c r="F395" s="29">
        <f>F396</f>
        <v>5000</v>
      </c>
      <c r="G395" s="29"/>
    </row>
    <row r="396" spans="1:7" ht="31.5">
      <c r="A396" s="3" t="s">
        <v>523</v>
      </c>
      <c r="B396" s="4" t="s">
        <v>382</v>
      </c>
      <c r="C396" s="4"/>
      <c r="D396" s="4"/>
      <c r="E396" s="4"/>
      <c r="F396" s="29">
        <f>F397</f>
        <v>5000</v>
      </c>
      <c r="G396" s="29"/>
    </row>
    <row r="397" spans="1:7" ht="47.25">
      <c r="A397" s="3" t="s">
        <v>701</v>
      </c>
      <c r="B397" s="4" t="s">
        <v>382</v>
      </c>
      <c r="C397" s="4" t="s">
        <v>605</v>
      </c>
      <c r="D397" s="4"/>
      <c r="E397" s="4"/>
      <c r="F397" s="29">
        <f>F398</f>
        <v>5000</v>
      </c>
      <c r="G397" s="29"/>
    </row>
    <row r="398" spans="1:7" ht="31.5">
      <c r="A398" s="3" t="s">
        <v>51</v>
      </c>
      <c r="B398" s="4" t="s">
        <v>382</v>
      </c>
      <c r="C398" s="4" t="s">
        <v>605</v>
      </c>
      <c r="D398" s="4" t="s">
        <v>43</v>
      </c>
      <c r="E398" s="4"/>
      <c r="F398" s="29">
        <f>F399</f>
        <v>5000</v>
      </c>
      <c r="G398" s="29"/>
    </row>
    <row r="399" spans="1:7" ht="31.5">
      <c r="A399" s="3" t="s">
        <v>6</v>
      </c>
      <c r="B399" s="4" t="s">
        <v>382</v>
      </c>
      <c r="C399" s="4" t="s">
        <v>605</v>
      </c>
      <c r="D399" s="4" t="s">
        <v>43</v>
      </c>
      <c r="E399" s="4" t="s">
        <v>43</v>
      </c>
      <c r="F399" s="29">
        <f>прил6!F606</f>
        <v>5000</v>
      </c>
      <c r="G399" s="29"/>
    </row>
    <row r="400" spans="1:7" ht="63">
      <c r="A400" s="3" t="s">
        <v>690</v>
      </c>
      <c r="B400" s="4" t="s">
        <v>691</v>
      </c>
      <c r="C400" s="4"/>
      <c r="D400" s="4"/>
      <c r="E400" s="4"/>
      <c r="F400" s="29">
        <f>F401</f>
        <v>300000</v>
      </c>
      <c r="G400" s="29"/>
    </row>
    <row r="401" spans="1:7" ht="47.25">
      <c r="A401" s="3" t="s">
        <v>137</v>
      </c>
      <c r="B401" s="4" t="s">
        <v>692</v>
      </c>
      <c r="C401" s="4"/>
      <c r="D401" s="4"/>
      <c r="E401" s="4"/>
      <c r="F401" s="29">
        <f>F402</f>
        <v>300000</v>
      </c>
      <c r="G401" s="29"/>
    </row>
    <row r="402" spans="1:7" ht="31.5">
      <c r="A402" s="3" t="s">
        <v>565</v>
      </c>
      <c r="B402" s="4" t="s">
        <v>692</v>
      </c>
      <c r="C402" s="4" t="s">
        <v>566</v>
      </c>
      <c r="D402" s="4"/>
      <c r="E402" s="4"/>
      <c r="F402" s="29">
        <f>F403</f>
        <v>300000</v>
      </c>
      <c r="G402" s="29"/>
    </row>
    <row r="403" spans="1:7" ht="31.5">
      <c r="A403" s="3" t="s">
        <v>51</v>
      </c>
      <c r="B403" s="4" t="s">
        <v>692</v>
      </c>
      <c r="C403" s="4" t="s">
        <v>566</v>
      </c>
      <c r="D403" s="4" t="s">
        <v>43</v>
      </c>
      <c r="E403" s="4"/>
      <c r="F403" s="29">
        <f>F404</f>
        <v>300000</v>
      </c>
      <c r="G403" s="29"/>
    </row>
    <row r="404" spans="1:7" ht="31.5">
      <c r="A404" s="3" t="s">
        <v>6</v>
      </c>
      <c r="B404" s="4" t="s">
        <v>692</v>
      </c>
      <c r="C404" s="4" t="s">
        <v>566</v>
      </c>
      <c r="D404" s="4" t="s">
        <v>43</v>
      </c>
      <c r="E404" s="4" t="s">
        <v>43</v>
      </c>
      <c r="F404" s="29">
        <f>прил6!F609</f>
        <v>300000</v>
      </c>
      <c r="G404" s="29"/>
    </row>
    <row r="405" spans="1:7" ht="31.5">
      <c r="A405" s="3" t="s">
        <v>138</v>
      </c>
      <c r="B405" s="4" t="s">
        <v>560</v>
      </c>
      <c r="C405" s="4"/>
      <c r="D405" s="4"/>
      <c r="E405" s="4"/>
      <c r="F405" s="29">
        <f>F406+F411+F416</f>
        <v>18688606</v>
      </c>
      <c r="G405" s="29"/>
    </row>
    <row r="406" spans="1:7" ht="63">
      <c r="A406" s="3" t="s">
        <v>383</v>
      </c>
      <c r="B406" s="4" t="s">
        <v>384</v>
      </c>
      <c r="C406" s="4"/>
      <c r="D406" s="4"/>
      <c r="E406" s="4"/>
      <c r="F406" s="29">
        <f>F407</f>
        <v>18230749</v>
      </c>
      <c r="G406" s="29"/>
    </row>
    <row r="407" spans="1:7" ht="94.5">
      <c r="A407" s="3" t="s">
        <v>749</v>
      </c>
      <c r="B407" s="4" t="s">
        <v>385</v>
      </c>
      <c r="C407" s="4"/>
      <c r="D407" s="4"/>
      <c r="E407" s="4"/>
      <c r="F407" s="29">
        <f>F408</f>
        <v>18230749</v>
      </c>
      <c r="G407" s="29"/>
    </row>
    <row r="408" spans="1:7" ht="63">
      <c r="A408" s="3" t="s">
        <v>525</v>
      </c>
      <c r="B408" s="4" t="s">
        <v>385</v>
      </c>
      <c r="C408" s="4" t="s">
        <v>609</v>
      </c>
      <c r="D408" s="4"/>
      <c r="E408" s="4"/>
      <c r="F408" s="29">
        <f>F409</f>
        <v>18230749</v>
      </c>
      <c r="G408" s="29"/>
    </row>
    <row r="409" spans="1:7" ht="31.5">
      <c r="A409" s="3" t="s">
        <v>51</v>
      </c>
      <c r="B409" s="4" t="s">
        <v>385</v>
      </c>
      <c r="C409" s="4" t="s">
        <v>609</v>
      </c>
      <c r="D409" s="4" t="s">
        <v>43</v>
      </c>
      <c r="E409" s="4"/>
      <c r="F409" s="29">
        <f>F410</f>
        <v>18230749</v>
      </c>
      <c r="G409" s="29"/>
    </row>
    <row r="410" spans="1:7" ht="31.5">
      <c r="A410" s="3" t="s">
        <v>6</v>
      </c>
      <c r="B410" s="4" t="s">
        <v>385</v>
      </c>
      <c r="C410" s="4" t="s">
        <v>609</v>
      </c>
      <c r="D410" s="4" t="s">
        <v>43</v>
      </c>
      <c r="E410" s="4" t="s">
        <v>43</v>
      </c>
      <c r="F410" s="29">
        <f>прил6!F613</f>
        <v>18230749</v>
      </c>
      <c r="G410" s="29"/>
    </row>
    <row r="411" spans="1:7" ht="78.75">
      <c r="A411" s="3" t="s">
        <v>386</v>
      </c>
      <c r="B411" s="4" t="s">
        <v>387</v>
      </c>
      <c r="C411" s="4"/>
      <c r="D411" s="4"/>
      <c r="E411" s="4"/>
      <c r="F411" s="29">
        <f>F412</f>
        <v>72770</v>
      </c>
      <c r="G411" s="29"/>
    </row>
    <row r="412" spans="1:7" ht="94.5">
      <c r="A412" s="3" t="s">
        <v>749</v>
      </c>
      <c r="B412" s="4" t="s">
        <v>388</v>
      </c>
      <c r="C412" s="4"/>
      <c r="D412" s="4"/>
      <c r="E412" s="4"/>
      <c r="F412" s="29">
        <f>F413</f>
        <v>72770</v>
      </c>
      <c r="G412" s="29"/>
    </row>
    <row r="413" spans="1:7" ht="63">
      <c r="A413" s="3" t="s">
        <v>525</v>
      </c>
      <c r="B413" s="4" t="s">
        <v>388</v>
      </c>
      <c r="C413" s="4" t="s">
        <v>609</v>
      </c>
      <c r="D413" s="4"/>
      <c r="E413" s="4"/>
      <c r="F413" s="29">
        <f>F414</f>
        <v>72770</v>
      </c>
      <c r="G413" s="29"/>
    </row>
    <row r="414" spans="1:7" ht="31.5">
      <c r="A414" s="3" t="s">
        <v>51</v>
      </c>
      <c r="B414" s="4" t="s">
        <v>388</v>
      </c>
      <c r="C414" s="4" t="s">
        <v>609</v>
      </c>
      <c r="D414" s="4" t="s">
        <v>43</v>
      </c>
      <c r="E414" s="4"/>
      <c r="F414" s="29">
        <f>F415</f>
        <v>72770</v>
      </c>
      <c r="G414" s="29"/>
    </row>
    <row r="415" spans="1:7" ht="31.5">
      <c r="A415" s="3" t="s">
        <v>6</v>
      </c>
      <c r="B415" s="4" t="s">
        <v>388</v>
      </c>
      <c r="C415" s="4" t="s">
        <v>609</v>
      </c>
      <c r="D415" s="4" t="s">
        <v>43</v>
      </c>
      <c r="E415" s="4" t="s">
        <v>43</v>
      </c>
      <c r="F415" s="29">
        <f>прил6!F616</f>
        <v>72770</v>
      </c>
      <c r="G415" s="29"/>
    </row>
    <row r="416" spans="1:7" ht="47.25">
      <c r="A416" s="3" t="s">
        <v>249</v>
      </c>
      <c r="B416" s="4" t="s">
        <v>561</v>
      </c>
      <c r="C416" s="4"/>
      <c r="D416" s="4"/>
      <c r="E416" s="4"/>
      <c r="F416" s="29">
        <f>F417</f>
        <v>385087</v>
      </c>
      <c r="G416" s="29"/>
    </row>
    <row r="417" spans="1:7" ht="47.25">
      <c r="A417" s="3" t="s">
        <v>756</v>
      </c>
      <c r="B417" s="4" t="s">
        <v>562</v>
      </c>
      <c r="C417" s="4"/>
      <c r="D417" s="4"/>
      <c r="E417" s="4"/>
      <c r="F417" s="29">
        <f>F418</f>
        <v>385087</v>
      </c>
      <c r="G417" s="29"/>
    </row>
    <row r="418" spans="1:7" ht="47.25">
      <c r="A418" s="3" t="s">
        <v>701</v>
      </c>
      <c r="B418" s="4" t="s">
        <v>562</v>
      </c>
      <c r="C418" s="4" t="s">
        <v>605</v>
      </c>
      <c r="D418" s="4"/>
      <c r="E418" s="4"/>
      <c r="F418" s="29">
        <f>F419</f>
        <v>385087</v>
      </c>
      <c r="G418" s="29"/>
    </row>
    <row r="419" spans="1:7" ht="31.5">
      <c r="A419" s="3" t="s">
        <v>51</v>
      </c>
      <c r="B419" s="4" t="s">
        <v>562</v>
      </c>
      <c r="C419" s="4" t="s">
        <v>605</v>
      </c>
      <c r="D419" s="4" t="s">
        <v>43</v>
      </c>
      <c r="E419" s="4"/>
      <c r="F419" s="29">
        <f>F420</f>
        <v>385087</v>
      </c>
      <c r="G419" s="29"/>
    </row>
    <row r="420" spans="1:7" ht="31.5">
      <c r="A420" s="3" t="s">
        <v>6</v>
      </c>
      <c r="B420" s="4" t="s">
        <v>562</v>
      </c>
      <c r="C420" s="4" t="s">
        <v>605</v>
      </c>
      <c r="D420" s="4" t="s">
        <v>43</v>
      </c>
      <c r="E420" s="4" t="s">
        <v>43</v>
      </c>
      <c r="F420" s="29">
        <f>прил6!F619</f>
        <v>385087</v>
      </c>
      <c r="G420" s="29"/>
    </row>
    <row r="421" spans="1:9" ht="78.75">
      <c r="A421" s="13" t="s">
        <v>107</v>
      </c>
      <c r="B421" s="5" t="s">
        <v>682</v>
      </c>
      <c r="C421" s="5"/>
      <c r="D421" s="5"/>
      <c r="E421" s="5"/>
      <c r="F421" s="28">
        <f>F422+F487+F540+F564+F575</f>
        <v>233810058</v>
      </c>
      <c r="G421" s="28">
        <f>G422+G487+G540+G564</f>
        <v>9567090</v>
      </c>
      <c r="H421" s="26">
        <f>прил6!F656+прил6!F774+прил6!F571</f>
        <v>233810058</v>
      </c>
      <c r="I421" s="26">
        <f>прил6!G656+прил6!G774+прил6!G571</f>
        <v>9567090</v>
      </c>
    </row>
    <row r="422" spans="1:9" ht="63">
      <c r="A422" s="3" t="s">
        <v>150</v>
      </c>
      <c r="B422" s="4" t="s">
        <v>683</v>
      </c>
      <c r="C422" s="4"/>
      <c r="D422" s="4"/>
      <c r="E422" s="4"/>
      <c r="F422" s="29">
        <f>F423+F449+F482+F431+F444</f>
        <v>168897831</v>
      </c>
      <c r="G422" s="29">
        <f>G423+G449+G482+G431+G444</f>
        <v>6504534</v>
      </c>
      <c r="H422" s="26">
        <f>H421-F421</f>
        <v>0</v>
      </c>
      <c r="I422" s="26">
        <f>I421-G421</f>
        <v>0</v>
      </c>
    </row>
    <row r="423" spans="1:7" ht="63">
      <c r="A423" s="3" t="s">
        <v>389</v>
      </c>
      <c r="B423" s="4" t="s">
        <v>390</v>
      </c>
      <c r="C423" s="4"/>
      <c r="D423" s="4"/>
      <c r="E423" s="4"/>
      <c r="F423" s="29">
        <f>F424</f>
        <v>1699220</v>
      </c>
      <c r="G423" s="29"/>
    </row>
    <row r="424" spans="1:7" ht="31.5">
      <c r="A424" s="3" t="s">
        <v>523</v>
      </c>
      <c r="B424" s="4" t="s">
        <v>391</v>
      </c>
      <c r="C424" s="4"/>
      <c r="D424" s="4"/>
      <c r="E424" s="4"/>
      <c r="F424" s="29">
        <f>F425+F428</f>
        <v>1699220</v>
      </c>
      <c r="G424" s="29"/>
    </row>
    <row r="425" spans="1:7" ht="47.25">
      <c r="A425" s="3" t="s">
        <v>93</v>
      </c>
      <c r="B425" s="4" t="s">
        <v>391</v>
      </c>
      <c r="C425" s="4" t="s">
        <v>605</v>
      </c>
      <c r="D425" s="4"/>
      <c r="E425" s="4"/>
      <c r="F425" s="29">
        <f>F426</f>
        <v>986129</v>
      </c>
      <c r="G425" s="29"/>
    </row>
    <row r="426" spans="1:7" ht="31.5">
      <c r="A426" s="3" t="s">
        <v>606</v>
      </c>
      <c r="B426" s="4" t="s">
        <v>391</v>
      </c>
      <c r="C426" s="4" t="s">
        <v>605</v>
      </c>
      <c r="D426" s="4" t="s">
        <v>44</v>
      </c>
      <c r="E426" s="4"/>
      <c r="F426" s="29">
        <f>F427</f>
        <v>986129</v>
      </c>
      <c r="G426" s="29"/>
    </row>
    <row r="427" spans="1:7" ht="31.5">
      <c r="A427" s="3" t="s">
        <v>737</v>
      </c>
      <c r="B427" s="4" t="s">
        <v>391</v>
      </c>
      <c r="C427" s="4" t="s">
        <v>605</v>
      </c>
      <c r="D427" s="4" t="s">
        <v>44</v>
      </c>
      <c r="E427" s="4" t="s">
        <v>917</v>
      </c>
      <c r="F427" s="29">
        <f>прил6!F660</f>
        <v>986129</v>
      </c>
      <c r="G427" s="29"/>
    </row>
    <row r="428" spans="1:7" ht="63">
      <c r="A428" s="3" t="s">
        <v>525</v>
      </c>
      <c r="B428" s="4" t="s">
        <v>391</v>
      </c>
      <c r="C428" s="4" t="s">
        <v>609</v>
      </c>
      <c r="D428" s="4"/>
      <c r="E428" s="4"/>
      <c r="F428" s="29">
        <f>F429</f>
        <v>713091</v>
      </c>
      <c r="G428" s="29"/>
    </row>
    <row r="429" spans="1:7" ht="31.5">
      <c r="A429" s="3" t="s">
        <v>606</v>
      </c>
      <c r="B429" s="4" t="s">
        <v>391</v>
      </c>
      <c r="C429" s="4" t="s">
        <v>609</v>
      </c>
      <c r="D429" s="4" t="s">
        <v>44</v>
      </c>
      <c r="E429" s="4"/>
      <c r="F429" s="29">
        <f>F430</f>
        <v>713091</v>
      </c>
      <c r="G429" s="29"/>
    </row>
    <row r="430" spans="1:7" ht="31.5">
      <c r="A430" s="3" t="s">
        <v>737</v>
      </c>
      <c r="B430" s="4" t="s">
        <v>391</v>
      </c>
      <c r="C430" s="4" t="s">
        <v>609</v>
      </c>
      <c r="D430" s="4" t="s">
        <v>44</v>
      </c>
      <c r="E430" s="4" t="s">
        <v>917</v>
      </c>
      <c r="F430" s="29">
        <f>прил6!F661</f>
        <v>713091</v>
      </c>
      <c r="G430" s="29"/>
    </row>
    <row r="431" spans="1:7" ht="47.25">
      <c r="A431" s="3" t="s">
        <v>684</v>
      </c>
      <c r="B431" s="4" t="s">
        <v>685</v>
      </c>
      <c r="C431" s="4"/>
      <c r="D431" s="4"/>
      <c r="E431" s="4"/>
      <c r="F431" s="29">
        <f>F432+F436+F440</f>
        <v>59388140</v>
      </c>
      <c r="G431" s="29">
        <f>G432+G436+G440</f>
        <v>264254</v>
      </c>
    </row>
    <row r="432" spans="1:7" ht="94.5">
      <c r="A432" s="3" t="s">
        <v>749</v>
      </c>
      <c r="B432" s="4" t="s">
        <v>686</v>
      </c>
      <c r="C432" s="4"/>
      <c r="D432" s="4"/>
      <c r="E432" s="4"/>
      <c r="F432" s="29">
        <f>F433</f>
        <v>58502046</v>
      </c>
      <c r="G432" s="29"/>
    </row>
    <row r="433" spans="1:7" ht="63">
      <c r="A433" s="3" t="s">
        <v>525</v>
      </c>
      <c r="B433" s="4" t="s">
        <v>686</v>
      </c>
      <c r="C433" s="4" t="s">
        <v>609</v>
      </c>
      <c r="D433" s="4"/>
      <c r="E433" s="4"/>
      <c r="F433" s="29">
        <f>F434</f>
        <v>58502046</v>
      </c>
      <c r="G433" s="29"/>
    </row>
    <row r="434" spans="1:7" ht="31.5">
      <c r="A434" s="3" t="s">
        <v>51</v>
      </c>
      <c r="B434" s="4" t="s">
        <v>686</v>
      </c>
      <c r="C434" s="4" t="s">
        <v>609</v>
      </c>
      <c r="D434" s="4" t="s">
        <v>43</v>
      </c>
      <c r="E434" s="4"/>
      <c r="F434" s="29">
        <f>F435</f>
        <v>58502046</v>
      </c>
      <c r="G434" s="29"/>
    </row>
    <row r="435" spans="1:7" ht="31.5">
      <c r="A435" s="3" t="s">
        <v>53</v>
      </c>
      <c r="B435" s="4" t="s">
        <v>686</v>
      </c>
      <c r="C435" s="4" t="s">
        <v>609</v>
      </c>
      <c r="D435" s="4" t="s">
        <v>43</v>
      </c>
      <c r="E435" s="4" t="s">
        <v>45</v>
      </c>
      <c r="F435" s="29">
        <f>прил6!F575</f>
        <v>58502046</v>
      </c>
      <c r="G435" s="29"/>
    </row>
    <row r="436" spans="1:7" ht="126">
      <c r="A436" s="3" t="s">
        <v>859</v>
      </c>
      <c r="B436" s="4" t="s">
        <v>687</v>
      </c>
      <c r="C436" s="4"/>
      <c r="D436" s="4"/>
      <c r="E436" s="4"/>
      <c r="F436" s="29">
        <f>F437</f>
        <v>264254</v>
      </c>
      <c r="G436" s="29">
        <f>F436</f>
        <v>264254</v>
      </c>
    </row>
    <row r="437" spans="1:7" ht="63">
      <c r="A437" s="3" t="s">
        <v>525</v>
      </c>
      <c r="B437" s="4" t="s">
        <v>687</v>
      </c>
      <c r="C437" s="4" t="s">
        <v>609</v>
      </c>
      <c r="D437" s="4"/>
      <c r="E437" s="4"/>
      <c r="F437" s="29">
        <f>F438</f>
        <v>264254</v>
      </c>
      <c r="G437" s="29">
        <f>F437</f>
        <v>264254</v>
      </c>
    </row>
    <row r="438" spans="1:7" ht="31.5">
      <c r="A438" s="3" t="s">
        <v>51</v>
      </c>
      <c r="B438" s="4" t="s">
        <v>687</v>
      </c>
      <c r="C438" s="4" t="s">
        <v>609</v>
      </c>
      <c r="D438" s="4" t="s">
        <v>43</v>
      </c>
      <c r="E438" s="4"/>
      <c r="F438" s="29">
        <f>F439</f>
        <v>264254</v>
      </c>
      <c r="G438" s="29">
        <f>F438</f>
        <v>264254</v>
      </c>
    </row>
    <row r="439" spans="1:7" ht="31.5">
      <c r="A439" s="3" t="s">
        <v>53</v>
      </c>
      <c r="B439" s="4" t="s">
        <v>687</v>
      </c>
      <c r="C439" s="4" t="s">
        <v>609</v>
      </c>
      <c r="D439" s="4" t="s">
        <v>43</v>
      </c>
      <c r="E439" s="4" t="s">
        <v>45</v>
      </c>
      <c r="F439" s="29">
        <f>прил6!F577</f>
        <v>264254</v>
      </c>
      <c r="G439" s="29">
        <f>F439</f>
        <v>264254</v>
      </c>
    </row>
    <row r="440" spans="1:7" ht="126">
      <c r="A440" s="3" t="s">
        <v>859</v>
      </c>
      <c r="B440" s="4" t="s">
        <v>688</v>
      </c>
      <c r="C440" s="4"/>
      <c r="D440" s="4"/>
      <c r="E440" s="4"/>
      <c r="F440" s="29">
        <f>F441</f>
        <v>621840</v>
      </c>
      <c r="G440" s="29"/>
    </row>
    <row r="441" spans="1:7" ht="63">
      <c r="A441" s="3" t="s">
        <v>525</v>
      </c>
      <c r="B441" s="4" t="s">
        <v>688</v>
      </c>
      <c r="C441" s="4" t="s">
        <v>609</v>
      </c>
      <c r="D441" s="4"/>
      <c r="E441" s="4"/>
      <c r="F441" s="29">
        <f>F442</f>
        <v>621840</v>
      </c>
      <c r="G441" s="29"/>
    </row>
    <row r="442" spans="1:7" ht="31.5">
      <c r="A442" s="3" t="s">
        <v>51</v>
      </c>
      <c r="B442" s="4" t="s">
        <v>688</v>
      </c>
      <c r="C442" s="4" t="s">
        <v>609</v>
      </c>
      <c r="D442" s="4" t="s">
        <v>43</v>
      </c>
      <c r="E442" s="4"/>
      <c r="F442" s="29">
        <f>F443</f>
        <v>621840</v>
      </c>
      <c r="G442" s="29"/>
    </row>
    <row r="443" spans="1:7" ht="31.5">
      <c r="A443" s="3" t="s">
        <v>53</v>
      </c>
      <c r="B443" s="4" t="s">
        <v>688</v>
      </c>
      <c r="C443" s="4" t="s">
        <v>609</v>
      </c>
      <c r="D443" s="4" t="s">
        <v>43</v>
      </c>
      <c r="E443" s="4" t="s">
        <v>45</v>
      </c>
      <c r="F443" s="29">
        <f>прил6!F579</f>
        <v>621840</v>
      </c>
      <c r="G443" s="29"/>
    </row>
    <row r="444" spans="1:7" ht="63">
      <c r="A444" s="3" t="s">
        <v>71</v>
      </c>
      <c r="B444" s="4" t="s">
        <v>393</v>
      </c>
      <c r="C444" s="4"/>
      <c r="D444" s="4"/>
      <c r="E444" s="4"/>
      <c r="F444" s="29">
        <f>F445</f>
        <v>45125</v>
      </c>
      <c r="G444" s="29"/>
    </row>
    <row r="445" spans="1:7" ht="94.5">
      <c r="A445" s="206" t="s">
        <v>749</v>
      </c>
      <c r="B445" s="4" t="s">
        <v>394</v>
      </c>
      <c r="C445" s="4"/>
      <c r="D445" s="4"/>
      <c r="E445" s="4"/>
      <c r="F445" s="29">
        <f>F446</f>
        <v>45125</v>
      </c>
      <c r="G445" s="29"/>
    </row>
    <row r="446" spans="1:7" ht="63">
      <c r="A446" s="3" t="s">
        <v>525</v>
      </c>
      <c r="B446" s="4" t="s">
        <v>394</v>
      </c>
      <c r="C446" s="4" t="s">
        <v>609</v>
      </c>
      <c r="D446" s="4"/>
      <c r="E446" s="4"/>
      <c r="F446" s="29">
        <f>F447</f>
        <v>45125</v>
      </c>
      <c r="G446" s="29"/>
    </row>
    <row r="447" spans="1:7" ht="31.5">
      <c r="A447" s="3" t="s">
        <v>51</v>
      </c>
      <c r="B447" s="4" t="s">
        <v>394</v>
      </c>
      <c r="C447" s="4" t="s">
        <v>609</v>
      </c>
      <c r="D447" s="4" t="s">
        <v>43</v>
      </c>
      <c r="E447" s="4"/>
      <c r="F447" s="29">
        <f>F448</f>
        <v>45125</v>
      </c>
      <c r="G447" s="29"/>
    </row>
    <row r="448" spans="1:7" ht="31.5">
      <c r="A448" s="3" t="s">
        <v>53</v>
      </c>
      <c r="B448" s="4" t="s">
        <v>394</v>
      </c>
      <c r="C448" s="4" t="s">
        <v>609</v>
      </c>
      <c r="D448" s="4" t="s">
        <v>43</v>
      </c>
      <c r="E448" s="4" t="s">
        <v>45</v>
      </c>
      <c r="F448" s="29">
        <f>прил6!F582</f>
        <v>45125</v>
      </c>
      <c r="G448" s="29"/>
    </row>
    <row r="449" spans="1:7" ht="31.5">
      <c r="A449" s="3" t="s">
        <v>395</v>
      </c>
      <c r="B449" s="4" t="s">
        <v>396</v>
      </c>
      <c r="C449" s="4"/>
      <c r="D449" s="4"/>
      <c r="E449" s="4"/>
      <c r="F449" s="29">
        <f>F450+F458+F462+F466+F470+F474+F478+F454</f>
        <v>107365345.99999999</v>
      </c>
      <c r="G449" s="29">
        <f>G450+G458+G462+G466+G470+G474+G478+G454</f>
        <v>6240280</v>
      </c>
    </row>
    <row r="450" spans="1:7" ht="94.5">
      <c r="A450" s="3" t="s">
        <v>749</v>
      </c>
      <c r="B450" s="4" t="s">
        <v>397</v>
      </c>
      <c r="C450" s="4"/>
      <c r="D450" s="4"/>
      <c r="E450" s="4"/>
      <c r="F450" s="29">
        <f>F451</f>
        <v>94768738.38999999</v>
      </c>
      <c r="G450" s="29"/>
    </row>
    <row r="451" spans="1:7" ht="63">
      <c r="A451" s="3" t="s">
        <v>525</v>
      </c>
      <c r="B451" s="4" t="s">
        <v>397</v>
      </c>
      <c r="C451" s="4" t="s">
        <v>609</v>
      </c>
      <c r="D451" s="4"/>
      <c r="E451" s="4"/>
      <c r="F451" s="29">
        <f>F452</f>
        <v>94768738.38999999</v>
      </c>
      <c r="G451" s="29"/>
    </row>
    <row r="452" spans="1:7" ht="31.5">
      <c r="A452" s="3" t="s">
        <v>606</v>
      </c>
      <c r="B452" s="4" t="s">
        <v>397</v>
      </c>
      <c r="C452" s="4" t="s">
        <v>609</v>
      </c>
      <c r="D452" s="4" t="s">
        <v>44</v>
      </c>
      <c r="E452" s="4"/>
      <c r="F452" s="29">
        <f>F453</f>
        <v>94768738.38999999</v>
      </c>
      <c r="G452" s="29"/>
    </row>
    <row r="453" spans="1:7" ht="31.5">
      <c r="A453" s="3" t="s">
        <v>737</v>
      </c>
      <c r="B453" s="4" t="s">
        <v>397</v>
      </c>
      <c r="C453" s="4" t="s">
        <v>609</v>
      </c>
      <c r="D453" s="4" t="s">
        <v>44</v>
      </c>
      <c r="E453" s="4" t="s">
        <v>917</v>
      </c>
      <c r="F453" s="29">
        <f>прил6!F664</f>
        <v>94768738.38999999</v>
      </c>
      <c r="G453" s="29"/>
    </row>
    <row r="454" spans="1:7" ht="77.25" hidden="1">
      <c r="A454" s="3" t="s">
        <v>1162</v>
      </c>
      <c r="B454" s="4" t="s">
        <v>1163</v>
      </c>
      <c r="C454" s="4"/>
      <c r="D454" s="4"/>
      <c r="E454" s="4"/>
      <c r="F454" s="29">
        <f aca="true" t="shared" si="7" ref="F454:G456">F455</f>
        <v>0</v>
      </c>
      <c r="G454" s="29">
        <f t="shared" si="7"/>
        <v>0</v>
      </c>
    </row>
    <row r="455" spans="1:7" ht="61.5" hidden="1">
      <c r="A455" s="3" t="s">
        <v>525</v>
      </c>
      <c r="B455" s="4" t="s">
        <v>1163</v>
      </c>
      <c r="C455" s="4" t="s">
        <v>609</v>
      </c>
      <c r="D455" s="4"/>
      <c r="E455" s="4"/>
      <c r="F455" s="29">
        <f t="shared" si="7"/>
        <v>0</v>
      </c>
      <c r="G455" s="29">
        <f t="shared" si="7"/>
        <v>0</v>
      </c>
    </row>
    <row r="456" spans="1:7" ht="15" hidden="1">
      <c r="A456" s="3" t="s">
        <v>606</v>
      </c>
      <c r="B456" s="4" t="s">
        <v>1163</v>
      </c>
      <c r="C456" s="4" t="s">
        <v>609</v>
      </c>
      <c r="D456" s="4" t="s">
        <v>44</v>
      </c>
      <c r="E456" s="4"/>
      <c r="F456" s="29">
        <f t="shared" si="7"/>
        <v>0</v>
      </c>
      <c r="G456" s="29">
        <f t="shared" si="7"/>
        <v>0</v>
      </c>
    </row>
    <row r="457" spans="1:7" ht="15" hidden="1">
      <c r="A457" s="3" t="s">
        <v>737</v>
      </c>
      <c r="B457" s="4" t="s">
        <v>1163</v>
      </c>
      <c r="C457" s="4" t="s">
        <v>609</v>
      </c>
      <c r="D457" s="4" t="s">
        <v>44</v>
      </c>
      <c r="E457" s="4" t="s">
        <v>917</v>
      </c>
      <c r="F457" s="29">
        <f>прил6!F666</f>
        <v>0</v>
      </c>
      <c r="G457" s="29">
        <f>F457</f>
        <v>0</v>
      </c>
    </row>
    <row r="458" spans="1:7" ht="126">
      <c r="A458" s="27" t="s">
        <v>859</v>
      </c>
      <c r="B458" s="4" t="s">
        <v>398</v>
      </c>
      <c r="C458" s="4"/>
      <c r="D458" s="4"/>
      <c r="E458" s="4"/>
      <c r="F458" s="29">
        <f>F459</f>
        <v>4529401</v>
      </c>
      <c r="G458" s="29">
        <f>F458</f>
        <v>4529401</v>
      </c>
    </row>
    <row r="459" spans="1:7" ht="63">
      <c r="A459" s="3" t="s">
        <v>525</v>
      </c>
      <c r="B459" s="4" t="s">
        <v>398</v>
      </c>
      <c r="C459" s="4" t="s">
        <v>609</v>
      </c>
      <c r="D459" s="4"/>
      <c r="E459" s="4"/>
      <c r="F459" s="29">
        <f>F460</f>
        <v>4529401</v>
      </c>
      <c r="G459" s="29">
        <f>F459</f>
        <v>4529401</v>
      </c>
    </row>
    <row r="460" spans="1:7" ht="31.5">
      <c r="A460" s="3" t="s">
        <v>606</v>
      </c>
      <c r="B460" s="4" t="s">
        <v>398</v>
      </c>
      <c r="C460" s="4" t="s">
        <v>609</v>
      </c>
      <c r="D460" s="4" t="s">
        <v>44</v>
      </c>
      <c r="E460" s="4"/>
      <c r="F460" s="29">
        <f>F461</f>
        <v>4529401</v>
      </c>
      <c r="G460" s="29">
        <f>F460</f>
        <v>4529401</v>
      </c>
    </row>
    <row r="461" spans="1:7" ht="31.5">
      <c r="A461" s="3" t="s">
        <v>737</v>
      </c>
      <c r="B461" s="4" t="s">
        <v>398</v>
      </c>
      <c r="C461" s="4" t="s">
        <v>609</v>
      </c>
      <c r="D461" s="4" t="s">
        <v>44</v>
      </c>
      <c r="E461" s="4" t="s">
        <v>917</v>
      </c>
      <c r="F461" s="29">
        <f>прил6!F668</f>
        <v>4529401</v>
      </c>
      <c r="G461" s="29">
        <f>F461</f>
        <v>4529401</v>
      </c>
    </row>
    <row r="462" spans="1:7" ht="126">
      <c r="A462" s="27" t="s">
        <v>859</v>
      </c>
      <c r="B462" s="4" t="s">
        <v>399</v>
      </c>
      <c r="C462" s="4"/>
      <c r="D462" s="4"/>
      <c r="E462" s="4"/>
      <c r="F462" s="29">
        <f>F463</f>
        <v>6292309.08</v>
      </c>
      <c r="G462" s="29"/>
    </row>
    <row r="463" spans="1:7" ht="63">
      <c r="A463" s="3" t="s">
        <v>525</v>
      </c>
      <c r="B463" s="4" t="s">
        <v>399</v>
      </c>
      <c r="C463" s="4" t="s">
        <v>609</v>
      </c>
      <c r="D463" s="4"/>
      <c r="E463" s="4"/>
      <c r="F463" s="29">
        <f>F464</f>
        <v>6292309.08</v>
      </c>
      <c r="G463" s="29"/>
    </row>
    <row r="464" spans="1:7" ht="31.5">
      <c r="A464" s="3" t="s">
        <v>606</v>
      </c>
      <c r="B464" s="4" t="s">
        <v>399</v>
      </c>
      <c r="C464" s="4" t="s">
        <v>609</v>
      </c>
      <c r="D464" s="4" t="s">
        <v>44</v>
      </c>
      <c r="E464" s="4"/>
      <c r="F464" s="29">
        <f>F465</f>
        <v>6292309.08</v>
      </c>
      <c r="G464" s="29"/>
    </row>
    <row r="465" spans="1:7" ht="31.5">
      <c r="A465" s="3" t="s">
        <v>737</v>
      </c>
      <c r="B465" s="4" t="s">
        <v>399</v>
      </c>
      <c r="C465" s="4" t="s">
        <v>609</v>
      </c>
      <c r="D465" s="4" t="s">
        <v>44</v>
      </c>
      <c r="E465" s="4" t="s">
        <v>917</v>
      </c>
      <c r="F465" s="29">
        <f>прил6!F670</f>
        <v>6292309.08</v>
      </c>
      <c r="G465" s="29"/>
    </row>
    <row r="466" spans="1:7" ht="141.75">
      <c r="A466" s="3" t="s">
        <v>347</v>
      </c>
      <c r="B466" s="4" t="s">
        <v>400</v>
      </c>
      <c r="C466" s="4"/>
      <c r="D466" s="4"/>
      <c r="E466" s="4"/>
      <c r="F466" s="29">
        <f>F467</f>
        <v>1216352</v>
      </c>
      <c r="G466" s="29">
        <f>F466</f>
        <v>1216352</v>
      </c>
    </row>
    <row r="467" spans="1:7" ht="63">
      <c r="A467" s="3" t="s">
        <v>525</v>
      </c>
      <c r="B467" s="4" t="s">
        <v>400</v>
      </c>
      <c r="C467" s="4" t="s">
        <v>609</v>
      </c>
      <c r="D467" s="4"/>
      <c r="E467" s="4"/>
      <c r="F467" s="29">
        <f>F468</f>
        <v>1216352</v>
      </c>
      <c r="G467" s="29">
        <f>F467</f>
        <v>1216352</v>
      </c>
    </row>
    <row r="468" spans="1:7" ht="31.5">
      <c r="A468" s="3" t="s">
        <v>606</v>
      </c>
      <c r="B468" s="4" t="s">
        <v>400</v>
      </c>
      <c r="C468" s="4" t="s">
        <v>609</v>
      </c>
      <c r="D468" s="4" t="s">
        <v>44</v>
      </c>
      <c r="E468" s="4"/>
      <c r="F468" s="29">
        <f>F469</f>
        <v>1216352</v>
      </c>
      <c r="G468" s="29">
        <f>F468</f>
        <v>1216352</v>
      </c>
    </row>
    <row r="469" spans="1:7" ht="31.5">
      <c r="A469" s="3" t="s">
        <v>737</v>
      </c>
      <c r="B469" s="4" t="s">
        <v>400</v>
      </c>
      <c r="C469" s="4" t="s">
        <v>609</v>
      </c>
      <c r="D469" s="4" t="s">
        <v>44</v>
      </c>
      <c r="E469" s="4" t="s">
        <v>917</v>
      </c>
      <c r="F469" s="29">
        <f>прил6!F672</f>
        <v>1216352</v>
      </c>
      <c r="G469" s="29">
        <f>F469</f>
        <v>1216352</v>
      </c>
    </row>
    <row r="470" spans="1:7" ht="141.75">
      <c r="A470" s="3" t="s">
        <v>347</v>
      </c>
      <c r="B470" s="4" t="s">
        <v>401</v>
      </c>
      <c r="C470" s="4"/>
      <c r="D470" s="4"/>
      <c r="E470" s="4"/>
      <c r="F470" s="29">
        <f>F471</f>
        <v>64018.53</v>
      </c>
      <c r="G470" s="29"/>
    </row>
    <row r="471" spans="1:7" ht="63">
      <c r="A471" s="3" t="s">
        <v>525</v>
      </c>
      <c r="B471" s="4" t="s">
        <v>401</v>
      </c>
      <c r="C471" s="4" t="s">
        <v>609</v>
      </c>
      <c r="D471" s="4"/>
      <c r="E471" s="4"/>
      <c r="F471" s="29">
        <f>F472</f>
        <v>64018.53</v>
      </c>
      <c r="G471" s="29"/>
    </row>
    <row r="472" spans="1:7" ht="31.5">
      <c r="A472" s="3" t="s">
        <v>606</v>
      </c>
      <c r="B472" s="4" t="s">
        <v>401</v>
      </c>
      <c r="C472" s="4" t="s">
        <v>609</v>
      </c>
      <c r="D472" s="4" t="s">
        <v>44</v>
      </c>
      <c r="E472" s="4"/>
      <c r="F472" s="29">
        <f>F473</f>
        <v>64018.53</v>
      </c>
      <c r="G472" s="29"/>
    </row>
    <row r="473" spans="1:7" ht="31.5">
      <c r="A473" s="3" t="s">
        <v>737</v>
      </c>
      <c r="B473" s="4" t="s">
        <v>401</v>
      </c>
      <c r="C473" s="4" t="s">
        <v>609</v>
      </c>
      <c r="D473" s="4" t="s">
        <v>44</v>
      </c>
      <c r="E473" s="4" t="s">
        <v>917</v>
      </c>
      <c r="F473" s="29">
        <f>прил6!F674</f>
        <v>64018.53</v>
      </c>
      <c r="G473" s="29"/>
    </row>
    <row r="474" spans="1:7" ht="141.75">
      <c r="A474" s="3" t="s">
        <v>359</v>
      </c>
      <c r="B474" s="4" t="s">
        <v>433</v>
      </c>
      <c r="C474" s="4"/>
      <c r="D474" s="4"/>
      <c r="E474" s="4"/>
      <c r="F474" s="29">
        <f>F475</f>
        <v>3327</v>
      </c>
      <c r="G474" s="29">
        <f aca="true" t="shared" si="8" ref="G474:G481">F474</f>
        <v>3327</v>
      </c>
    </row>
    <row r="475" spans="1:7" ht="63">
      <c r="A475" s="3" t="s">
        <v>525</v>
      </c>
      <c r="B475" s="4" t="s">
        <v>433</v>
      </c>
      <c r="C475" s="4" t="s">
        <v>609</v>
      </c>
      <c r="D475" s="4"/>
      <c r="E475" s="4"/>
      <c r="F475" s="29">
        <f>F476</f>
        <v>3327</v>
      </c>
      <c r="G475" s="29">
        <f t="shared" si="8"/>
        <v>3327</v>
      </c>
    </row>
    <row r="476" spans="1:7" ht="31.5">
      <c r="A476" s="3" t="s">
        <v>54</v>
      </c>
      <c r="B476" s="4" t="s">
        <v>433</v>
      </c>
      <c r="C476" s="4" t="s">
        <v>609</v>
      </c>
      <c r="D476" s="4" t="s">
        <v>48</v>
      </c>
      <c r="E476" s="4"/>
      <c r="F476" s="29">
        <f>F477</f>
        <v>3327</v>
      </c>
      <c r="G476" s="29">
        <f t="shared" si="8"/>
        <v>3327</v>
      </c>
    </row>
    <row r="477" spans="1:7" ht="31.5">
      <c r="A477" s="3" t="s">
        <v>738</v>
      </c>
      <c r="B477" s="4" t="s">
        <v>433</v>
      </c>
      <c r="C477" s="4" t="s">
        <v>609</v>
      </c>
      <c r="D477" s="4" t="s">
        <v>48</v>
      </c>
      <c r="E477" s="4" t="s">
        <v>47</v>
      </c>
      <c r="F477" s="29">
        <f>прил6!F778</f>
        <v>3327</v>
      </c>
      <c r="G477" s="29">
        <f t="shared" si="8"/>
        <v>3327</v>
      </c>
    </row>
    <row r="478" spans="1:7" ht="126">
      <c r="A478" s="3" t="s">
        <v>496</v>
      </c>
      <c r="B478" s="4" t="s">
        <v>434</v>
      </c>
      <c r="C478" s="4"/>
      <c r="D478" s="4"/>
      <c r="E478" s="4"/>
      <c r="F478" s="29">
        <f>F479</f>
        <v>491200</v>
      </c>
      <c r="G478" s="29">
        <f t="shared" si="8"/>
        <v>491200</v>
      </c>
    </row>
    <row r="479" spans="1:7" ht="63">
      <c r="A479" s="3" t="s">
        <v>525</v>
      </c>
      <c r="B479" s="4" t="s">
        <v>434</v>
      </c>
      <c r="C479" s="4" t="s">
        <v>609</v>
      </c>
      <c r="D479" s="4"/>
      <c r="E479" s="4"/>
      <c r="F479" s="29">
        <f>F480</f>
        <v>491200</v>
      </c>
      <c r="G479" s="29">
        <f t="shared" si="8"/>
        <v>491200</v>
      </c>
    </row>
    <row r="480" spans="1:7" ht="31.5">
      <c r="A480" s="3" t="s">
        <v>54</v>
      </c>
      <c r="B480" s="4" t="s">
        <v>434</v>
      </c>
      <c r="C480" s="4" t="s">
        <v>609</v>
      </c>
      <c r="D480" s="4" t="s">
        <v>48</v>
      </c>
      <c r="E480" s="4"/>
      <c r="F480" s="29">
        <f>F481</f>
        <v>491200</v>
      </c>
      <c r="G480" s="29">
        <f t="shared" si="8"/>
        <v>491200</v>
      </c>
    </row>
    <row r="481" spans="1:7" ht="31.5">
      <c r="A481" s="3" t="s">
        <v>738</v>
      </c>
      <c r="B481" s="4" t="s">
        <v>434</v>
      </c>
      <c r="C481" s="4" t="s">
        <v>609</v>
      </c>
      <c r="D481" s="4" t="s">
        <v>48</v>
      </c>
      <c r="E481" s="4" t="s">
        <v>47</v>
      </c>
      <c r="F481" s="29">
        <f>прил6!F780</f>
        <v>491200</v>
      </c>
      <c r="G481" s="29">
        <f t="shared" si="8"/>
        <v>491200</v>
      </c>
    </row>
    <row r="482" spans="1:7" ht="63">
      <c r="A482" s="27" t="s">
        <v>392</v>
      </c>
      <c r="B482" s="4" t="s">
        <v>402</v>
      </c>
      <c r="C482" s="4"/>
      <c r="D482" s="4"/>
      <c r="E482" s="4"/>
      <c r="F482" s="29">
        <f>F483</f>
        <v>400000</v>
      </c>
      <c r="G482" s="29"/>
    </row>
    <row r="483" spans="1:7" ht="94.5">
      <c r="A483" s="3" t="s">
        <v>749</v>
      </c>
      <c r="B483" s="4" t="s">
        <v>403</v>
      </c>
      <c r="C483" s="4"/>
      <c r="D483" s="4"/>
      <c r="E483" s="4"/>
      <c r="F483" s="29">
        <f>F484</f>
        <v>400000</v>
      </c>
      <c r="G483" s="29"/>
    </row>
    <row r="484" spans="1:7" ht="63">
      <c r="A484" s="3" t="s">
        <v>525</v>
      </c>
      <c r="B484" s="4" t="s">
        <v>403</v>
      </c>
      <c r="C484" s="4" t="s">
        <v>609</v>
      </c>
      <c r="D484" s="4"/>
      <c r="E484" s="4"/>
      <c r="F484" s="29">
        <f>F485</f>
        <v>400000</v>
      </c>
      <c r="G484" s="29"/>
    </row>
    <row r="485" spans="1:7" ht="31.5">
      <c r="A485" s="3" t="s">
        <v>606</v>
      </c>
      <c r="B485" s="4" t="s">
        <v>403</v>
      </c>
      <c r="C485" s="4" t="s">
        <v>609</v>
      </c>
      <c r="D485" s="4" t="s">
        <v>44</v>
      </c>
      <c r="E485" s="4"/>
      <c r="F485" s="29">
        <f>F486</f>
        <v>400000</v>
      </c>
      <c r="G485" s="29"/>
    </row>
    <row r="486" spans="1:7" ht="31.5">
      <c r="A486" s="3" t="s">
        <v>737</v>
      </c>
      <c r="B486" s="4" t="s">
        <v>403</v>
      </c>
      <c r="C486" s="4" t="s">
        <v>609</v>
      </c>
      <c r="D486" s="4" t="s">
        <v>44</v>
      </c>
      <c r="E486" s="4" t="s">
        <v>917</v>
      </c>
      <c r="F486" s="29">
        <f>прил6!F677</f>
        <v>400000</v>
      </c>
      <c r="G486" s="29"/>
    </row>
    <row r="487" spans="1:7" ht="31.5">
      <c r="A487" s="3" t="s">
        <v>3</v>
      </c>
      <c r="B487" s="4" t="s">
        <v>404</v>
      </c>
      <c r="C487" s="4"/>
      <c r="D487" s="4"/>
      <c r="E487" s="4"/>
      <c r="F487" s="29">
        <f>F488+F517+F526+F531</f>
        <v>51105088</v>
      </c>
      <c r="G487" s="29">
        <f>G488+G517+G526+G531</f>
        <v>2480044</v>
      </c>
    </row>
    <row r="488" spans="1:7" ht="63">
      <c r="A488" s="3" t="s">
        <v>405</v>
      </c>
      <c r="B488" s="4" t="s">
        <v>406</v>
      </c>
      <c r="C488" s="4"/>
      <c r="D488" s="4"/>
      <c r="E488" s="4"/>
      <c r="F488" s="29">
        <f>F489+F493+F497+F501+F505+F509+F513</f>
        <v>42409073.45</v>
      </c>
      <c r="G488" s="29">
        <f>G489+G493+G497+G501+G505+G509+G513</f>
        <v>2416931</v>
      </c>
    </row>
    <row r="489" spans="1:7" ht="94.5">
      <c r="A489" s="3" t="s">
        <v>749</v>
      </c>
      <c r="B489" s="4" t="s">
        <v>407</v>
      </c>
      <c r="C489" s="4"/>
      <c r="D489" s="4"/>
      <c r="E489" s="4"/>
      <c r="F489" s="29">
        <f>F490</f>
        <v>39228240.48</v>
      </c>
      <c r="G489" s="29"/>
    </row>
    <row r="490" spans="1:7" ht="63">
      <c r="A490" s="3" t="s">
        <v>525</v>
      </c>
      <c r="B490" s="4" t="s">
        <v>407</v>
      </c>
      <c r="C490" s="4" t="s">
        <v>609</v>
      </c>
      <c r="D490" s="4"/>
      <c r="E490" s="4"/>
      <c r="F490" s="29">
        <f>F491</f>
        <v>39228240.48</v>
      </c>
      <c r="G490" s="29"/>
    </row>
    <row r="491" spans="1:7" ht="31.5">
      <c r="A491" s="3" t="s">
        <v>606</v>
      </c>
      <c r="B491" s="4" t="s">
        <v>407</v>
      </c>
      <c r="C491" s="4" t="s">
        <v>609</v>
      </c>
      <c r="D491" s="4" t="s">
        <v>44</v>
      </c>
      <c r="E491" s="4"/>
      <c r="F491" s="29">
        <f>F492</f>
        <v>39228240.48</v>
      </c>
      <c r="G491" s="29"/>
    </row>
    <row r="492" spans="1:7" ht="31.5">
      <c r="A492" s="3" t="s">
        <v>737</v>
      </c>
      <c r="B492" s="4" t="s">
        <v>407</v>
      </c>
      <c r="C492" s="4" t="s">
        <v>609</v>
      </c>
      <c r="D492" s="4" t="s">
        <v>44</v>
      </c>
      <c r="E492" s="4" t="s">
        <v>917</v>
      </c>
      <c r="F492" s="29">
        <f>прил6!F681</f>
        <v>39228240.48</v>
      </c>
      <c r="G492" s="29"/>
    </row>
    <row r="493" spans="1:7" ht="132" customHeight="1">
      <c r="A493" s="3" t="s">
        <v>859</v>
      </c>
      <c r="B493" s="4" t="s">
        <v>408</v>
      </c>
      <c r="C493" s="4"/>
      <c r="D493" s="4"/>
      <c r="E493" s="4"/>
      <c r="F493" s="29">
        <f>F494</f>
        <v>2023853</v>
      </c>
      <c r="G493" s="29">
        <f>F493</f>
        <v>2023853</v>
      </c>
    </row>
    <row r="494" spans="1:7" ht="63">
      <c r="A494" s="3" t="s">
        <v>525</v>
      </c>
      <c r="B494" s="4" t="s">
        <v>408</v>
      </c>
      <c r="C494" s="4" t="s">
        <v>609</v>
      </c>
      <c r="D494" s="4"/>
      <c r="E494" s="4"/>
      <c r="F494" s="29">
        <f>F495</f>
        <v>2023853</v>
      </c>
      <c r="G494" s="29">
        <f>F494</f>
        <v>2023853</v>
      </c>
    </row>
    <row r="495" spans="1:7" ht="31.5">
      <c r="A495" s="3" t="s">
        <v>606</v>
      </c>
      <c r="B495" s="4" t="s">
        <v>408</v>
      </c>
      <c r="C495" s="4" t="s">
        <v>609</v>
      </c>
      <c r="D495" s="4" t="s">
        <v>44</v>
      </c>
      <c r="E495" s="4"/>
      <c r="F495" s="29">
        <f>F496</f>
        <v>2023853</v>
      </c>
      <c r="G495" s="29">
        <f>F495</f>
        <v>2023853</v>
      </c>
    </row>
    <row r="496" spans="1:7" ht="31.5">
      <c r="A496" s="3" t="s">
        <v>737</v>
      </c>
      <c r="B496" s="4" t="s">
        <v>408</v>
      </c>
      <c r="C496" s="4" t="s">
        <v>609</v>
      </c>
      <c r="D496" s="4" t="s">
        <v>44</v>
      </c>
      <c r="E496" s="4" t="s">
        <v>917</v>
      </c>
      <c r="F496" s="29">
        <f>прил6!F683</f>
        <v>2023853</v>
      </c>
      <c r="G496" s="29">
        <f>F496</f>
        <v>2023853</v>
      </c>
    </row>
    <row r="497" spans="1:7" ht="133.5" customHeight="1">
      <c r="A497" s="3" t="s">
        <v>859</v>
      </c>
      <c r="B497" s="4" t="s">
        <v>409</v>
      </c>
      <c r="C497" s="4"/>
      <c r="D497" s="4"/>
      <c r="E497" s="4"/>
      <c r="F497" s="29">
        <f>F498</f>
        <v>752849.34</v>
      </c>
      <c r="G497" s="29"/>
    </row>
    <row r="498" spans="1:7" ht="63">
      <c r="A498" s="3" t="s">
        <v>525</v>
      </c>
      <c r="B498" s="4" t="s">
        <v>409</v>
      </c>
      <c r="C498" s="4" t="s">
        <v>609</v>
      </c>
      <c r="D498" s="4"/>
      <c r="E498" s="4"/>
      <c r="F498" s="29">
        <f>F499</f>
        <v>752849.34</v>
      </c>
      <c r="G498" s="29"/>
    </row>
    <row r="499" spans="1:7" ht="31.5">
      <c r="A499" s="3" t="s">
        <v>606</v>
      </c>
      <c r="B499" s="4" t="s">
        <v>409</v>
      </c>
      <c r="C499" s="4" t="s">
        <v>609</v>
      </c>
      <c r="D499" s="4" t="s">
        <v>44</v>
      </c>
      <c r="E499" s="4"/>
      <c r="F499" s="29">
        <f>F500</f>
        <v>752849.34</v>
      </c>
      <c r="G499" s="29"/>
    </row>
    <row r="500" spans="1:7" ht="31.5">
      <c r="A500" s="3" t="s">
        <v>737</v>
      </c>
      <c r="B500" s="4" t="s">
        <v>409</v>
      </c>
      <c r="C500" s="4" t="s">
        <v>609</v>
      </c>
      <c r="D500" s="4" t="s">
        <v>44</v>
      </c>
      <c r="E500" s="4" t="s">
        <v>917</v>
      </c>
      <c r="F500" s="29">
        <f>прил6!F685</f>
        <v>752849.34</v>
      </c>
      <c r="G500" s="29"/>
    </row>
    <row r="501" spans="1:7" ht="141.75">
      <c r="A501" s="3" t="s">
        <v>347</v>
      </c>
      <c r="B501" s="4" t="s">
        <v>410</v>
      </c>
      <c r="C501" s="4"/>
      <c r="D501" s="4"/>
      <c r="E501" s="4"/>
      <c r="F501" s="29">
        <f>F502</f>
        <v>210000</v>
      </c>
      <c r="G501" s="29">
        <f>F501</f>
        <v>210000</v>
      </c>
    </row>
    <row r="502" spans="1:7" ht="63">
      <c r="A502" s="3" t="s">
        <v>525</v>
      </c>
      <c r="B502" s="4" t="s">
        <v>410</v>
      </c>
      <c r="C502" s="4" t="s">
        <v>609</v>
      </c>
      <c r="D502" s="4"/>
      <c r="E502" s="4"/>
      <c r="F502" s="29">
        <f>F503</f>
        <v>210000</v>
      </c>
      <c r="G502" s="29">
        <f>F502</f>
        <v>210000</v>
      </c>
    </row>
    <row r="503" spans="1:7" ht="31.5">
      <c r="A503" s="3" t="s">
        <v>606</v>
      </c>
      <c r="B503" s="4" t="s">
        <v>410</v>
      </c>
      <c r="C503" s="4" t="s">
        <v>609</v>
      </c>
      <c r="D503" s="4" t="s">
        <v>44</v>
      </c>
      <c r="E503" s="4"/>
      <c r="F503" s="29">
        <f>F504</f>
        <v>210000</v>
      </c>
      <c r="G503" s="29">
        <f>F503</f>
        <v>210000</v>
      </c>
    </row>
    <row r="504" spans="1:7" ht="31.5">
      <c r="A504" s="3" t="s">
        <v>737</v>
      </c>
      <c r="B504" s="4" t="s">
        <v>410</v>
      </c>
      <c r="C504" s="4" t="s">
        <v>609</v>
      </c>
      <c r="D504" s="4" t="s">
        <v>44</v>
      </c>
      <c r="E504" s="4" t="s">
        <v>917</v>
      </c>
      <c r="F504" s="29">
        <f>прил6!F687</f>
        <v>210000</v>
      </c>
      <c r="G504" s="29">
        <f>F504</f>
        <v>210000</v>
      </c>
    </row>
    <row r="505" spans="1:7" ht="141.75">
      <c r="A505" s="3" t="s">
        <v>347</v>
      </c>
      <c r="B505" s="4" t="s">
        <v>411</v>
      </c>
      <c r="C505" s="4"/>
      <c r="D505" s="4"/>
      <c r="E505" s="4"/>
      <c r="F505" s="29">
        <f>F506</f>
        <v>11052.63</v>
      </c>
      <c r="G505" s="29"/>
    </row>
    <row r="506" spans="1:7" ht="63">
      <c r="A506" s="3" t="s">
        <v>525</v>
      </c>
      <c r="B506" s="4" t="s">
        <v>411</v>
      </c>
      <c r="C506" s="4" t="s">
        <v>609</v>
      </c>
      <c r="D506" s="4"/>
      <c r="E506" s="4"/>
      <c r="F506" s="29">
        <f>F507</f>
        <v>11052.63</v>
      </c>
      <c r="G506" s="29"/>
    </row>
    <row r="507" spans="1:7" ht="31.5">
      <c r="A507" s="3" t="s">
        <v>606</v>
      </c>
      <c r="B507" s="4" t="s">
        <v>411</v>
      </c>
      <c r="C507" s="4" t="s">
        <v>609</v>
      </c>
      <c r="D507" s="4" t="s">
        <v>44</v>
      </c>
      <c r="E507" s="4"/>
      <c r="F507" s="29">
        <f>F508</f>
        <v>11052.63</v>
      </c>
      <c r="G507" s="29"/>
    </row>
    <row r="508" spans="1:7" ht="31.5">
      <c r="A508" s="3" t="s">
        <v>737</v>
      </c>
      <c r="B508" s="4" t="s">
        <v>411</v>
      </c>
      <c r="C508" s="4" t="s">
        <v>609</v>
      </c>
      <c r="D508" s="4" t="s">
        <v>44</v>
      </c>
      <c r="E508" s="4" t="s">
        <v>917</v>
      </c>
      <c r="F508" s="29">
        <f>прил6!F689</f>
        <v>11052.63</v>
      </c>
      <c r="G508" s="29"/>
    </row>
    <row r="509" spans="1:7" ht="141.75">
      <c r="A509" s="3" t="s">
        <v>359</v>
      </c>
      <c r="B509" s="4" t="s">
        <v>435</v>
      </c>
      <c r="C509" s="4"/>
      <c r="D509" s="4"/>
      <c r="E509" s="4"/>
      <c r="F509" s="29">
        <f>F510</f>
        <v>1340</v>
      </c>
      <c r="G509" s="29">
        <f aca="true" t="shared" si="9" ref="G509:G516">F509</f>
        <v>1340</v>
      </c>
    </row>
    <row r="510" spans="1:7" ht="63">
      <c r="A510" s="3" t="s">
        <v>525</v>
      </c>
      <c r="B510" s="4" t="s">
        <v>435</v>
      </c>
      <c r="C510" s="4" t="s">
        <v>609</v>
      </c>
      <c r="D510" s="4"/>
      <c r="E510" s="4"/>
      <c r="F510" s="29">
        <f>F511</f>
        <v>1340</v>
      </c>
      <c r="G510" s="29">
        <f t="shared" si="9"/>
        <v>1340</v>
      </c>
    </row>
    <row r="511" spans="1:7" ht="31.5">
      <c r="A511" s="3" t="s">
        <v>54</v>
      </c>
      <c r="B511" s="4" t="s">
        <v>435</v>
      </c>
      <c r="C511" s="4" t="s">
        <v>609</v>
      </c>
      <c r="D511" s="4" t="s">
        <v>48</v>
      </c>
      <c r="E511" s="4"/>
      <c r="F511" s="29">
        <f>F512</f>
        <v>1340</v>
      </c>
      <c r="G511" s="29">
        <f t="shared" si="9"/>
        <v>1340</v>
      </c>
    </row>
    <row r="512" spans="1:7" ht="31.5">
      <c r="A512" s="3" t="s">
        <v>738</v>
      </c>
      <c r="B512" s="4" t="s">
        <v>435</v>
      </c>
      <c r="C512" s="4" t="s">
        <v>609</v>
      </c>
      <c r="D512" s="4" t="s">
        <v>48</v>
      </c>
      <c r="E512" s="4" t="s">
        <v>47</v>
      </c>
      <c r="F512" s="29">
        <f>прил6!F784</f>
        <v>1340</v>
      </c>
      <c r="G512" s="29">
        <f t="shared" si="9"/>
        <v>1340</v>
      </c>
    </row>
    <row r="513" spans="1:7" ht="126">
      <c r="A513" s="3" t="s">
        <v>496</v>
      </c>
      <c r="B513" s="4" t="s">
        <v>436</v>
      </c>
      <c r="C513" s="4"/>
      <c r="D513" s="4"/>
      <c r="E513" s="4"/>
      <c r="F513" s="29">
        <f>F514</f>
        <v>181738</v>
      </c>
      <c r="G513" s="29">
        <f t="shared" si="9"/>
        <v>181738</v>
      </c>
    </row>
    <row r="514" spans="1:7" ht="63">
      <c r="A514" s="3" t="s">
        <v>525</v>
      </c>
      <c r="B514" s="4" t="s">
        <v>436</v>
      </c>
      <c r="C514" s="4" t="s">
        <v>609</v>
      </c>
      <c r="D514" s="4"/>
      <c r="E514" s="4"/>
      <c r="F514" s="29">
        <f>F515</f>
        <v>181738</v>
      </c>
      <c r="G514" s="29">
        <f t="shared" si="9"/>
        <v>181738</v>
      </c>
    </row>
    <row r="515" spans="1:7" ht="31.5">
      <c r="A515" s="3" t="s">
        <v>54</v>
      </c>
      <c r="B515" s="4" t="s">
        <v>436</v>
      </c>
      <c r="C515" s="4" t="s">
        <v>609</v>
      </c>
      <c r="D515" s="4" t="s">
        <v>48</v>
      </c>
      <c r="E515" s="4"/>
      <c r="F515" s="29">
        <f>F516</f>
        <v>181738</v>
      </c>
      <c r="G515" s="29">
        <f t="shared" si="9"/>
        <v>181738</v>
      </c>
    </row>
    <row r="516" spans="1:7" ht="31.5">
      <c r="A516" s="3" t="s">
        <v>738</v>
      </c>
      <c r="B516" s="4" t="s">
        <v>436</v>
      </c>
      <c r="C516" s="4" t="s">
        <v>609</v>
      </c>
      <c r="D516" s="4" t="s">
        <v>48</v>
      </c>
      <c r="E516" s="4" t="s">
        <v>47</v>
      </c>
      <c r="F516" s="29">
        <f>прил6!F786</f>
        <v>181738</v>
      </c>
      <c r="G516" s="29">
        <f t="shared" si="9"/>
        <v>181738</v>
      </c>
    </row>
    <row r="517" spans="1:7" ht="47.25">
      <c r="A517" s="3" t="s">
        <v>412</v>
      </c>
      <c r="B517" s="4" t="s">
        <v>413</v>
      </c>
      <c r="C517" s="4"/>
      <c r="D517" s="4"/>
      <c r="E517" s="4"/>
      <c r="F517" s="29">
        <f>F518+F522</f>
        <v>4103071</v>
      </c>
      <c r="G517" s="29">
        <f>G518+G522</f>
        <v>13113</v>
      </c>
    </row>
    <row r="518" spans="1:7" ht="94.5">
      <c r="A518" s="3" t="s">
        <v>749</v>
      </c>
      <c r="B518" s="4" t="s">
        <v>414</v>
      </c>
      <c r="C518" s="4"/>
      <c r="D518" s="4"/>
      <c r="E518" s="4"/>
      <c r="F518" s="29">
        <f>F519</f>
        <v>4089958</v>
      </c>
      <c r="G518" s="29"/>
    </row>
    <row r="519" spans="1:7" ht="63">
      <c r="A519" s="3" t="s">
        <v>525</v>
      </c>
      <c r="B519" s="4" t="s">
        <v>414</v>
      </c>
      <c r="C519" s="4" t="s">
        <v>609</v>
      </c>
      <c r="D519" s="4"/>
      <c r="E519" s="4"/>
      <c r="F519" s="29">
        <f>F520</f>
        <v>4089958</v>
      </c>
      <c r="G519" s="29"/>
    </row>
    <row r="520" spans="1:7" ht="31.5">
      <c r="A520" s="3" t="s">
        <v>606</v>
      </c>
      <c r="B520" s="4" t="s">
        <v>414</v>
      </c>
      <c r="C520" s="4" t="s">
        <v>609</v>
      </c>
      <c r="D520" s="4" t="s">
        <v>44</v>
      </c>
      <c r="E520" s="4"/>
      <c r="F520" s="29">
        <f>F521</f>
        <v>4089958</v>
      </c>
      <c r="G520" s="29"/>
    </row>
    <row r="521" spans="1:7" ht="31.5">
      <c r="A521" s="3" t="s">
        <v>737</v>
      </c>
      <c r="B521" s="4" t="s">
        <v>414</v>
      </c>
      <c r="C521" s="4" t="s">
        <v>609</v>
      </c>
      <c r="D521" s="4" t="s">
        <v>44</v>
      </c>
      <c r="E521" s="4" t="s">
        <v>917</v>
      </c>
      <c r="F521" s="29">
        <f>прил6!F692</f>
        <v>4089958</v>
      </c>
      <c r="G521" s="29"/>
    </row>
    <row r="522" spans="1:7" ht="78.75">
      <c r="A522" s="3" t="s">
        <v>1149</v>
      </c>
      <c r="B522" s="4" t="s">
        <v>415</v>
      </c>
      <c r="C522" s="4"/>
      <c r="D522" s="4"/>
      <c r="E522" s="4"/>
      <c r="F522" s="29">
        <f>F523</f>
        <v>13113</v>
      </c>
      <c r="G522" s="29">
        <f>F522</f>
        <v>13113</v>
      </c>
    </row>
    <row r="523" spans="1:7" ht="63">
      <c r="A523" s="3" t="s">
        <v>525</v>
      </c>
      <c r="B523" s="4" t="s">
        <v>415</v>
      </c>
      <c r="C523" s="4" t="s">
        <v>609</v>
      </c>
      <c r="D523" s="4"/>
      <c r="E523" s="4"/>
      <c r="F523" s="29">
        <f>F524</f>
        <v>13113</v>
      </c>
      <c r="G523" s="29">
        <f>F523</f>
        <v>13113</v>
      </c>
    </row>
    <row r="524" spans="1:7" ht="31.5">
      <c r="A524" s="3" t="s">
        <v>606</v>
      </c>
      <c r="B524" s="4" t="s">
        <v>415</v>
      </c>
      <c r="C524" s="4" t="s">
        <v>609</v>
      </c>
      <c r="D524" s="4" t="s">
        <v>44</v>
      </c>
      <c r="E524" s="4"/>
      <c r="F524" s="29">
        <f>F525</f>
        <v>13113</v>
      </c>
      <c r="G524" s="29">
        <f>F524</f>
        <v>13113</v>
      </c>
    </row>
    <row r="525" spans="1:7" ht="31.5">
      <c r="A525" s="3" t="s">
        <v>737</v>
      </c>
      <c r="B525" s="4" t="s">
        <v>415</v>
      </c>
      <c r="C525" s="4" t="s">
        <v>609</v>
      </c>
      <c r="D525" s="4" t="s">
        <v>44</v>
      </c>
      <c r="E525" s="4" t="s">
        <v>917</v>
      </c>
      <c r="F525" s="29">
        <f>прил6!F694</f>
        <v>13113</v>
      </c>
      <c r="G525" s="29">
        <f>F525</f>
        <v>13113</v>
      </c>
    </row>
    <row r="526" spans="1:7" ht="47.25">
      <c r="A526" s="3" t="s">
        <v>1148</v>
      </c>
      <c r="B526" s="4" t="s">
        <v>416</v>
      </c>
      <c r="C526" s="4"/>
      <c r="D526" s="4"/>
      <c r="E526" s="4"/>
      <c r="F526" s="29">
        <f>F527</f>
        <v>4434436.55</v>
      </c>
      <c r="G526" s="29"/>
    </row>
    <row r="527" spans="1:7" ht="94.5">
      <c r="A527" s="3" t="s">
        <v>749</v>
      </c>
      <c r="B527" s="4" t="s">
        <v>417</v>
      </c>
      <c r="C527" s="4"/>
      <c r="D527" s="4"/>
      <c r="E527" s="4"/>
      <c r="F527" s="29">
        <f>F528</f>
        <v>4434436.55</v>
      </c>
      <c r="G527" s="29"/>
    </row>
    <row r="528" spans="1:7" ht="63">
      <c r="A528" s="3" t="s">
        <v>525</v>
      </c>
      <c r="B528" s="4" t="s">
        <v>417</v>
      </c>
      <c r="C528" s="4" t="s">
        <v>609</v>
      </c>
      <c r="D528" s="4"/>
      <c r="E528" s="4"/>
      <c r="F528" s="29">
        <f>F529</f>
        <v>4434436.55</v>
      </c>
      <c r="G528" s="29"/>
    </row>
    <row r="529" spans="1:7" ht="31.5">
      <c r="A529" s="3" t="s">
        <v>606</v>
      </c>
      <c r="B529" s="4" t="s">
        <v>417</v>
      </c>
      <c r="C529" s="4" t="s">
        <v>609</v>
      </c>
      <c r="D529" s="4" t="s">
        <v>44</v>
      </c>
      <c r="E529" s="4"/>
      <c r="F529" s="29">
        <f>F530</f>
        <v>4434436.55</v>
      </c>
      <c r="G529" s="29"/>
    </row>
    <row r="530" spans="1:7" ht="31.5">
      <c r="A530" s="3" t="s">
        <v>737</v>
      </c>
      <c r="B530" s="4" t="s">
        <v>417</v>
      </c>
      <c r="C530" s="4" t="s">
        <v>609</v>
      </c>
      <c r="D530" s="4" t="s">
        <v>44</v>
      </c>
      <c r="E530" s="4" t="s">
        <v>917</v>
      </c>
      <c r="F530" s="29">
        <f>прил6!F697</f>
        <v>4434436.55</v>
      </c>
      <c r="G530" s="29"/>
    </row>
    <row r="531" spans="1:7" ht="94.5">
      <c r="A531" s="3" t="s">
        <v>418</v>
      </c>
      <c r="B531" s="4" t="s">
        <v>419</v>
      </c>
      <c r="C531" s="4"/>
      <c r="D531" s="4"/>
      <c r="E531" s="4"/>
      <c r="F531" s="29">
        <f>F532+F536</f>
        <v>158507</v>
      </c>
      <c r="G531" s="29">
        <f>G532+G536</f>
        <v>50000</v>
      </c>
    </row>
    <row r="532" spans="1:7" ht="94.5">
      <c r="A532" s="3" t="s">
        <v>749</v>
      </c>
      <c r="B532" s="4" t="s">
        <v>420</v>
      </c>
      <c r="C532" s="4"/>
      <c r="D532" s="4"/>
      <c r="E532" s="4"/>
      <c r="F532" s="29">
        <f>F533</f>
        <v>108507</v>
      </c>
      <c r="G532" s="29"/>
    </row>
    <row r="533" spans="1:7" ht="63">
      <c r="A533" s="3" t="s">
        <v>525</v>
      </c>
      <c r="B533" s="4" t="s">
        <v>420</v>
      </c>
      <c r="C533" s="4" t="s">
        <v>609</v>
      </c>
      <c r="D533" s="4"/>
      <c r="E533" s="4"/>
      <c r="F533" s="29">
        <f>F534</f>
        <v>108507</v>
      </c>
      <c r="G533" s="29"/>
    </row>
    <row r="534" spans="1:7" ht="31.5">
      <c r="A534" s="3" t="s">
        <v>606</v>
      </c>
      <c r="B534" s="4" t="s">
        <v>420</v>
      </c>
      <c r="C534" s="4" t="s">
        <v>609</v>
      </c>
      <c r="D534" s="4" t="s">
        <v>44</v>
      </c>
      <c r="E534" s="4"/>
      <c r="F534" s="29">
        <f>F535</f>
        <v>108507</v>
      </c>
      <c r="G534" s="29"/>
    </row>
    <row r="535" spans="1:7" ht="31.5">
      <c r="A535" s="3" t="s">
        <v>737</v>
      </c>
      <c r="B535" s="4" t="s">
        <v>420</v>
      </c>
      <c r="C535" s="4" t="s">
        <v>609</v>
      </c>
      <c r="D535" s="4" t="s">
        <v>44</v>
      </c>
      <c r="E535" s="4" t="s">
        <v>917</v>
      </c>
      <c r="F535" s="29">
        <f>прил6!F700</f>
        <v>108507</v>
      </c>
      <c r="G535" s="29"/>
    </row>
    <row r="536" spans="1:7" ht="78.75">
      <c r="A536" s="3" t="s">
        <v>1162</v>
      </c>
      <c r="B536" s="4" t="s">
        <v>1207</v>
      </c>
      <c r="C536" s="4"/>
      <c r="D536" s="4"/>
      <c r="E536" s="4"/>
      <c r="F536" s="29">
        <f aca="true" t="shared" si="10" ref="F536:G538">F537</f>
        <v>50000</v>
      </c>
      <c r="G536" s="29">
        <f t="shared" si="10"/>
        <v>50000</v>
      </c>
    </row>
    <row r="537" spans="1:7" ht="63">
      <c r="A537" s="3" t="s">
        <v>525</v>
      </c>
      <c r="B537" s="4" t="s">
        <v>1207</v>
      </c>
      <c r="C537" s="4" t="s">
        <v>609</v>
      </c>
      <c r="D537" s="4"/>
      <c r="E537" s="4"/>
      <c r="F537" s="29">
        <f t="shared" si="10"/>
        <v>50000</v>
      </c>
      <c r="G537" s="29">
        <f t="shared" si="10"/>
        <v>50000</v>
      </c>
    </row>
    <row r="538" spans="1:7" ht="31.5">
      <c r="A538" s="3" t="s">
        <v>606</v>
      </c>
      <c r="B538" s="4" t="s">
        <v>1207</v>
      </c>
      <c r="C538" s="4" t="s">
        <v>609</v>
      </c>
      <c r="D538" s="4" t="s">
        <v>44</v>
      </c>
      <c r="E538" s="4"/>
      <c r="F538" s="29">
        <f t="shared" si="10"/>
        <v>50000</v>
      </c>
      <c r="G538" s="29">
        <f t="shared" si="10"/>
        <v>50000</v>
      </c>
    </row>
    <row r="539" spans="1:7" ht="31.5">
      <c r="A539" s="3" t="s">
        <v>737</v>
      </c>
      <c r="B539" s="4" t="s">
        <v>1207</v>
      </c>
      <c r="C539" s="4" t="s">
        <v>609</v>
      </c>
      <c r="D539" s="4" t="s">
        <v>44</v>
      </c>
      <c r="E539" s="4" t="s">
        <v>917</v>
      </c>
      <c r="F539" s="29">
        <f>прил6!F702</f>
        <v>50000</v>
      </c>
      <c r="G539" s="29">
        <f>F539</f>
        <v>50000</v>
      </c>
    </row>
    <row r="540" spans="1:7" ht="31.5">
      <c r="A540" s="3" t="s">
        <v>135</v>
      </c>
      <c r="B540" s="4" t="s">
        <v>421</v>
      </c>
      <c r="C540" s="4"/>
      <c r="D540" s="4"/>
      <c r="E540" s="4"/>
      <c r="F540" s="29">
        <f>F541+F546+F551</f>
        <v>13664747.999999998</v>
      </c>
      <c r="G540" s="29">
        <f>G541+G546+G551</f>
        <v>582512</v>
      </c>
    </row>
    <row r="541" spans="1:7" ht="31.5">
      <c r="A541" s="3" t="s">
        <v>422</v>
      </c>
      <c r="B541" s="4" t="s">
        <v>423</v>
      </c>
      <c r="C541" s="4"/>
      <c r="D541" s="4"/>
      <c r="E541" s="4"/>
      <c r="F541" s="29">
        <f>F542</f>
        <v>46980</v>
      </c>
      <c r="G541" s="29"/>
    </row>
    <row r="542" spans="1:7" ht="94.5">
      <c r="A542" s="3" t="s">
        <v>749</v>
      </c>
      <c r="B542" s="4" t="s">
        <v>424</v>
      </c>
      <c r="C542" s="4"/>
      <c r="D542" s="4"/>
      <c r="E542" s="4"/>
      <c r="F542" s="29">
        <f>F543</f>
        <v>46980</v>
      </c>
      <c r="G542" s="29"/>
    </row>
    <row r="543" spans="1:7" ht="63">
      <c r="A543" s="3" t="s">
        <v>525</v>
      </c>
      <c r="B543" s="4" t="s">
        <v>424</v>
      </c>
      <c r="C543" s="4" t="s">
        <v>609</v>
      </c>
      <c r="D543" s="4"/>
      <c r="E543" s="4"/>
      <c r="F543" s="29">
        <f>F544</f>
        <v>46980</v>
      </c>
      <c r="G543" s="29"/>
    </row>
    <row r="544" spans="1:7" ht="31.5">
      <c r="A544" s="3" t="s">
        <v>606</v>
      </c>
      <c r="B544" s="4" t="s">
        <v>424</v>
      </c>
      <c r="C544" s="4" t="s">
        <v>609</v>
      </c>
      <c r="D544" s="4" t="s">
        <v>44</v>
      </c>
      <c r="E544" s="4"/>
      <c r="F544" s="29">
        <f>F545</f>
        <v>46980</v>
      </c>
      <c r="G544" s="29"/>
    </row>
    <row r="545" spans="1:7" ht="31.5">
      <c r="A545" s="3" t="s">
        <v>737</v>
      </c>
      <c r="B545" s="4" t="s">
        <v>424</v>
      </c>
      <c r="C545" s="4" t="s">
        <v>609</v>
      </c>
      <c r="D545" s="4" t="s">
        <v>44</v>
      </c>
      <c r="E545" s="4" t="s">
        <v>917</v>
      </c>
      <c r="F545" s="29">
        <f>прил6!F706</f>
        <v>46980</v>
      </c>
      <c r="G545" s="29"/>
    </row>
    <row r="546" spans="1:7" ht="66" customHeight="1">
      <c r="A546" s="3" t="s">
        <v>425</v>
      </c>
      <c r="B546" s="4" t="s">
        <v>426</v>
      </c>
      <c r="C546" s="4"/>
      <c r="D546" s="4"/>
      <c r="E546" s="4"/>
      <c r="F546" s="29">
        <f>F547</f>
        <v>377557.2</v>
      </c>
      <c r="G546" s="29"/>
    </row>
    <row r="547" spans="1:7" ht="94.5">
      <c r="A547" s="3" t="s">
        <v>749</v>
      </c>
      <c r="B547" s="4" t="s">
        <v>427</v>
      </c>
      <c r="C547" s="4"/>
      <c r="D547" s="4"/>
      <c r="E547" s="4"/>
      <c r="F547" s="29">
        <f>F548</f>
        <v>377557.2</v>
      </c>
      <c r="G547" s="29"/>
    </row>
    <row r="548" spans="1:7" ht="63">
      <c r="A548" s="3" t="s">
        <v>525</v>
      </c>
      <c r="B548" s="4" t="s">
        <v>427</v>
      </c>
      <c r="C548" s="4" t="s">
        <v>609</v>
      </c>
      <c r="D548" s="4"/>
      <c r="E548" s="4"/>
      <c r="F548" s="29">
        <f>F549</f>
        <v>377557.2</v>
      </c>
      <c r="G548" s="29"/>
    </row>
    <row r="549" spans="1:7" ht="31.5">
      <c r="A549" s="3" t="s">
        <v>606</v>
      </c>
      <c r="B549" s="4" t="s">
        <v>427</v>
      </c>
      <c r="C549" s="4" t="s">
        <v>609</v>
      </c>
      <c r="D549" s="4" t="s">
        <v>44</v>
      </c>
      <c r="E549" s="4"/>
      <c r="F549" s="29">
        <f>F550</f>
        <v>377557.2</v>
      </c>
      <c r="G549" s="29"/>
    </row>
    <row r="550" spans="1:7" ht="31.5">
      <c r="A550" s="3" t="s">
        <v>737</v>
      </c>
      <c r="B550" s="4" t="s">
        <v>427</v>
      </c>
      <c r="C550" s="4" t="s">
        <v>609</v>
      </c>
      <c r="D550" s="4" t="s">
        <v>44</v>
      </c>
      <c r="E550" s="4" t="s">
        <v>917</v>
      </c>
      <c r="F550" s="29">
        <f>прил6!F709</f>
        <v>377557.2</v>
      </c>
      <c r="G550" s="29"/>
    </row>
    <row r="551" spans="1:7" ht="110.25">
      <c r="A551" s="3" t="s">
        <v>428</v>
      </c>
      <c r="B551" s="4" t="s">
        <v>429</v>
      </c>
      <c r="C551" s="4"/>
      <c r="D551" s="4"/>
      <c r="E551" s="4"/>
      <c r="F551" s="29">
        <f>F552+F556+F560</f>
        <v>13240210.799999999</v>
      </c>
      <c r="G551" s="29">
        <f>G552+G556+G560</f>
        <v>582512</v>
      </c>
    </row>
    <row r="552" spans="1:7" ht="94.5">
      <c r="A552" s="3" t="s">
        <v>749</v>
      </c>
      <c r="B552" s="4" t="s">
        <v>430</v>
      </c>
      <c r="C552" s="4"/>
      <c r="D552" s="4"/>
      <c r="E552" s="4"/>
      <c r="F552" s="29">
        <f>F553</f>
        <v>12468937.69</v>
      </c>
      <c r="G552" s="29"/>
    </row>
    <row r="553" spans="1:7" ht="63">
      <c r="A553" s="3" t="s">
        <v>525</v>
      </c>
      <c r="B553" s="4" t="s">
        <v>430</v>
      </c>
      <c r="C553" s="4" t="s">
        <v>609</v>
      </c>
      <c r="D553" s="4"/>
      <c r="E553" s="4"/>
      <c r="F553" s="29">
        <f>F554</f>
        <v>12468937.69</v>
      </c>
      <c r="G553" s="29"/>
    </row>
    <row r="554" spans="1:7" ht="31.5">
      <c r="A554" s="3" t="s">
        <v>606</v>
      </c>
      <c r="B554" s="4" t="s">
        <v>430</v>
      </c>
      <c r="C554" s="4" t="s">
        <v>609</v>
      </c>
      <c r="D554" s="4" t="s">
        <v>44</v>
      </c>
      <c r="E554" s="4"/>
      <c r="F554" s="29">
        <f>F555</f>
        <v>12468937.69</v>
      </c>
      <c r="G554" s="29"/>
    </row>
    <row r="555" spans="1:7" ht="31.5">
      <c r="A555" s="3" t="s">
        <v>737</v>
      </c>
      <c r="B555" s="4" t="s">
        <v>430</v>
      </c>
      <c r="C555" s="4" t="s">
        <v>609</v>
      </c>
      <c r="D555" s="4" t="s">
        <v>44</v>
      </c>
      <c r="E555" s="4" t="s">
        <v>917</v>
      </c>
      <c r="F555" s="29">
        <f>прил6!F712</f>
        <v>12468937.69</v>
      </c>
      <c r="G555" s="29"/>
    </row>
    <row r="556" spans="1:7" ht="136.5" customHeight="1">
      <c r="A556" s="3" t="s">
        <v>859</v>
      </c>
      <c r="B556" s="4" t="s">
        <v>431</v>
      </c>
      <c r="C556" s="4"/>
      <c r="D556" s="4"/>
      <c r="E556" s="4"/>
      <c r="F556" s="29">
        <f>F557</f>
        <v>582512</v>
      </c>
      <c r="G556" s="29">
        <f>F556</f>
        <v>582512</v>
      </c>
    </row>
    <row r="557" spans="1:7" ht="63">
      <c r="A557" s="3" t="s">
        <v>525</v>
      </c>
      <c r="B557" s="4" t="s">
        <v>431</v>
      </c>
      <c r="C557" s="4" t="s">
        <v>609</v>
      </c>
      <c r="D557" s="4"/>
      <c r="E557" s="4"/>
      <c r="F557" s="29">
        <f>F558</f>
        <v>582512</v>
      </c>
      <c r="G557" s="29">
        <f>F557</f>
        <v>582512</v>
      </c>
    </row>
    <row r="558" spans="1:7" ht="31.5">
      <c r="A558" s="3" t="s">
        <v>606</v>
      </c>
      <c r="B558" s="4" t="s">
        <v>431</v>
      </c>
      <c r="C558" s="4" t="s">
        <v>609</v>
      </c>
      <c r="D558" s="4" t="s">
        <v>44</v>
      </c>
      <c r="E558" s="4"/>
      <c r="F558" s="29">
        <f>F559</f>
        <v>582512</v>
      </c>
      <c r="G558" s="29">
        <f>F558</f>
        <v>582512</v>
      </c>
    </row>
    <row r="559" spans="1:7" ht="31.5">
      <c r="A559" s="3" t="s">
        <v>737</v>
      </c>
      <c r="B559" s="4" t="s">
        <v>431</v>
      </c>
      <c r="C559" s="4" t="s">
        <v>609</v>
      </c>
      <c r="D559" s="4" t="s">
        <v>44</v>
      </c>
      <c r="E559" s="4" t="s">
        <v>917</v>
      </c>
      <c r="F559" s="29">
        <f>прил6!F714</f>
        <v>582512</v>
      </c>
      <c r="G559" s="29">
        <f>F559</f>
        <v>582512</v>
      </c>
    </row>
    <row r="560" spans="1:7" ht="126">
      <c r="A560" s="3" t="s">
        <v>859</v>
      </c>
      <c r="B560" s="4" t="s">
        <v>432</v>
      </c>
      <c r="C560" s="4"/>
      <c r="D560" s="4"/>
      <c r="E560" s="4"/>
      <c r="F560" s="29">
        <f>F561</f>
        <v>188761.11</v>
      </c>
      <c r="G560" s="29"/>
    </row>
    <row r="561" spans="1:7" ht="63">
      <c r="A561" s="3" t="s">
        <v>525</v>
      </c>
      <c r="B561" s="4" t="s">
        <v>432</v>
      </c>
      <c r="C561" s="4" t="s">
        <v>609</v>
      </c>
      <c r="D561" s="4"/>
      <c r="E561" s="4"/>
      <c r="F561" s="29">
        <f>F562</f>
        <v>188761.11</v>
      </c>
      <c r="G561" s="29"/>
    </row>
    <row r="562" spans="1:7" ht="31.5">
      <c r="A562" s="3" t="s">
        <v>606</v>
      </c>
      <c r="B562" s="4" t="s">
        <v>432</v>
      </c>
      <c r="C562" s="4" t="s">
        <v>609</v>
      </c>
      <c r="D562" s="4" t="s">
        <v>44</v>
      </c>
      <c r="E562" s="4"/>
      <c r="F562" s="29">
        <f>F563</f>
        <v>188761.11</v>
      </c>
      <c r="G562" s="29"/>
    </row>
    <row r="563" spans="1:7" ht="31.5">
      <c r="A563" s="3" t="s">
        <v>737</v>
      </c>
      <c r="B563" s="4" t="s">
        <v>432</v>
      </c>
      <c r="C563" s="4" t="s">
        <v>609</v>
      </c>
      <c r="D563" s="4" t="s">
        <v>44</v>
      </c>
      <c r="E563" s="4" t="s">
        <v>917</v>
      </c>
      <c r="F563" s="29">
        <f>прил6!F716</f>
        <v>188761.11</v>
      </c>
      <c r="G563" s="29"/>
    </row>
    <row r="564" spans="1:7" ht="63">
      <c r="A564" s="3" t="s">
        <v>1117</v>
      </c>
      <c r="B564" s="4" t="s">
        <v>1118</v>
      </c>
      <c r="C564" s="4"/>
      <c r="D564" s="4"/>
      <c r="E564" s="4"/>
      <c r="F564" s="29">
        <f>F565+F570</f>
        <v>107431</v>
      </c>
      <c r="G564" s="29"/>
    </row>
    <row r="565" spans="1:7" ht="47.25">
      <c r="A565" s="3" t="s">
        <v>1119</v>
      </c>
      <c r="B565" s="4" t="s">
        <v>1120</v>
      </c>
      <c r="C565" s="4"/>
      <c r="D565" s="4"/>
      <c r="E565" s="4"/>
      <c r="F565" s="29">
        <f>F566</f>
        <v>82431</v>
      </c>
      <c r="G565" s="29"/>
    </row>
    <row r="566" spans="1:7" ht="47.25">
      <c r="A566" s="3" t="s">
        <v>756</v>
      </c>
      <c r="B566" s="4" t="s">
        <v>1121</v>
      </c>
      <c r="C566" s="4"/>
      <c r="D566" s="4"/>
      <c r="E566" s="4"/>
      <c r="F566" s="29">
        <f>F567</f>
        <v>82431</v>
      </c>
      <c r="G566" s="29"/>
    </row>
    <row r="567" spans="1:7" ht="54.75" customHeight="1">
      <c r="A567" s="3" t="s">
        <v>701</v>
      </c>
      <c r="B567" s="4" t="s">
        <v>1121</v>
      </c>
      <c r="C567" s="4" t="s">
        <v>605</v>
      </c>
      <c r="D567" s="4"/>
      <c r="E567" s="4"/>
      <c r="F567" s="29">
        <f>F568</f>
        <v>82431</v>
      </c>
      <c r="G567" s="29"/>
    </row>
    <row r="568" spans="1:7" ht="31.5">
      <c r="A568" s="3" t="s">
        <v>606</v>
      </c>
      <c r="B568" s="4" t="s">
        <v>1121</v>
      </c>
      <c r="C568" s="4" t="s">
        <v>605</v>
      </c>
      <c r="D568" s="4" t="s">
        <v>44</v>
      </c>
      <c r="E568" s="4"/>
      <c r="F568" s="29">
        <f>F569</f>
        <v>82431</v>
      </c>
      <c r="G568" s="29"/>
    </row>
    <row r="569" spans="1:7" ht="31.5">
      <c r="A569" s="3" t="s">
        <v>737</v>
      </c>
      <c r="B569" s="4" t="s">
        <v>1121</v>
      </c>
      <c r="C569" s="4" t="s">
        <v>605</v>
      </c>
      <c r="D569" s="4" t="s">
        <v>44</v>
      </c>
      <c r="E569" s="4" t="s">
        <v>917</v>
      </c>
      <c r="F569" s="29">
        <f>прил6!F720</f>
        <v>82431</v>
      </c>
      <c r="G569" s="29"/>
    </row>
    <row r="570" spans="1:7" ht="78.75">
      <c r="A570" s="3" t="s">
        <v>1166</v>
      </c>
      <c r="B570" s="4" t="s">
        <v>1167</v>
      </c>
      <c r="C570" s="4"/>
      <c r="D570" s="4"/>
      <c r="E570" s="4"/>
      <c r="F570" s="29">
        <f>F571</f>
        <v>25000</v>
      </c>
      <c r="G570" s="29"/>
    </row>
    <row r="571" spans="1:7" ht="31.5">
      <c r="A571" s="3" t="s">
        <v>523</v>
      </c>
      <c r="B571" s="4" t="s">
        <v>1168</v>
      </c>
      <c r="C571" s="4"/>
      <c r="D571" s="4"/>
      <c r="E571" s="4"/>
      <c r="F571" s="29">
        <f>F572</f>
        <v>25000</v>
      </c>
      <c r="G571" s="29"/>
    </row>
    <row r="572" spans="1:7" ht="63">
      <c r="A572" s="3" t="s">
        <v>525</v>
      </c>
      <c r="B572" s="4" t="s">
        <v>1168</v>
      </c>
      <c r="C572" s="4" t="s">
        <v>609</v>
      </c>
      <c r="D572" s="4"/>
      <c r="E572" s="4"/>
      <c r="F572" s="29">
        <f>F573</f>
        <v>25000</v>
      </c>
      <c r="G572" s="29"/>
    </row>
    <row r="573" spans="1:7" ht="31.5">
      <c r="A573" s="3" t="s">
        <v>606</v>
      </c>
      <c r="B573" s="4" t="s">
        <v>1168</v>
      </c>
      <c r="C573" s="4" t="s">
        <v>609</v>
      </c>
      <c r="D573" s="4" t="s">
        <v>44</v>
      </c>
      <c r="E573" s="4"/>
      <c r="F573" s="29">
        <f>F574</f>
        <v>25000</v>
      </c>
      <c r="G573" s="29"/>
    </row>
    <row r="574" spans="1:7" ht="31.5">
      <c r="A574" s="3" t="s">
        <v>737</v>
      </c>
      <c r="B574" s="4" t="s">
        <v>1168</v>
      </c>
      <c r="C574" s="4" t="s">
        <v>609</v>
      </c>
      <c r="D574" s="4" t="s">
        <v>44</v>
      </c>
      <c r="E574" s="4" t="s">
        <v>917</v>
      </c>
      <c r="F574" s="29">
        <f>прил6!F723</f>
        <v>25000</v>
      </c>
      <c r="G574" s="29"/>
    </row>
    <row r="575" spans="1:7" ht="78.75">
      <c r="A575" s="3" t="s">
        <v>1169</v>
      </c>
      <c r="B575" s="4" t="s">
        <v>1170</v>
      </c>
      <c r="C575" s="4"/>
      <c r="D575" s="4"/>
      <c r="E575" s="4"/>
      <c r="F575" s="29">
        <f>F576</f>
        <v>34960</v>
      </c>
      <c r="G575" s="29"/>
    </row>
    <row r="576" spans="1:7" ht="78.75">
      <c r="A576" s="3" t="s">
        <v>1171</v>
      </c>
      <c r="B576" s="4" t="s">
        <v>1172</v>
      </c>
      <c r="C576" s="4"/>
      <c r="D576" s="4"/>
      <c r="E576" s="4"/>
      <c r="F576" s="29">
        <f>F577</f>
        <v>34960</v>
      </c>
      <c r="G576" s="29"/>
    </row>
    <row r="577" spans="1:7" ht="31.5">
      <c r="A577" s="3" t="s">
        <v>523</v>
      </c>
      <c r="B577" s="4" t="s">
        <v>1173</v>
      </c>
      <c r="C577" s="4"/>
      <c r="D577" s="4"/>
      <c r="E577" s="4"/>
      <c r="F577" s="29">
        <f>F578</f>
        <v>34960</v>
      </c>
      <c r="G577" s="29"/>
    </row>
    <row r="578" spans="1:7" ht="63">
      <c r="A578" s="3" t="s">
        <v>525</v>
      </c>
      <c r="B578" s="4" t="s">
        <v>1173</v>
      </c>
      <c r="C578" s="4" t="s">
        <v>609</v>
      </c>
      <c r="D578" s="4"/>
      <c r="E578" s="4"/>
      <c r="F578" s="29">
        <f>F579</f>
        <v>34960</v>
      </c>
      <c r="G578" s="29"/>
    </row>
    <row r="579" spans="1:7" ht="31.5">
      <c r="A579" s="3" t="s">
        <v>606</v>
      </c>
      <c r="B579" s="4" t="s">
        <v>1173</v>
      </c>
      <c r="C579" s="4" t="s">
        <v>609</v>
      </c>
      <c r="D579" s="4" t="s">
        <v>44</v>
      </c>
      <c r="E579" s="4"/>
      <c r="F579" s="29">
        <f>F580</f>
        <v>34960</v>
      </c>
      <c r="G579" s="29"/>
    </row>
    <row r="580" spans="1:7" ht="31.5">
      <c r="A580" s="3" t="s">
        <v>737</v>
      </c>
      <c r="B580" s="4" t="s">
        <v>1173</v>
      </c>
      <c r="C580" s="4" t="s">
        <v>609</v>
      </c>
      <c r="D580" s="4" t="s">
        <v>44</v>
      </c>
      <c r="E580" s="4" t="s">
        <v>917</v>
      </c>
      <c r="F580" s="29">
        <f>прил6!F727</f>
        <v>34960</v>
      </c>
      <c r="G580" s="29"/>
    </row>
    <row r="581" spans="1:9" ht="94.5">
      <c r="A581" s="1" t="s">
        <v>1035</v>
      </c>
      <c r="B581" s="2" t="s">
        <v>977</v>
      </c>
      <c r="C581" s="2"/>
      <c r="D581" s="2"/>
      <c r="E581" s="2"/>
      <c r="F581" s="33">
        <f>F582+F602+F612+F623+F672+F705+F726</f>
        <v>146047174.85000002</v>
      </c>
      <c r="G581" s="33">
        <f>G582+G602+G612+G623+G672+G705+G726</f>
        <v>22818802.6</v>
      </c>
      <c r="H581" s="26">
        <f>прил6!F290+прил6!F390+прил6!F408+прил6!F423+прил6!F449+прил6!F787+прил6!F282</f>
        <v>146047174.85</v>
      </c>
      <c r="I581" s="26">
        <f>прил6!G290+прил6!G390+прил6!G408+прил6!G423+прил6!G449+прил6!G787+прил6!G282</f>
        <v>22818802.6</v>
      </c>
    </row>
    <row r="582" spans="1:9" ht="47.25">
      <c r="A582" s="3" t="s">
        <v>755</v>
      </c>
      <c r="B582" s="4" t="s">
        <v>789</v>
      </c>
      <c r="C582" s="4"/>
      <c r="D582" s="4"/>
      <c r="E582" s="4"/>
      <c r="F582" s="29">
        <f>F588+F597+F583</f>
        <v>42289519.22</v>
      </c>
      <c r="G582" s="29">
        <f>G588+G597+G583</f>
        <v>18902160</v>
      </c>
      <c r="H582" s="26">
        <f>H581-F581</f>
        <v>0</v>
      </c>
      <c r="I582" s="26">
        <f>I581-G581</f>
        <v>0</v>
      </c>
    </row>
    <row r="583" spans="1:9" ht="31.5">
      <c r="A583" s="3" t="s">
        <v>1090</v>
      </c>
      <c r="B583" s="4" t="s">
        <v>1091</v>
      </c>
      <c r="C583" s="4"/>
      <c r="D583" s="4"/>
      <c r="E583" s="4"/>
      <c r="F583" s="29">
        <f>F584</f>
        <v>275000</v>
      </c>
      <c r="G583" s="29"/>
      <c r="H583" s="26"/>
      <c r="I583" s="26"/>
    </row>
    <row r="584" spans="1:9" ht="47.25">
      <c r="A584" s="3" t="s">
        <v>756</v>
      </c>
      <c r="B584" s="4" t="s">
        <v>1092</v>
      </c>
      <c r="C584" s="4"/>
      <c r="D584" s="4"/>
      <c r="E584" s="4"/>
      <c r="F584" s="29">
        <f>F585</f>
        <v>275000</v>
      </c>
      <c r="G584" s="29"/>
      <c r="H584" s="26"/>
      <c r="I584" s="26"/>
    </row>
    <row r="585" spans="1:9" ht="47.25">
      <c r="A585" s="3" t="s">
        <v>701</v>
      </c>
      <c r="B585" s="4" t="s">
        <v>1092</v>
      </c>
      <c r="C585" s="4" t="s">
        <v>605</v>
      </c>
      <c r="D585" s="4"/>
      <c r="E585" s="4"/>
      <c r="F585" s="29">
        <f>F586</f>
        <v>275000</v>
      </c>
      <c r="G585" s="29"/>
      <c r="H585" s="26"/>
      <c r="I585" s="26"/>
    </row>
    <row r="586" spans="1:9" ht="31.5">
      <c r="A586" s="3" t="s">
        <v>49</v>
      </c>
      <c r="B586" s="4" t="s">
        <v>1092</v>
      </c>
      <c r="C586" s="4" t="s">
        <v>605</v>
      </c>
      <c r="D586" s="4" t="s">
        <v>42</v>
      </c>
      <c r="E586" s="4"/>
      <c r="F586" s="29">
        <f>F587</f>
        <v>275000</v>
      </c>
      <c r="G586" s="29"/>
      <c r="H586" s="26"/>
      <c r="I586" s="26"/>
    </row>
    <row r="587" spans="1:9" ht="31.5">
      <c r="A587" s="112" t="s">
        <v>55</v>
      </c>
      <c r="B587" s="4" t="s">
        <v>1092</v>
      </c>
      <c r="C587" s="4" t="s">
        <v>605</v>
      </c>
      <c r="D587" s="4" t="s">
        <v>42</v>
      </c>
      <c r="E587" s="4" t="s">
        <v>917</v>
      </c>
      <c r="F587" s="29">
        <f>прил6!F394</f>
        <v>275000</v>
      </c>
      <c r="G587" s="29"/>
      <c r="H587" s="26"/>
      <c r="I587" s="26"/>
    </row>
    <row r="588" spans="1:7" ht="94.5">
      <c r="A588" s="3" t="s">
        <v>1080</v>
      </c>
      <c r="B588" s="4" t="s">
        <v>1081</v>
      </c>
      <c r="C588" s="4"/>
      <c r="D588" s="4"/>
      <c r="E588" s="4"/>
      <c r="F588" s="29">
        <f>F593+F589</f>
        <v>39223823.28</v>
      </c>
      <c r="G588" s="29">
        <f>G593+G589</f>
        <v>18902160</v>
      </c>
    </row>
    <row r="589" spans="1:7" ht="110.25">
      <c r="A589" s="3" t="s">
        <v>1082</v>
      </c>
      <c r="B589" s="4" t="s">
        <v>1152</v>
      </c>
      <c r="C589" s="4"/>
      <c r="D589" s="4"/>
      <c r="E589" s="4"/>
      <c r="F589" s="29">
        <f aca="true" t="shared" si="11" ref="F589:G591">F590</f>
        <v>18902160</v>
      </c>
      <c r="G589" s="29">
        <f t="shared" si="11"/>
        <v>18902160</v>
      </c>
    </row>
    <row r="590" spans="1:7" ht="47.25">
      <c r="A590" s="3" t="s">
        <v>701</v>
      </c>
      <c r="B590" s="4" t="s">
        <v>1152</v>
      </c>
      <c r="C590" s="4" t="s">
        <v>605</v>
      </c>
      <c r="D590" s="4"/>
      <c r="E590" s="4"/>
      <c r="F590" s="29">
        <f t="shared" si="11"/>
        <v>18902160</v>
      </c>
      <c r="G590" s="29">
        <f t="shared" si="11"/>
        <v>18902160</v>
      </c>
    </row>
    <row r="591" spans="1:7" ht="31.5">
      <c r="A591" s="3" t="s">
        <v>49</v>
      </c>
      <c r="B591" s="4" t="s">
        <v>1152</v>
      </c>
      <c r="C591" s="4" t="s">
        <v>605</v>
      </c>
      <c r="D591" s="4" t="s">
        <v>42</v>
      </c>
      <c r="E591" s="4"/>
      <c r="F591" s="29">
        <f t="shared" si="11"/>
        <v>18902160</v>
      </c>
      <c r="G591" s="29">
        <f t="shared" si="11"/>
        <v>18902160</v>
      </c>
    </row>
    <row r="592" spans="1:7" ht="31.5">
      <c r="A592" s="112" t="s">
        <v>55</v>
      </c>
      <c r="B592" s="4" t="s">
        <v>1152</v>
      </c>
      <c r="C592" s="4" t="s">
        <v>605</v>
      </c>
      <c r="D592" s="4" t="s">
        <v>42</v>
      </c>
      <c r="E592" s="4" t="s">
        <v>917</v>
      </c>
      <c r="F592" s="29">
        <f>прил6!F397</f>
        <v>18902160</v>
      </c>
      <c r="G592" s="29">
        <f>F592</f>
        <v>18902160</v>
      </c>
    </row>
    <row r="593" spans="1:7" ht="110.25">
      <c r="A593" s="112" t="s">
        <v>1082</v>
      </c>
      <c r="B593" s="4" t="s">
        <v>1083</v>
      </c>
      <c r="C593" s="4"/>
      <c r="D593" s="4"/>
      <c r="E593" s="4"/>
      <c r="F593" s="29">
        <f>F594</f>
        <v>20321663.28</v>
      </c>
      <c r="G593" s="29"/>
    </row>
    <row r="594" spans="1:7" ht="47.25">
      <c r="A594" s="3" t="s">
        <v>701</v>
      </c>
      <c r="B594" s="4" t="s">
        <v>1083</v>
      </c>
      <c r="C594" s="4" t="s">
        <v>605</v>
      </c>
      <c r="D594" s="4"/>
      <c r="E594" s="2"/>
      <c r="F594" s="29">
        <f>F595</f>
        <v>20321663.28</v>
      </c>
      <c r="G594" s="29"/>
    </row>
    <row r="595" spans="1:7" ht="31.5">
      <c r="A595" s="3" t="s">
        <v>49</v>
      </c>
      <c r="B595" s="4" t="s">
        <v>1083</v>
      </c>
      <c r="C595" s="4" t="s">
        <v>605</v>
      </c>
      <c r="D595" s="4" t="s">
        <v>42</v>
      </c>
      <c r="E595" s="4"/>
      <c r="F595" s="29">
        <f>F596</f>
        <v>20321663.28</v>
      </c>
      <c r="G595" s="33"/>
    </row>
    <row r="596" spans="1:7" ht="31.5">
      <c r="A596" s="112" t="s">
        <v>55</v>
      </c>
      <c r="B596" s="4" t="s">
        <v>1083</v>
      </c>
      <c r="C596" s="4" t="s">
        <v>605</v>
      </c>
      <c r="D596" s="4" t="s">
        <v>42</v>
      </c>
      <c r="E596" s="4" t="s">
        <v>917</v>
      </c>
      <c r="F596" s="29">
        <f>прил6!F399</f>
        <v>20321663.28</v>
      </c>
      <c r="G596" s="33"/>
    </row>
    <row r="597" spans="1:7" ht="94.5">
      <c r="A597" s="112" t="s">
        <v>1084</v>
      </c>
      <c r="B597" s="4" t="s">
        <v>1085</v>
      </c>
      <c r="C597" s="4"/>
      <c r="D597" s="4"/>
      <c r="E597" s="4"/>
      <c r="F597" s="29">
        <f>F598</f>
        <v>2790695.94</v>
      </c>
      <c r="G597" s="33"/>
    </row>
    <row r="598" spans="1:7" ht="68.25" customHeight="1">
      <c r="A598" s="112" t="s">
        <v>1093</v>
      </c>
      <c r="B598" s="4" t="s">
        <v>1094</v>
      </c>
      <c r="C598" s="4"/>
      <c r="D598" s="4"/>
      <c r="E598" s="4"/>
      <c r="F598" s="29">
        <f>F599</f>
        <v>2790695.94</v>
      </c>
      <c r="G598" s="33"/>
    </row>
    <row r="599" spans="1:7" ht="57.75" customHeight="1">
      <c r="A599" s="3" t="s">
        <v>701</v>
      </c>
      <c r="B599" s="4" t="s">
        <v>1094</v>
      </c>
      <c r="C599" s="4" t="s">
        <v>605</v>
      </c>
      <c r="D599" s="4"/>
      <c r="E599" s="2"/>
      <c r="F599" s="29">
        <f>F600</f>
        <v>2790695.94</v>
      </c>
      <c r="G599" s="33"/>
    </row>
    <row r="600" spans="1:7" ht="31.5">
      <c r="A600" s="3" t="s">
        <v>49</v>
      </c>
      <c r="B600" s="4" t="s">
        <v>1094</v>
      </c>
      <c r="C600" s="4" t="s">
        <v>605</v>
      </c>
      <c r="D600" s="4" t="s">
        <v>42</v>
      </c>
      <c r="E600" s="4"/>
      <c r="F600" s="29">
        <f>F601</f>
        <v>2790695.94</v>
      </c>
      <c r="G600" s="29"/>
    </row>
    <row r="601" spans="1:7" ht="31.5">
      <c r="A601" s="112" t="s">
        <v>55</v>
      </c>
      <c r="B601" s="4" t="s">
        <v>1094</v>
      </c>
      <c r="C601" s="4" t="s">
        <v>605</v>
      </c>
      <c r="D601" s="4" t="s">
        <v>42</v>
      </c>
      <c r="E601" s="4" t="s">
        <v>917</v>
      </c>
      <c r="F601" s="29">
        <f>прил6!F402</f>
        <v>2790695.94</v>
      </c>
      <c r="G601" s="29"/>
    </row>
    <row r="602" spans="1:7" ht="63">
      <c r="A602" s="3" t="s">
        <v>172</v>
      </c>
      <c r="B602" s="4" t="s">
        <v>794</v>
      </c>
      <c r="C602" s="4"/>
      <c r="D602" s="4"/>
      <c r="E602" s="4"/>
      <c r="F602" s="29">
        <f>F603</f>
        <v>1918407.85</v>
      </c>
      <c r="G602" s="29"/>
    </row>
    <row r="603" spans="1:7" ht="31.5">
      <c r="A603" s="3" t="s">
        <v>795</v>
      </c>
      <c r="B603" s="4" t="s">
        <v>796</v>
      </c>
      <c r="C603" s="4"/>
      <c r="D603" s="4"/>
      <c r="E603" s="4"/>
      <c r="F603" s="29">
        <f>F604+F608</f>
        <v>1918407.85</v>
      </c>
      <c r="G603" s="29"/>
    </row>
    <row r="604" spans="1:7" ht="47.25">
      <c r="A604" s="3" t="s">
        <v>757</v>
      </c>
      <c r="B604" s="4" t="s">
        <v>797</v>
      </c>
      <c r="C604" s="4"/>
      <c r="D604" s="4"/>
      <c r="E604" s="4"/>
      <c r="F604" s="29">
        <f>F605</f>
        <v>570000</v>
      </c>
      <c r="G604" s="29"/>
    </row>
    <row r="605" spans="1:7" ht="47.25">
      <c r="A605" s="3" t="s">
        <v>701</v>
      </c>
      <c r="B605" s="4" t="s">
        <v>797</v>
      </c>
      <c r="C605" s="4" t="s">
        <v>605</v>
      </c>
      <c r="D605" s="4"/>
      <c r="E605" s="2"/>
      <c r="F605" s="29">
        <f>F606</f>
        <v>570000</v>
      </c>
      <c r="G605" s="29"/>
    </row>
    <row r="606" spans="1:7" ht="31.5">
      <c r="A606" s="3" t="s">
        <v>49</v>
      </c>
      <c r="B606" s="4" t="s">
        <v>797</v>
      </c>
      <c r="C606" s="4" t="s">
        <v>605</v>
      </c>
      <c r="D606" s="4" t="s">
        <v>42</v>
      </c>
      <c r="E606" s="4"/>
      <c r="F606" s="29">
        <f>F607</f>
        <v>570000</v>
      </c>
      <c r="G606" s="29"/>
    </row>
    <row r="607" spans="1:7" ht="31.5">
      <c r="A607" s="112" t="s">
        <v>598</v>
      </c>
      <c r="B607" s="4" t="s">
        <v>797</v>
      </c>
      <c r="C607" s="4" t="s">
        <v>605</v>
      </c>
      <c r="D607" s="4" t="s">
        <v>42</v>
      </c>
      <c r="E607" s="4" t="s">
        <v>45</v>
      </c>
      <c r="F607" s="29">
        <f>прил6!F412</f>
        <v>570000</v>
      </c>
      <c r="G607" s="29"/>
    </row>
    <row r="608" spans="1:7" ht="31.5">
      <c r="A608" s="3" t="s">
        <v>523</v>
      </c>
      <c r="B608" s="4" t="s">
        <v>798</v>
      </c>
      <c r="C608" s="4"/>
      <c r="D608" s="4"/>
      <c r="E608" s="4"/>
      <c r="F608" s="29">
        <f>F609</f>
        <v>1348407.85</v>
      </c>
      <c r="G608" s="29"/>
    </row>
    <row r="609" spans="1:7" ht="47.25">
      <c r="A609" s="3" t="s">
        <v>701</v>
      </c>
      <c r="B609" s="4" t="s">
        <v>798</v>
      </c>
      <c r="C609" s="4" t="s">
        <v>605</v>
      </c>
      <c r="D609" s="4"/>
      <c r="E609" s="2"/>
      <c r="F609" s="29">
        <f>F610</f>
        <v>1348407.85</v>
      </c>
      <c r="G609" s="29"/>
    </row>
    <row r="610" spans="1:7" ht="31.5">
      <c r="A610" s="3" t="s">
        <v>49</v>
      </c>
      <c r="B610" s="4" t="s">
        <v>798</v>
      </c>
      <c r="C610" s="4" t="s">
        <v>605</v>
      </c>
      <c r="D610" s="4" t="s">
        <v>42</v>
      </c>
      <c r="E610" s="4"/>
      <c r="F610" s="29">
        <f>F611</f>
        <v>1348407.85</v>
      </c>
      <c r="G610" s="29"/>
    </row>
    <row r="611" spans="1:7" ht="31.5">
      <c r="A611" s="112" t="s">
        <v>598</v>
      </c>
      <c r="B611" s="4" t="s">
        <v>798</v>
      </c>
      <c r="C611" s="4" t="s">
        <v>605</v>
      </c>
      <c r="D611" s="4" t="s">
        <v>42</v>
      </c>
      <c r="E611" s="4" t="s">
        <v>45</v>
      </c>
      <c r="F611" s="29">
        <f>прил6!F414</f>
        <v>1348407.85</v>
      </c>
      <c r="G611" s="29"/>
    </row>
    <row r="612" spans="1:7" ht="78.75">
      <c r="A612" s="3" t="s">
        <v>173</v>
      </c>
      <c r="B612" s="4" t="s">
        <v>799</v>
      </c>
      <c r="C612" s="4"/>
      <c r="D612" s="4"/>
      <c r="E612" s="4"/>
      <c r="F612" s="29">
        <f>F613+F618</f>
        <v>21838222.509999998</v>
      </c>
      <c r="G612" s="29"/>
    </row>
    <row r="613" spans="1:7" ht="94.5">
      <c r="A613" s="3" t="s">
        <v>800</v>
      </c>
      <c r="B613" s="4" t="s">
        <v>801</v>
      </c>
      <c r="C613" s="4"/>
      <c r="D613" s="4"/>
      <c r="E613" s="4"/>
      <c r="F613" s="29">
        <f>F614</f>
        <v>19549687.88</v>
      </c>
      <c r="G613" s="29"/>
    </row>
    <row r="614" spans="1:7" ht="31.5">
      <c r="A614" s="3" t="s">
        <v>174</v>
      </c>
      <c r="B614" s="4" t="s">
        <v>803</v>
      </c>
      <c r="C614" s="4"/>
      <c r="D614" s="4"/>
      <c r="E614" s="4"/>
      <c r="F614" s="29">
        <f>F615</f>
        <v>19549687.88</v>
      </c>
      <c r="G614" s="29"/>
    </row>
    <row r="615" spans="1:7" ht="31.5">
      <c r="A615" s="3" t="s">
        <v>1040</v>
      </c>
      <c r="B615" s="4" t="s">
        <v>803</v>
      </c>
      <c r="C615" s="4" t="s">
        <v>608</v>
      </c>
      <c r="D615" s="4"/>
      <c r="E615" s="4"/>
      <c r="F615" s="29">
        <f>F616</f>
        <v>19549687.88</v>
      </c>
      <c r="G615" s="29"/>
    </row>
    <row r="616" spans="1:7" ht="31.5">
      <c r="A616" s="3" t="s">
        <v>49</v>
      </c>
      <c r="B616" s="4" t="s">
        <v>803</v>
      </c>
      <c r="C616" s="4" t="s">
        <v>608</v>
      </c>
      <c r="D616" s="4" t="s">
        <v>42</v>
      </c>
      <c r="E616" s="4"/>
      <c r="F616" s="29">
        <f>F617</f>
        <v>19549687.88</v>
      </c>
      <c r="G616" s="29"/>
    </row>
    <row r="617" spans="1:7" ht="31.5">
      <c r="A617" s="112" t="s">
        <v>598</v>
      </c>
      <c r="B617" s="4" t="s">
        <v>803</v>
      </c>
      <c r="C617" s="4" t="s">
        <v>608</v>
      </c>
      <c r="D617" s="4" t="s">
        <v>42</v>
      </c>
      <c r="E617" s="4" t="s">
        <v>45</v>
      </c>
      <c r="F617" s="29">
        <f>прил6!F418</f>
        <v>19549687.88</v>
      </c>
      <c r="G617" s="29"/>
    </row>
    <row r="618" spans="1:7" ht="63">
      <c r="A618" s="3" t="s">
        <v>804</v>
      </c>
      <c r="B618" s="4" t="s">
        <v>802</v>
      </c>
      <c r="C618" s="4"/>
      <c r="D618" s="4"/>
      <c r="E618" s="4"/>
      <c r="F618" s="29">
        <f>F619</f>
        <v>2288534.63</v>
      </c>
      <c r="G618" s="29"/>
    </row>
    <row r="619" spans="1:7" ht="31.5">
      <c r="A619" s="3" t="s">
        <v>523</v>
      </c>
      <c r="B619" s="4" t="s">
        <v>805</v>
      </c>
      <c r="C619" s="4"/>
      <c r="D619" s="4"/>
      <c r="E619" s="4"/>
      <c r="F619" s="29">
        <f>F620</f>
        <v>2288534.63</v>
      </c>
      <c r="G619" s="29"/>
    </row>
    <row r="620" spans="1:7" ht="47.25">
      <c r="A620" s="3" t="s">
        <v>701</v>
      </c>
      <c r="B620" s="4" t="s">
        <v>805</v>
      </c>
      <c r="C620" s="4" t="s">
        <v>605</v>
      </c>
      <c r="D620" s="4"/>
      <c r="E620" s="2"/>
      <c r="F620" s="29">
        <f>F621</f>
        <v>2288534.63</v>
      </c>
      <c r="G620" s="29"/>
    </row>
    <row r="621" spans="1:7" ht="31.5">
      <c r="A621" s="3" t="s">
        <v>49</v>
      </c>
      <c r="B621" s="4" t="s">
        <v>805</v>
      </c>
      <c r="C621" s="4" t="s">
        <v>605</v>
      </c>
      <c r="D621" s="4" t="s">
        <v>42</v>
      </c>
      <c r="E621" s="4"/>
      <c r="F621" s="29">
        <f>F622</f>
        <v>2288534.63</v>
      </c>
      <c r="G621" s="29"/>
    </row>
    <row r="622" spans="1:7" ht="31.5">
      <c r="A622" s="112" t="s">
        <v>598</v>
      </c>
      <c r="B622" s="4" t="s">
        <v>805</v>
      </c>
      <c r="C622" s="4" t="s">
        <v>605</v>
      </c>
      <c r="D622" s="4" t="s">
        <v>42</v>
      </c>
      <c r="E622" s="4" t="s">
        <v>45</v>
      </c>
      <c r="F622" s="29">
        <f>прил6!F421</f>
        <v>2288534.63</v>
      </c>
      <c r="G622" s="29"/>
    </row>
    <row r="623" spans="1:7" ht="63">
      <c r="A623" s="3" t="s">
        <v>175</v>
      </c>
      <c r="B623" s="4" t="s">
        <v>458</v>
      </c>
      <c r="C623" s="4"/>
      <c r="D623" s="4"/>
      <c r="E623" s="4"/>
      <c r="F623" s="29">
        <f>F624+F629+F634+F643+F648+F653+F662+F667</f>
        <v>34371358.54</v>
      </c>
      <c r="G623" s="29">
        <f>G624+G629+G634+G643+G648+G653</f>
        <v>1760542.6</v>
      </c>
    </row>
    <row r="624" spans="1:7" ht="63">
      <c r="A624" s="3" t="s">
        <v>806</v>
      </c>
      <c r="B624" s="4" t="s">
        <v>807</v>
      </c>
      <c r="C624" s="4"/>
      <c r="D624" s="4"/>
      <c r="E624" s="4"/>
      <c r="F624" s="29">
        <f>F625</f>
        <v>15620145.760000002</v>
      </c>
      <c r="G624" s="29"/>
    </row>
    <row r="625" spans="1:7" ht="63">
      <c r="A625" s="3" t="s">
        <v>176</v>
      </c>
      <c r="B625" s="4" t="s">
        <v>808</v>
      </c>
      <c r="C625" s="4"/>
      <c r="D625" s="4"/>
      <c r="E625" s="4"/>
      <c r="F625" s="29">
        <f>F626</f>
        <v>15620145.760000002</v>
      </c>
      <c r="G625" s="29"/>
    </row>
    <row r="626" spans="1:7" ht="47.25">
      <c r="A626" s="3" t="s">
        <v>701</v>
      </c>
      <c r="B626" s="4" t="s">
        <v>808</v>
      </c>
      <c r="C626" s="4" t="s">
        <v>605</v>
      </c>
      <c r="D626" s="4"/>
      <c r="E626" s="4"/>
      <c r="F626" s="29">
        <f>F627</f>
        <v>15620145.760000002</v>
      </c>
      <c r="G626" s="29"/>
    </row>
    <row r="627" spans="1:7" ht="31.5">
      <c r="A627" s="3" t="s">
        <v>49</v>
      </c>
      <c r="B627" s="4" t="s">
        <v>808</v>
      </c>
      <c r="C627" s="4" t="s">
        <v>605</v>
      </c>
      <c r="D627" s="4" t="s">
        <v>42</v>
      </c>
      <c r="E627" s="4"/>
      <c r="F627" s="29">
        <f>F628</f>
        <v>15620145.760000002</v>
      </c>
      <c r="G627" s="29"/>
    </row>
    <row r="628" spans="1:7" ht="31.5">
      <c r="A628" s="112" t="s">
        <v>568</v>
      </c>
      <c r="B628" s="4" t="s">
        <v>808</v>
      </c>
      <c r="C628" s="4" t="s">
        <v>605</v>
      </c>
      <c r="D628" s="4" t="s">
        <v>42</v>
      </c>
      <c r="E628" s="4" t="s">
        <v>47</v>
      </c>
      <c r="F628" s="29">
        <f>прил6!F427</f>
        <v>15620145.760000002</v>
      </c>
      <c r="G628" s="29"/>
    </row>
    <row r="629" spans="1:7" ht="94.5">
      <c r="A629" s="3" t="s">
        <v>809</v>
      </c>
      <c r="B629" s="4" t="s">
        <v>810</v>
      </c>
      <c r="C629" s="4"/>
      <c r="D629" s="4"/>
      <c r="E629" s="4"/>
      <c r="F629" s="29">
        <f>F630</f>
        <v>10996109.58</v>
      </c>
      <c r="G629" s="29"/>
    </row>
    <row r="630" spans="1:7" ht="63">
      <c r="A630" s="3" t="s">
        <v>177</v>
      </c>
      <c r="B630" s="4" t="s">
        <v>811</v>
      </c>
      <c r="C630" s="4"/>
      <c r="D630" s="4"/>
      <c r="E630" s="4"/>
      <c r="F630" s="29">
        <f>F631</f>
        <v>10996109.58</v>
      </c>
      <c r="G630" s="29"/>
    </row>
    <row r="631" spans="1:7" ht="47.25">
      <c r="A631" s="3" t="s">
        <v>701</v>
      </c>
      <c r="B631" s="4" t="s">
        <v>811</v>
      </c>
      <c r="C631" s="4" t="s">
        <v>605</v>
      </c>
      <c r="D631" s="4"/>
      <c r="E631" s="4"/>
      <c r="F631" s="29">
        <f>F632</f>
        <v>10996109.58</v>
      </c>
      <c r="G631" s="29"/>
    </row>
    <row r="632" spans="1:7" ht="31.5">
      <c r="A632" s="3" t="s">
        <v>49</v>
      </c>
      <c r="B632" s="4" t="s">
        <v>811</v>
      </c>
      <c r="C632" s="4" t="s">
        <v>605</v>
      </c>
      <c r="D632" s="4" t="s">
        <v>42</v>
      </c>
      <c r="E632" s="4"/>
      <c r="F632" s="29">
        <f>F633</f>
        <v>10996109.58</v>
      </c>
      <c r="G632" s="29"/>
    </row>
    <row r="633" spans="1:7" ht="31.5">
      <c r="A633" s="112" t="s">
        <v>568</v>
      </c>
      <c r="B633" s="4" t="s">
        <v>811</v>
      </c>
      <c r="C633" s="4" t="s">
        <v>605</v>
      </c>
      <c r="D633" s="4" t="s">
        <v>42</v>
      </c>
      <c r="E633" s="4" t="s">
        <v>47</v>
      </c>
      <c r="F633" s="29">
        <f>прил6!F430</f>
        <v>10996109.58</v>
      </c>
      <c r="G633" s="29"/>
    </row>
    <row r="634" spans="1:7" ht="78.75">
      <c r="A634" s="3" t="s">
        <v>167</v>
      </c>
      <c r="B634" s="4" t="s">
        <v>168</v>
      </c>
      <c r="C634" s="4"/>
      <c r="D634" s="4"/>
      <c r="E634" s="4"/>
      <c r="F634" s="29">
        <f>F635+F639</f>
        <v>1013540.1</v>
      </c>
      <c r="G634" s="29"/>
    </row>
    <row r="635" spans="1:7" ht="47.25">
      <c r="A635" s="3" t="s">
        <v>756</v>
      </c>
      <c r="B635" s="4" t="s">
        <v>169</v>
      </c>
      <c r="C635" s="4"/>
      <c r="D635" s="4"/>
      <c r="E635" s="4"/>
      <c r="F635" s="29">
        <f>F636</f>
        <v>413540.1</v>
      </c>
      <c r="G635" s="29"/>
    </row>
    <row r="636" spans="1:7" ht="47.25">
      <c r="A636" s="3" t="s">
        <v>701</v>
      </c>
      <c r="B636" s="4" t="s">
        <v>169</v>
      </c>
      <c r="C636" s="4" t="s">
        <v>605</v>
      </c>
      <c r="D636" s="4"/>
      <c r="E636" s="4"/>
      <c r="F636" s="29">
        <f>F637</f>
        <v>413540.1</v>
      </c>
      <c r="G636" s="29"/>
    </row>
    <row r="637" spans="1:7" ht="31.5">
      <c r="A637" s="3" t="s">
        <v>49</v>
      </c>
      <c r="B637" s="4" t="s">
        <v>169</v>
      </c>
      <c r="C637" s="4" t="s">
        <v>605</v>
      </c>
      <c r="D637" s="4" t="s">
        <v>42</v>
      </c>
      <c r="E637" s="4"/>
      <c r="F637" s="29">
        <f>F638</f>
        <v>413540.1</v>
      </c>
      <c r="G637" s="29"/>
    </row>
    <row r="638" spans="1:7" ht="31.5">
      <c r="A638" s="112" t="s">
        <v>568</v>
      </c>
      <c r="B638" s="4" t="s">
        <v>169</v>
      </c>
      <c r="C638" s="4" t="s">
        <v>605</v>
      </c>
      <c r="D638" s="4" t="s">
        <v>42</v>
      </c>
      <c r="E638" s="4" t="s">
        <v>47</v>
      </c>
      <c r="F638" s="29">
        <f>прил6!F433</f>
        <v>413540.1</v>
      </c>
      <c r="G638" s="29"/>
    </row>
    <row r="639" spans="1:7" ht="63">
      <c r="A639" s="3" t="s">
        <v>753</v>
      </c>
      <c r="B639" s="4" t="s">
        <v>508</v>
      </c>
      <c r="C639" s="4"/>
      <c r="D639" s="4"/>
      <c r="E639" s="4"/>
      <c r="F639" s="29">
        <f>F640</f>
        <v>600000</v>
      </c>
      <c r="G639" s="29"/>
    </row>
    <row r="640" spans="1:7" ht="47.25">
      <c r="A640" s="3" t="s">
        <v>676</v>
      </c>
      <c r="B640" s="4" t="s">
        <v>508</v>
      </c>
      <c r="C640" s="4" t="s">
        <v>447</v>
      </c>
      <c r="D640" s="4"/>
      <c r="E640" s="4"/>
      <c r="F640" s="29">
        <f>F641</f>
        <v>600000</v>
      </c>
      <c r="G640" s="29"/>
    </row>
    <row r="641" spans="1:7" ht="31.5">
      <c r="A641" s="3" t="s">
        <v>49</v>
      </c>
      <c r="B641" s="4" t="s">
        <v>508</v>
      </c>
      <c r="C641" s="4" t="s">
        <v>447</v>
      </c>
      <c r="D641" s="4" t="s">
        <v>42</v>
      </c>
      <c r="E641" s="4"/>
      <c r="F641" s="29">
        <f>F642</f>
        <v>600000</v>
      </c>
      <c r="G641" s="29"/>
    </row>
    <row r="642" spans="1:7" ht="31.5">
      <c r="A642" s="112" t="s">
        <v>568</v>
      </c>
      <c r="B642" s="4" t="s">
        <v>508</v>
      </c>
      <c r="C642" s="4" t="s">
        <v>447</v>
      </c>
      <c r="D642" s="4" t="s">
        <v>42</v>
      </c>
      <c r="E642" s="4" t="s">
        <v>47</v>
      </c>
      <c r="F642" s="29">
        <f>прил6!F435</f>
        <v>600000</v>
      </c>
      <c r="G642" s="29"/>
    </row>
    <row r="643" spans="1:7" ht="47.25">
      <c r="A643" s="3" t="s">
        <v>238</v>
      </c>
      <c r="B643" s="4" t="s">
        <v>170</v>
      </c>
      <c r="C643" s="4"/>
      <c r="D643" s="4"/>
      <c r="E643" s="4"/>
      <c r="F643" s="29">
        <f>F644</f>
        <v>643364.04</v>
      </c>
      <c r="G643" s="29"/>
    </row>
    <row r="644" spans="1:7" ht="31.5">
      <c r="A644" s="3" t="s">
        <v>523</v>
      </c>
      <c r="B644" s="4" t="s">
        <v>171</v>
      </c>
      <c r="C644" s="4"/>
      <c r="D644" s="4"/>
      <c r="E644" s="4"/>
      <c r="F644" s="29">
        <f>F645</f>
        <v>643364.04</v>
      </c>
      <c r="G644" s="29"/>
    </row>
    <row r="645" spans="1:7" ht="48" customHeight="1">
      <c r="A645" s="3" t="s">
        <v>701</v>
      </c>
      <c r="B645" s="4" t="s">
        <v>171</v>
      </c>
      <c r="C645" s="4" t="s">
        <v>605</v>
      </c>
      <c r="D645" s="4"/>
      <c r="E645" s="4"/>
      <c r="F645" s="29">
        <f>F646</f>
        <v>643364.04</v>
      </c>
      <c r="G645" s="29"/>
    </row>
    <row r="646" spans="1:7" ht="31.5">
      <c r="A646" s="3" t="s">
        <v>49</v>
      </c>
      <c r="B646" s="4" t="s">
        <v>171</v>
      </c>
      <c r="C646" s="4" t="s">
        <v>605</v>
      </c>
      <c r="D646" s="4" t="s">
        <v>42</v>
      </c>
      <c r="E646" s="4"/>
      <c r="F646" s="29">
        <f>F647</f>
        <v>643364.04</v>
      </c>
      <c r="G646" s="29"/>
    </row>
    <row r="647" spans="1:7" ht="31.5">
      <c r="A647" s="112" t="s">
        <v>568</v>
      </c>
      <c r="B647" s="4" t="s">
        <v>171</v>
      </c>
      <c r="C647" s="4" t="s">
        <v>605</v>
      </c>
      <c r="D647" s="4" t="s">
        <v>42</v>
      </c>
      <c r="E647" s="4" t="s">
        <v>47</v>
      </c>
      <c r="F647" s="29">
        <f>прил6!F438</f>
        <v>643364.04</v>
      </c>
      <c r="G647" s="29"/>
    </row>
    <row r="648" spans="1:7" ht="47.25">
      <c r="A648" s="3" t="s">
        <v>540</v>
      </c>
      <c r="B648" s="4" t="s">
        <v>541</v>
      </c>
      <c r="C648" s="4"/>
      <c r="D648" s="4"/>
      <c r="E648" s="4"/>
      <c r="F648" s="29">
        <f>F649</f>
        <v>3931570.4100000006</v>
      </c>
      <c r="G648" s="29"/>
    </row>
    <row r="649" spans="1:7" ht="31.5">
      <c r="A649" s="3" t="s">
        <v>523</v>
      </c>
      <c r="B649" s="4" t="s">
        <v>542</v>
      </c>
      <c r="C649" s="4"/>
      <c r="D649" s="4"/>
      <c r="E649" s="4"/>
      <c r="F649" s="29">
        <f>F650</f>
        <v>3931570.4100000006</v>
      </c>
      <c r="G649" s="29"/>
    </row>
    <row r="650" spans="1:7" ht="47.25">
      <c r="A650" s="3" t="s">
        <v>701</v>
      </c>
      <c r="B650" s="4" t="s">
        <v>542</v>
      </c>
      <c r="C650" s="4" t="s">
        <v>605</v>
      </c>
      <c r="D650" s="4"/>
      <c r="E650" s="4"/>
      <c r="F650" s="29">
        <f>F651</f>
        <v>3931570.4100000006</v>
      </c>
      <c r="G650" s="29"/>
    </row>
    <row r="651" spans="1:7" ht="31.5">
      <c r="A651" s="3" t="s">
        <v>49</v>
      </c>
      <c r="B651" s="4" t="s">
        <v>542</v>
      </c>
      <c r="C651" s="4" t="s">
        <v>605</v>
      </c>
      <c r="D651" s="4" t="s">
        <v>42</v>
      </c>
      <c r="E651" s="4"/>
      <c r="F651" s="29">
        <f>F652</f>
        <v>3931570.4100000006</v>
      </c>
      <c r="G651" s="29"/>
    </row>
    <row r="652" spans="1:7" ht="31.5">
      <c r="A652" s="112" t="s">
        <v>568</v>
      </c>
      <c r="B652" s="4" t="s">
        <v>542</v>
      </c>
      <c r="C652" s="4" t="s">
        <v>605</v>
      </c>
      <c r="D652" s="4" t="s">
        <v>42</v>
      </c>
      <c r="E652" s="4" t="s">
        <v>47</v>
      </c>
      <c r="F652" s="29">
        <f>прил6!F441</f>
        <v>3931570.4100000006</v>
      </c>
      <c r="G652" s="29"/>
    </row>
    <row r="653" spans="1:7" ht="47.25">
      <c r="A653" s="3" t="s">
        <v>459</v>
      </c>
      <c r="B653" s="4" t="s">
        <v>460</v>
      </c>
      <c r="C653" s="4"/>
      <c r="D653" s="4"/>
      <c r="E653" s="4"/>
      <c r="F653" s="29">
        <f>F654+F658</f>
        <v>1760542.6</v>
      </c>
      <c r="G653" s="29">
        <f>G654+G658</f>
        <v>1760542.6</v>
      </c>
    </row>
    <row r="654" spans="1:7" ht="47.25">
      <c r="A654" s="3" t="s">
        <v>908</v>
      </c>
      <c r="B654" s="4" t="s">
        <v>461</v>
      </c>
      <c r="C654" s="4"/>
      <c r="D654" s="4"/>
      <c r="E654" s="4"/>
      <c r="F654" s="29">
        <f>F655</f>
        <v>1742922.6</v>
      </c>
      <c r="G654" s="29">
        <f aca="true" t="shared" si="12" ref="G654:G661">F654</f>
        <v>1742922.6</v>
      </c>
    </row>
    <row r="655" spans="1:7" ht="47.25">
      <c r="A655" s="3" t="s">
        <v>701</v>
      </c>
      <c r="B655" s="4" t="s">
        <v>461</v>
      </c>
      <c r="C655" s="4" t="s">
        <v>605</v>
      </c>
      <c r="D655" s="4"/>
      <c r="E655" s="4"/>
      <c r="F655" s="29">
        <f>F656</f>
        <v>1742922.6</v>
      </c>
      <c r="G655" s="29">
        <f t="shared" si="12"/>
        <v>1742922.6</v>
      </c>
    </row>
    <row r="656" spans="1:7" ht="31.5">
      <c r="A656" s="112" t="s">
        <v>61</v>
      </c>
      <c r="B656" s="4" t="s">
        <v>461</v>
      </c>
      <c r="C656" s="4" t="s">
        <v>605</v>
      </c>
      <c r="D656" s="4" t="s">
        <v>50</v>
      </c>
      <c r="E656" s="4"/>
      <c r="F656" s="29">
        <f>F657</f>
        <v>1742922.6</v>
      </c>
      <c r="G656" s="29">
        <f t="shared" si="12"/>
        <v>1742922.6</v>
      </c>
    </row>
    <row r="657" spans="1:7" ht="31.5">
      <c r="A657" s="112" t="s">
        <v>907</v>
      </c>
      <c r="B657" s="4" t="s">
        <v>461</v>
      </c>
      <c r="C657" s="4" t="s">
        <v>605</v>
      </c>
      <c r="D657" s="4" t="s">
        <v>50</v>
      </c>
      <c r="E657" s="4" t="s">
        <v>42</v>
      </c>
      <c r="F657" s="29">
        <f>прил6!F287</f>
        <v>1742922.6</v>
      </c>
      <c r="G657" s="29">
        <f t="shared" si="12"/>
        <v>1742922.6</v>
      </c>
    </row>
    <row r="658" spans="1:7" ht="94.5">
      <c r="A658" s="3" t="s">
        <v>767</v>
      </c>
      <c r="B658" s="4" t="s">
        <v>768</v>
      </c>
      <c r="C658" s="4"/>
      <c r="D658" s="4"/>
      <c r="E658" s="4"/>
      <c r="F658" s="29">
        <f>F659</f>
        <v>17620</v>
      </c>
      <c r="G658" s="29">
        <f t="shared" si="12"/>
        <v>17620</v>
      </c>
    </row>
    <row r="659" spans="1:7" ht="47.25">
      <c r="A659" s="3" t="s">
        <v>701</v>
      </c>
      <c r="B659" s="4" t="s">
        <v>768</v>
      </c>
      <c r="C659" s="4" t="s">
        <v>605</v>
      </c>
      <c r="D659" s="4"/>
      <c r="E659" s="4"/>
      <c r="F659" s="29">
        <f>F660</f>
        <v>17620</v>
      </c>
      <c r="G659" s="29">
        <f t="shared" si="12"/>
        <v>17620</v>
      </c>
    </row>
    <row r="660" spans="1:7" ht="31.5">
      <c r="A660" s="112" t="s">
        <v>61</v>
      </c>
      <c r="B660" s="4" t="s">
        <v>768</v>
      </c>
      <c r="C660" s="4" t="s">
        <v>605</v>
      </c>
      <c r="D660" s="4" t="s">
        <v>50</v>
      </c>
      <c r="E660" s="4"/>
      <c r="F660" s="29">
        <f>F661</f>
        <v>17620</v>
      </c>
      <c r="G660" s="29">
        <f t="shared" si="12"/>
        <v>17620</v>
      </c>
    </row>
    <row r="661" spans="1:7" ht="31.5">
      <c r="A661" s="112" t="s">
        <v>907</v>
      </c>
      <c r="B661" s="4" t="s">
        <v>768</v>
      </c>
      <c r="C661" s="4" t="s">
        <v>605</v>
      </c>
      <c r="D661" s="4" t="s">
        <v>50</v>
      </c>
      <c r="E661" s="4" t="s">
        <v>42</v>
      </c>
      <c r="F661" s="29">
        <f>прил6!F289</f>
        <v>17620</v>
      </c>
      <c r="G661" s="29">
        <f t="shared" si="12"/>
        <v>17620</v>
      </c>
    </row>
    <row r="662" spans="1:7" ht="63">
      <c r="A662" s="3" t="s">
        <v>1153</v>
      </c>
      <c r="B662" s="4" t="s">
        <v>1154</v>
      </c>
      <c r="C662" s="4"/>
      <c r="D662" s="4"/>
      <c r="E662" s="4"/>
      <c r="F662" s="29">
        <f>F663</f>
        <v>190766</v>
      </c>
      <c r="G662" s="29"/>
    </row>
    <row r="663" spans="1:7" ht="31.5">
      <c r="A663" s="3" t="s">
        <v>523</v>
      </c>
      <c r="B663" s="4" t="s">
        <v>1155</v>
      </c>
      <c r="C663" s="4"/>
      <c r="D663" s="4"/>
      <c r="E663" s="4"/>
      <c r="F663" s="29">
        <f>F664</f>
        <v>190766</v>
      </c>
      <c r="G663" s="29"/>
    </row>
    <row r="664" spans="1:7" ht="47.25">
      <c r="A664" s="3" t="s">
        <v>701</v>
      </c>
      <c r="B664" s="4" t="s">
        <v>1155</v>
      </c>
      <c r="C664" s="4" t="s">
        <v>605</v>
      </c>
      <c r="D664" s="4"/>
      <c r="E664" s="4"/>
      <c r="F664" s="29">
        <f>F665</f>
        <v>190766</v>
      </c>
      <c r="G664" s="29"/>
    </row>
    <row r="665" spans="1:7" ht="31.5">
      <c r="A665" s="3" t="s">
        <v>49</v>
      </c>
      <c r="B665" s="4" t="s">
        <v>1155</v>
      </c>
      <c r="C665" s="4" t="s">
        <v>605</v>
      </c>
      <c r="D665" s="4" t="s">
        <v>42</v>
      </c>
      <c r="E665" s="4"/>
      <c r="F665" s="29">
        <f>F666</f>
        <v>190766</v>
      </c>
      <c r="G665" s="29"/>
    </row>
    <row r="666" spans="1:7" ht="31.5">
      <c r="A666" s="112" t="s">
        <v>568</v>
      </c>
      <c r="B666" s="4" t="s">
        <v>1155</v>
      </c>
      <c r="C666" s="4" t="s">
        <v>605</v>
      </c>
      <c r="D666" s="4" t="s">
        <v>42</v>
      </c>
      <c r="E666" s="4" t="s">
        <v>47</v>
      </c>
      <c r="F666" s="29">
        <f>прил6!F444</f>
        <v>190766</v>
      </c>
      <c r="G666" s="29"/>
    </row>
    <row r="667" spans="1:7" ht="47.25">
      <c r="A667" s="3" t="s">
        <v>1216</v>
      </c>
      <c r="B667" s="4" t="s">
        <v>1217</v>
      </c>
      <c r="C667" s="4"/>
      <c r="D667" s="4"/>
      <c r="E667" s="4"/>
      <c r="F667" s="29">
        <f>F668</f>
        <v>215320.05</v>
      </c>
      <c r="G667" s="29"/>
    </row>
    <row r="668" spans="1:7" ht="31.5">
      <c r="A668" s="3" t="s">
        <v>523</v>
      </c>
      <c r="B668" s="4" t="s">
        <v>1218</v>
      </c>
      <c r="C668" s="4"/>
      <c r="D668" s="4"/>
      <c r="E668" s="4"/>
      <c r="F668" s="29">
        <f>F669</f>
        <v>215320.05</v>
      </c>
      <c r="G668" s="29"/>
    </row>
    <row r="669" spans="1:7" ht="47.25">
      <c r="A669" s="3" t="s">
        <v>701</v>
      </c>
      <c r="B669" s="4" t="s">
        <v>1218</v>
      </c>
      <c r="C669" s="4" t="s">
        <v>605</v>
      </c>
      <c r="D669" s="4"/>
      <c r="E669" s="4"/>
      <c r="F669" s="29">
        <f>F670</f>
        <v>215320.05</v>
      </c>
      <c r="G669" s="29"/>
    </row>
    <row r="670" spans="1:7" ht="31.5">
      <c r="A670" s="3" t="s">
        <v>49</v>
      </c>
      <c r="B670" s="4" t="s">
        <v>1218</v>
      </c>
      <c r="C670" s="4" t="s">
        <v>605</v>
      </c>
      <c r="D670" s="4" t="s">
        <v>42</v>
      </c>
      <c r="E670" s="4"/>
      <c r="F670" s="29">
        <f>F671</f>
        <v>215320.05</v>
      </c>
      <c r="G670" s="29"/>
    </row>
    <row r="671" spans="1:7" ht="31.5">
      <c r="A671" s="112" t="s">
        <v>568</v>
      </c>
      <c r="B671" s="4" t="s">
        <v>1218</v>
      </c>
      <c r="C671" s="4" t="s">
        <v>605</v>
      </c>
      <c r="D671" s="4" t="s">
        <v>42</v>
      </c>
      <c r="E671" s="4" t="s">
        <v>47</v>
      </c>
      <c r="F671" s="29">
        <f>прил6!F447</f>
        <v>215320.05</v>
      </c>
      <c r="G671" s="29"/>
    </row>
    <row r="672" spans="1:7" ht="63">
      <c r="A672" s="3" t="s">
        <v>585</v>
      </c>
      <c r="B672" s="4" t="s">
        <v>543</v>
      </c>
      <c r="C672" s="4"/>
      <c r="D672" s="4"/>
      <c r="E672" s="4"/>
      <c r="F672" s="29">
        <f>F673+F688+F700</f>
        <v>14913187.73</v>
      </c>
      <c r="G672" s="29"/>
    </row>
    <row r="673" spans="1:7" ht="47.25">
      <c r="A673" s="3" t="s">
        <v>544</v>
      </c>
      <c r="B673" s="4" t="s">
        <v>545</v>
      </c>
      <c r="C673" s="4"/>
      <c r="D673" s="4"/>
      <c r="E673" s="4"/>
      <c r="F673" s="29">
        <f>F674+F684</f>
        <v>6092546.220000001</v>
      </c>
      <c r="G673" s="29"/>
    </row>
    <row r="674" spans="1:7" ht="94.5">
      <c r="A674" s="3" t="s">
        <v>749</v>
      </c>
      <c r="B674" s="4" t="s">
        <v>546</v>
      </c>
      <c r="C674" s="4"/>
      <c r="D674" s="4"/>
      <c r="E674" s="4"/>
      <c r="F674" s="29">
        <f>F675+F678+F681</f>
        <v>5694601.750000001</v>
      </c>
      <c r="G674" s="29"/>
    </row>
    <row r="675" spans="1:7" ht="110.25">
      <c r="A675" s="3" t="s">
        <v>92</v>
      </c>
      <c r="B675" s="4" t="s">
        <v>546</v>
      </c>
      <c r="C675" s="4" t="s">
        <v>604</v>
      </c>
      <c r="D675" s="4"/>
      <c r="E675" s="4"/>
      <c r="F675" s="29">
        <f>F676</f>
        <v>5489613.750000001</v>
      </c>
      <c r="G675" s="29"/>
    </row>
    <row r="676" spans="1:7" ht="31.5">
      <c r="A676" s="3" t="s">
        <v>49</v>
      </c>
      <c r="B676" s="4" t="s">
        <v>546</v>
      </c>
      <c r="C676" s="4" t="s">
        <v>604</v>
      </c>
      <c r="D676" s="4" t="s">
        <v>42</v>
      </c>
      <c r="E676" s="4"/>
      <c r="F676" s="29">
        <f>F677</f>
        <v>5489613.750000001</v>
      </c>
      <c r="G676" s="29"/>
    </row>
    <row r="677" spans="1:7" ht="31.5">
      <c r="A677" s="112" t="s">
        <v>739</v>
      </c>
      <c r="B677" s="4" t="s">
        <v>546</v>
      </c>
      <c r="C677" s="4" t="s">
        <v>604</v>
      </c>
      <c r="D677" s="4" t="s">
        <v>42</v>
      </c>
      <c r="E677" s="4" t="s">
        <v>42</v>
      </c>
      <c r="F677" s="29">
        <f>прил6!F453</f>
        <v>5489613.750000001</v>
      </c>
      <c r="G677" s="29"/>
    </row>
    <row r="678" spans="1:7" ht="51" customHeight="1">
      <c r="A678" s="3" t="s">
        <v>701</v>
      </c>
      <c r="B678" s="4" t="s">
        <v>546</v>
      </c>
      <c r="C678" s="4" t="s">
        <v>605</v>
      </c>
      <c r="D678" s="4"/>
      <c r="E678" s="4"/>
      <c r="F678" s="29">
        <f>F679</f>
        <v>130400</v>
      </c>
      <c r="G678" s="29"/>
    </row>
    <row r="679" spans="1:7" ht="31.5">
      <c r="A679" s="3" t="s">
        <v>49</v>
      </c>
      <c r="B679" s="4" t="s">
        <v>546</v>
      </c>
      <c r="C679" s="4" t="s">
        <v>605</v>
      </c>
      <c r="D679" s="4" t="s">
        <v>42</v>
      </c>
      <c r="E679" s="4"/>
      <c r="F679" s="29">
        <f>F680</f>
        <v>130400</v>
      </c>
      <c r="G679" s="29"/>
    </row>
    <row r="680" spans="1:7" ht="31.5">
      <c r="A680" s="112" t="s">
        <v>739</v>
      </c>
      <c r="B680" s="4" t="s">
        <v>546</v>
      </c>
      <c r="C680" s="4" t="s">
        <v>605</v>
      </c>
      <c r="D680" s="4" t="s">
        <v>42</v>
      </c>
      <c r="E680" s="4" t="s">
        <v>42</v>
      </c>
      <c r="F680" s="29">
        <f>прил6!F454</f>
        <v>130400</v>
      </c>
      <c r="G680" s="29"/>
    </row>
    <row r="681" spans="1:7" ht="31.5">
      <c r="A681" s="3" t="s">
        <v>1040</v>
      </c>
      <c r="B681" s="4" t="s">
        <v>546</v>
      </c>
      <c r="C681" s="4" t="s">
        <v>608</v>
      </c>
      <c r="D681" s="4"/>
      <c r="E681" s="4"/>
      <c r="F681" s="29">
        <f>F682</f>
        <v>74588</v>
      </c>
      <c r="G681" s="29"/>
    </row>
    <row r="682" spans="1:7" ht="31.5">
      <c r="A682" s="3" t="s">
        <v>49</v>
      </c>
      <c r="B682" s="4" t="s">
        <v>546</v>
      </c>
      <c r="C682" s="4" t="s">
        <v>608</v>
      </c>
      <c r="D682" s="4" t="s">
        <v>42</v>
      </c>
      <c r="E682" s="4"/>
      <c r="F682" s="29">
        <f>F683</f>
        <v>74588</v>
      </c>
      <c r="G682" s="29"/>
    </row>
    <row r="683" spans="1:7" ht="31.5">
      <c r="A683" s="112" t="s">
        <v>739</v>
      </c>
      <c r="B683" s="4" t="s">
        <v>546</v>
      </c>
      <c r="C683" s="4" t="s">
        <v>608</v>
      </c>
      <c r="D683" s="4" t="s">
        <v>42</v>
      </c>
      <c r="E683" s="4" t="s">
        <v>42</v>
      </c>
      <c r="F683" s="29">
        <f>прил6!F455</f>
        <v>74588</v>
      </c>
      <c r="G683" s="29"/>
    </row>
    <row r="684" spans="1:7" ht="31.5">
      <c r="A684" s="3" t="s">
        <v>523</v>
      </c>
      <c r="B684" s="4" t="s">
        <v>1115</v>
      </c>
      <c r="C684" s="4"/>
      <c r="D684" s="4"/>
      <c r="E684" s="4"/>
      <c r="F684" s="29">
        <f>F685</f>
        <v>397944.47</v>
      </c>
      <c r="G684" s="29"/>
    </row>
    <row r="685" spans="1:7" ht="47.25">
      <c r="A685" s="3" t="s">
        <v>701</v>
      </c>
      <c r="B685" s="4" t="s">
        <v>1115</v>
      </c>
      <c r="C685" s="4" t="s">
        <v>605</v>
      </c>
      <c r="D685" s="4"/>
      <c r="E685" s="4"/>
      <c r="F685" s="29">
        <f>F686</f>
        <v>397944.47</v>
      </c>
      <c r="G685" s="29"/>
    </row>
    <row r="686" spans="1:7" ht="31.5">
      <c r="A686" s="3" t="s">
        <v>49</v>
      </c>
      <c r="B686" s="4" t="s">
        <v>1115</v>
      </c>
      <c r="C686" s="4" t="s">
        <v>605</v>
      </c>
      <c r="D686" s="4" t="s">
        <v>42</v>
      </c>
      <c r="E686" s="4"/>
      <c r="F686" s="29">
        <f>F687</f>
        <v>397944.47</v>
      </c>
      <c r="G686" s="29"/>
    </row>
    <row r="687" spans="1:7" ht="31.5">
      <c r="A687" s="112" t="s">
        <v>739</v>
      </c>
      <c r="B687" s="4" t="s">
        <v>1115</v>
      </c>
      <c r="C687" s="4" t="s">
        <v>605</v>
      </c>
      <c r="D687" s="4" t="s">
        <v>42</v>
      </c>
      <c r="E687" s="4" t="s">
        <v>42</v>
      </c>
      <c r="F687" s="29">
        <f>прил6!F457</f>
        <v>397944.47</v>
      </c>
      <c r="G687" s="29"/>
    </row>
    <row r="688" spans="1:7" ht="110.25">
      <c r="A688" s="192" t="s">
        <v>240</v>
      </c>
      <c r="B688" s="4" t="s">
        <v>241</v>
      </c>
      <c r="C688" s="4"/>
      <c r="D688" s="4"/>
      <c r="E688" s="4"/>
      <c r="F688" s="29">
        <f>F689+F696</f>
        <v>8523532.25</v>
      </c>
      <c r="G688" s="29"/>
    </row>
    <row r="689" spans="1:7" ht="94.5">
      <c r="A689" s="192" t="s">
        <v>749</v>
      </c>
      <c r="B689" s="4" t="s">
        <v>242</v>
      </c>
      <c r="C689" s="4"/>
      <c r="D689" s="4"/>
      <c r="E689" s="4"/>
      <c r="F689" s="29">
        <f>F690+F693</f>
        <v>8381032.25</v>
      </c>
      <c r="G689" s="29"/>
    </row>
    <row r="690" spans="1:7" ht="110.25">
      <c r="A690" s="3" t="s">
        <v>92</v>
      </c>
      <c r="B690" s="4" t="s">
        <v>242</v>
      </c>
      <c r="C690" s="4" t="s">
        <v>604</v>
      </c>
      <c r="D690" s="4"/>
      <c r="E690" s="4"/>
      <c r="F690" s="29">
        <f>F691</f>
        <v>8087863.37</v>
      </c>
      <c r="G690" s="29"/>
    </row>
    <row r="691" spans="1:7" ht="31.5">
      <c r="A691" s="3" t="s">
        <v>49</v>
      </c>
      <c r="B691" s="4" t="s">
        <v>242</v>
      </c>
      <c r="C691" s="4" t="s">
        <v>604</v>
      </c>
      <c r="D691" s="4" t="s">
        <v>42</v>
      </c>
      <c r="E691" s="4"/>
      <c r="F691" s="29">
        <f>F692</f>
        <v>8087863.37</v>
      </c>
      <c r="G691" s="29"/>
    </row>
    <row r="692" spans="1:7" ht="31.5">
      <c r="A692" s="112" t="s">
        <v>739</v>
      </c>
      <c r="B692" s="4" t="s">
        <v>242</v>
      </c>
      <c r="C692" s="4" t="s">
        <v>604</v>
      </c>
      <c r="D692" s="4" t="s">
        <v>42</v>
      </c>
      <c r="E692" s="4" t="s">
        <v>42</v>
      </c>
      <c r="F692" s="29">
        <f>прил6!F460</f>
        <v>8087863.37</v>
      </c>
      <c r="G692" s="29"/>
    </row>
    <row r="693" spans="1:7" ht="56.25" customHeight="1">
      <c r="A693" s="3" t="s">
        <v>701</v>
      </c>
      <c r="B693" s="4" t="s">
        <v>242</v>
      </c>
      <c r="C693" s="4" t="s">
        <v>605</v>
      </c>
      <c r="D693" s="4"/>
      <c r="E693" s="4"/>
      <c r="F693" s="29">
        <f>F694</f>
        <v>293168.88</v>
      </c>
      <c r="G693" s="29"/>
    </row>
    <row r="694" spans="1:7" ht="31.5">
      <c r="A694" s="3" t="s">
        <v>49</v>
      </c>
      <c r="B694" s="4" t="s">
        <v>242</v>
      </c>
      <c r="C694" s="4" t="s">
        <v>605</v>
      </c>
      <c r="D694" s="4" t="s">
        <v>42</v>
      </c>
      <c r="E694" s="4"/>
      <c r="F694" s="29">
        <f>F695</f>
        <v>293168.88</v>
      </c>
      <c r="G694" s="29"/>
    </row>
    <row r="695" spans="1:7" ht="31.5">
      <c r="A695" s="112" t="s">
        <v>739</v>
      </c>
      <c r="B695" s="4" t="s">
        <v>242</v>
      </c>
      <c r="C695" s="4" t="s">
        <v>605</v>
      </c>
      <c r="D695" s="4" t="s">
        <v>42</v>
      </c>
      <c r="E695" s="4" t="s">
        <v>42</v>
      </c>
      <c r="F695" s="29">
        <f>прил6!F461</f>
        <v>293168.88</v>
      </c>
      <c r="G695" s="29"/>
    </row>
    <row r="696" spans="1:7" ht="94.5">
      <c r="A696" s="3" t="s">
        <v>587</v>
      </c>
      <c r="B696" s="4" t="s">
        <v>243</v>
      </c>
      <c r="C696" s="4"/>
      <c r="D696" s="4"/>
      <c r="E696" s="4"/>
      <c r="F696" s="29">
        <f>F697</f>
        <v>142500</v>
      </c>
      <c r="G696" s="29"/>
    </row>
    <row r="697" spans="1:7" ht="110.25">
      <c r="A697" s="3" t="s">
        <v>506</v>
      </c>
      <c r="B697" s="4" t="s">
        <v>243</v>
      </c>
      <c r="C697" s="4" t="s">
        <v>604</v>
      </c>
      <c r="D697" s="4"/>
      <c r="E697" s="4"/>
      <c r="F697" s="29">
        <f>F698</f>
        <v>142500</v>
      </c>
      <c r="G697" s="29"/>
    </row>
    <row r="698" spans="1:7" ht="31.5">
      <c r="A698" s="3" t="s">
        <v>49</v>
      </c>
      <c r="B698" s="4" t="s">
        <v>243</v>
      </c>
      <c r="C698" s="4" t="s">
        <v>604</v>
      </c>
      <c r="D698" s="4" t="s">
        <v>42</v>
      </c>
      <c r="E698" s="4"/>
      <c r="F698" s="29">
        <f>F699</f>
        <v>142500</v>
      </c>
      <c r="G698" s="29"/>
    </row>
    <row r="699" spans="1:7" ht="31.5">
      <c r="A699" s="112" t="s">
        <v>739</v>
      </c>
      <c r="B699" s="4" t="s">
        <v>243</v>
      </c>
      <c r="C699" s="4" t="s">
        <v>604</v>
      </c>
      <c r="D699" s="4" t="s">
        <v>42</v>
      </c>
      <c r="E699" s="4" t="s">
        <v>42</v>
      </c>
      <c r="F699" s="29">
        <f>прил6!F463</f>
        <v>142500</v>
      </c>
      <c r="G699" s="29"/>
    </row>
    <row r="700" spans="1:7" ht="47.25">
      <c r="A700" s="192" t="s">
        <v>244</v>
      </c>
      <c r="B700" s="4" t="s">
        <v>245</v>
      </c>
      <c r="C700" s="4"/>
      <c r="D700" s="4"/>
      <c r="E700" s="4"/>
      <c r="F700" s="29">
        <f>F701</f>
        <v>297109.26</v>
      </c>
      <c r="G700" s="29"/>
    </row>
    <row r="701" spans="1:7" ht="94.5">
      <c r="A701" s="192" t="s">
        <v>749</v>
      </c>
      <c r="B701" s="4" t="s">
        <v>246</v>
      </c>
      <c r="C701" s="4"/>
      <c r="D701" s="4"/>
      <c r="E701" s="4"/>
      <c r="F701" s="29">
        <f>F702</f>
        <v>297109.26</v>
      </c>
      <c r="G701" s="29"/>
    </row>
    <row r="702" spans="1:7" ht="47.25">
      <c r="A702" s="3" t="s">
        <v>701</v>
      </c>
      <c r="B702" s="4" t="s">
        <v>246</v>
      </c>
      <c r="C702" s="4" t="s">
        <v>605</v>
      </c>
      <c r="D702" s="4"/>
      <c r="E702" s="4"/>
      <c r="F702" s="29">
        <f>F703</f>
        <v>297109.26</v>
      </c>
      <c r="G702" s="29"/>
    </row>
    <row r="703" spans="1:7" ht="31.5">
      <c r="A703" s="3" t="s">
        <v>49</v>
      </c>
      <c r="B703" s="4" t="s">
        <v>246</v>
      </c>
      <c r="C703" s="4" t="s">
        <v>605</v>
      </c>
      <c r="D703" s="4" t="s">
        <v>42</v>
      </c>
      <c r="E703" s="4"/>
      <c r="F703" s="29">
        <f>F704</f>
        <v>297109.26</v>
      </c>
      <c r="G703" s="29"/>
    </row>
    <row r="704" spans="1:7" ht="31.5">
      <c r="A704" s="112" t="s">
        <v>739</v>
      </c>
      <c r="B704" s="4" t="s">
        <v>246</v>
      </c>
      <c r="C704" s="4" t="s">
        <v>605</v>
      </c>
      <c r="D704" s="4" t="s">
        <v>42</v>
      </c>
      <c r="E704" s="4" t="s">
        <v>42</v>
      </c>
      <c r="F704" s="29">
        <f>прил6!F466</f>
        <v>297109.26</v>
      </c>
      <c r="G704" s="29"/>
    </row>
    <row r="705" spans="1:7" ht="47.25">
      <c r="A705" s="3" t="s">
        <v>1</v>
      </c>
      <c r="B705" s="4" t="s">
        <v>978</v>
      </c>
      <c r="C705" s="4"/>
      <c r="D705" s="4"/>
      <c r="E705" s="4"/>
      <c r="F705" s="29">
        <f>F706+F716+F721+F711</f>
        <v>29502479</v>
      </c>
      <c r="G705" s="29">
        <f>G706+G716+G721</f>
        <v>942100</v>
      </c>
    </row>
    <row r="706" spans="1:7" ht="94.5">
      <c r="A706" s="3" t="s">
        <v>979</v>
      </c>
      <c r="B706" s="4" t="s">
        <v>980</v>
      </c>
      <c r="C706" s="4"/>
      <c r="D706" s="4"/>
      <c r="E706" s="4"/>
      <c r="F706" s="29">
        <f>F707</f>
        <v>20530379</v>
      </c>
      <c r="G706" s="29"/>
    </row>
    <row r="707" spans="1:7" ht="63">
      <c r="A707" s="3" t="s">
        <v>754</v>
      </c>
      <c r="B707" s="4" t="s">
        <v>981</v>
      </c>
      <c r="C707" s="4"/>
      <c r="D707" s="4"/>
      <c r="E707" s="4"/>
      <c r="F707" s="29">
        <f>F708</f>
        <v>20530379</v>
      </c>
      <c r="G707" s="29"/>
    </row>
    <row r="708" spans="1:7" ht="31.5">
      <c r="A708" s="3" t="s">
        <v>1040</v>
      </c>
      <c r="B708" s="4" t="s">
        <v>981</v>
      </c>
      <c r="C708" s="4" t="s">
        <v>608</v>
      </c>
      <c r="D708" s="4"/>
      <c r="E708" s="4"/>
      <c r="F708" s="29">
        <f>F709</f>
        <v>20530379</v>
      </c>
      <c r="G708" s="29"/>
    </row>
    <row r="709" spans="1:7" ht="31.5">
      <c r="A709" s="59" t="s">
        <v>61</v>
      </c>
      <c r="B709" s="4" t="s">
        <v>981</v>
      </c>
      <c r="C709" s="4" t="s">
        <v>608</v>
      </c>
      <c r="D709" s="4" t="s">
        <v>50</v>
      </c>
      <c r="E709" s="4"/>
      <c r="F709" s="29">
        <f>F710</f>
        <v>20530379</v>
      </c>
      <c r="G709" s="29"/>
    </row>
    <row r="710" spans="1:7" ht="31.5">
      <c r="A710" s="59" t="s">
        <v>62</v>
      </c>
      <c r="B710" s="4" t="s">
        <v>981</v>
      </c>
      <c r="C710" s="4" t="s">
        <v>608</v>
      </c>
      <c r="D710" s="4" t="s">
        <v>50</v>
      </c>
      <c r="E710" s="4" t="s">
        <v>44</v>
      </c>
      <c r="F710" s="29">
        <f>прил6!F295</f>
        <v>20530379</v>
      </c>
      <c r="G710" s="29"/>
    </row>
    <row r="711" spans="1:7" ht="47.25">
      <c r="A711" s="59" t="s">
        <v>1211</v>
      </c>
      <c r="B711" s="4" t="s">
        <v>1212</v>
      </c>
      <c r="C711" s="4"/>
      <c r="D711" s="4"/>
      <c r="E711" s="4"/>
      <c r="F711" s="29">
        <f>F712</f>
        <v>30000</v>
      </c>
      <c r="G711" s="29"/>
    </row>
    <row r="712" spans="1:7" ht="31.5">
      <c r="A712" s="3" t="s">
        <v>523</v>
      </c>
      <c r="B712" s="4" t="s">
        <v>1213</v>
      </c>
      <c r="C712" s="4"/>
      <c r="D712" s="4"/>
      <c r="E712" s="4"/>
      <c r="F712" s="29">
        <f>F713</f>
        <v>30000</v>
      </c>
      <c r="G712" s="29"/>
    </row>
    <row r="713" spans="1:7" ht="47.25">
      <c r="A713" s="3" t="s">
        <v>701</v>
      </c>
      <c r="B713" s="4" t="s">
        <v>1213</v>
      </c>
      <c r="C713" s="4" t="s">
        <v>605</v>
      </c>
      <c r="D713" s="4"/>
      <c r="E713" s="4"/>
      <c r="F713" s="29">
        <f>F714</f>
        <v>30000</v>
      </c>
      <c r="G713" s="29"/>
    </row>
    <row r="714" spans="1:7" ht="31.5">
      <c r="A714" s="59" t="s">
        <v>61</v>
      </c>
      <c r="B714" s="4" t="s">
        <v>1213</v>
      </c>
      <c r="C714" s="4" t="s">
        <v>605</v>
      </c>
      <c r="D714" s="4" t="s">
        <v>50</v>
      </c>
      <c r="E714" s="4"/>
      <c r="F714" s="29">
        <f>F715</f>
        <v>30000</v>
      </c>
      <c r="G714" s="29"/>
    </row>
    <row r="715" spans="1:7" ht="31.5">
      <c r="A715" s="59" t="s">
        <v>62</v>
      </c>
      <c r="B715" s="4" t="s">
        <v>1213</v>
      </c>
      <c r="C715" s="4" t="s">
        <v>605</v>
      </c>
      <c r="D715" s="4" t="s">
        <v>50</v>
      </c>
      <c r="E715" s="4" t="s">
        <v>44</v>
      </c>
      <c r="F715" s="29">
        <f>прил6!F298</f>
        <v>30000</v>
      </c>
      <c r="G715" s="29"/>
    </row>
    <row r="716" spans="1:7" ht="110.25">
      <c r="A716" s="3" t="s">
        <v>982</v>
      </c>
      <c r="B716" s="4" t="s">
        <v>983</v>
      </c>
      <c r="C716" s="4"/>
      <c r="D716" s="4"/>
      <c r="E716" s="4"/>
      <c r="F716" s="29">
        <f>F717</f>
        <v>942100</v>
      </c>
      <c r="G716" s="29">
        <f>F716</f>
        <v>942100</v>
      </c>
    </row>
    <row r="717" spans="1:7" ht="157.5">
      <c r="A717" s="3" t="s">
        <v>984</v>
      </c>
      <c r="B717" s="4" t="s">
        <v>985</v>
      </c>
      <c r="C717" s="4"/>
      <c r="D717" s="4"/>
      <c r="E717" s="4"/>
      <c r="F717" s="29">
        <f>F718</f>
        <v>942100</v>
      </c>
      <c r="G717" s="29">
        <f>F717</f>
        <v>942100</v>
      </c>
    </row>
    <row r="718" spans="1:7" ht="31.5">
      <c r="A718" s="3" t="s">
        <v>1040</v>
      </c>
      <c r="B718" s="4" t="s">
        <v>985</v>
      </c>
      <c r="C718" s="4" t="s">
        <v>608</v>
      </c>
      <c r="D718" s="4"/>
      <c r="E718" s="4"/>
      <c r="F718" s="29">
        <f>F719</f>
        <v>942100</v>
      </c>
      <c r="G718" s="29">
        <f>F718</f>
        <v>942100</v>
      </c>
    </row>
    <row r="719" spans="1:7" ht="31.5">
      <c r="A719" s="59" t="s">
        <v>61</v>
      </c>
      <c r="B719" s="4" t="s">
        <v>985</v>
      </c>
      <c r="C719" s="4" t="s">
        <v>608</v>
      </c>
      <c r="D719" s="4" t="s">
        <v>50</v>
      </c>
      <c r="E719" s="4"/>
      <c r="F719" s="29">
        <f>F720</f>
        <v>942100</v>
      </c>
      <c r="G719" s="29">
        <f>F719</f>
        <v>942100</v>
      </c>
    </row>
    <row r="720" spans="1:7" ht="31.5">
      <c r="A720" s="59" t="s">
        <v>62</v>
      </c>
      <c r="B720" s="4" t="s">
        <v>985</v>
      </c>
      <c r="C720" s="4" t="s">
        <v>608</v>
      </c>
      <c r="D720" s="4" t="s">
        <v>50</v>
      </c>
      <c r="E720" s="4" t="s">
        <v>44</v>
      </c>
      <c r="F720" s="29">
        <f>прил6!F301</f>
        <v>942100</v>
      </c>
      <c r="G720" s="29">
        <f>F720</f>
        <v>942100</v>
      </c>
    </row>
    <row r="721" spans="1:7" ht="31.5">
      <c r="A721" s="3" t="s">
        <v>1204</v>
      </c>
      <c r="B721" s="4" t="s">
        <v>1205</v>
      </c>
      <c r="C721" s="4"/>
      <c r="D721" s="4"/>
      <c r="E721" s="4"/>
      <c r="F721" s="29">
        <f>F722</f>
        <v>8000000</v>
      </c>
      <c r="G721" s="223"/>
    </row>
    <row r="722" spans="1:7" ht="31.5">
      <c r="A722" s="3" t="s">
        <v>523</v>
      </c>
      <c r="B722" s="4" t="s">
        <v>1206</v>
      </c>
      <c r="C722" s="4"/>
      <c r="D722" s="4"/>
      <c r="E722" s="4"/>
      <c r="F722" s="29">
        <f>F723</f>
        <v>8000000</v>
      </c>
      <c r="G722" s="223"/>
    </row>
    <row r="723" spans="1:7" ht="47.25">
      <c r="A723" s="3" t="s">
        <v>701</v>
      </c>
      <c r="B723" s="4" t="s">
        <v>1206</v>
      </c>
      <c r="C723" s="4" t="s">
        <v>605</v>
      </c>
      <c r="D723" s="4"/>
      <c r="E723" s="4"/>
      <c r="F723" s="29">
        <f>F724</f>
        <v>8000000</v>
      </c>
      <c r="G723" s="223"/>
    </row>
    <row r="724" spans="1:7" ht="31.5">
      <c r="A724" s="59" t="s">
        <v>61</v>
      </c>
      <c r="B724" s="4" t="s">
        <v>1206</v>
      </c>
      <c r="C724" s="4" t="s">
        <v>605</v>
      </c>
      <c r="D724" s="4" t="s">
        <v>50</v>
      </c>
      <c r="E724" s="4"/>
      <c r="F724" s="29">
        <f>F725</f>
        <v>8000000</v>
      </c>
      <c r="G724" s="223"/>
    </row>
    <row r="725" spans="1:7" ht="31.5">
      <c r="A725" s="59" t="s">
        <v>62</v>
      </c>
      <c r="B725" s="4" t="s">
        <v>1206</v>
      </c>
      <c r="C725" s="4" t="s">
        <v>605</v>
      </c>
      <c r="D725" s="4" t="s">
        <v>50</v>
      </c>
      <c r="E725" s="4" t="s">
        <v>44</v>
      </c>
      <c r="F725" s="29">
        <f>прил6!F304</f>
        <v>8000000</v>
      </c>
      <c r="G725" s="223"/>
    </row>
    <row r="726" spans="1:7" ht="47.25">
      <c r="A726" s="3" t="s">
        <v>475</v>
      </c>
      <c r="B726" s="4" t="s">
        <v>563</v>
      </c>
      <c r="C726" s="4"/>
      <c r="D726" s="4"/>
      <c r="E726" s="4"/>
      <c r="F726" s="29">
        <f>F727</f>
        <v>1214000</v>
      </c>
      <c r="G726" s="29">
        <f>G727</f>
        <v>1214000</v>
      </c>
    </row>
    <row r="727" spans="1:7" ht="63">
      <c r="A727" s="3" t="s">
        <v>1147</v>
      </c>
      <c r="B727" s="4" t="s">
        <v>564</v>
      </c>
      <c r="C727" s="2"/>
      <c r="D727" s="4"/>
      <c r="E727" s="4"/>
      <c r="F727" s="29">
        <f>F732+F728</f>
        <v>1214000</v>
      </c>
      <c r="G727" s="29">
        <f>G732+G728</f>
        <v>1214000</v>
      </c>
    </row>
    <row r="728" spans="1:7" ht="94.5">
      <c r="A728" s="193" t="s">
        <v>1156</v>
      </c>
      <c r="B728" s="4" t="s">
        <v>1158</v>
      </c>
      <c r="C728" s="4"/>
      <c r="D728" s="4"/>
      <c r="E728" s="4"/>
      <c r="F728" s="29">
        <f aca="true" t="shared" si="13" ref="F728:G730">F729</f>
        <v>1214000</v>
      </c>
      <c r="G728" s="29">
        <f t="shared" si="13"/>
        <v>1214000</v>
      </c>
    </row>
    <row r="729" spans="1:7" ht="31.5">
      <c r="A729" s="193" t="s">
        <v>565</v>
      </c>
      <c r="B729" s="4" t="s">
        <v>1158</v>
      </c>
      <c r="C729" s="4" t="s">
        <v>566</v>
      </c>
      <c r="D729" s="4"/>
      <c r="E729" s="4"/>
      <c r="F729" s="29">
        <f t="shared" si="13"/>
        <v>1214000</v>
      </c>
      <c r="G729" s="29">
        <f t="shared" si="13"/>
        <v>1214000</v>
      </c>
    </row>
    <row r="730" spans="1:7" ht="31.5">
      <c r="A730" s="59" t="s">
        <v>54</v>
      </c>
      <c r="B730" s="4" t="s">
        <v>1158</v>
      </c>
      <c r="C730" s="4" t="s">
        <v>566</v>
      </c>
      <c r="D730" s="4" t="s">
        <v>48</v>
      </c>
      <c r="E730" s="4"/>
      <c r="F730" s="29">
        <f t="shared" si="13"/>
        <v>1214000</v>
      </c>
      <c r="G730" s="29">
        <f t="shared" si="13"/>
        <v>1214000</v>
      </c>
    </row>
    <row r="731" spans="1:7" ht="31.5">
      <c r="A731" s="59" t="s">
        <v>738</v>
      </c>
      <c r="B731" s="4" t="s">
        <v>1158</v>
      </c>
      <c r="C731" s="4" t="s">
        <v>566</v>
      </c>
      <c r="D731" s="4" t="s">
        <v>48</v>
      </c>
      <c r="E731" s="4" t="s">
        <v>47</v>
      </c>
      <c r="F731" s="29">
        <f>прил6!F791</f>
        <v>1214000</v>
      </c>
      <c r="G731" s="29">
        <f>F731</f>
        <v>1214000</v>
      </c>
    </row>
    <row r="732" spans="1:7" ht="93" hidden="1">
      <c r="A732" s="193" t="s">
        <v>1156</v>
      </c>
      <c r="B732" s="4" t="s">
        <v>1157</v>
      </c>
      <c r="C732" s="4"/>
      <c r="D732" s="4"/>
      <c r="E732" s="4"/>
      <c r="F732" s="29">
        <f>F733</f>
        <v>0</v>
      </c>
      <c r="G732" s="29"/>
    </row>
    <row r="733" spans="1:7" ht="30.75" hidden="1">
      <c r="A733" s="193" t="s">
        <v>565</v>
      </c>
      <c r="B733" s="4" t="s">
        <v>1157</v>
      </c>
      <c r="C733" s="4" t="s">
        <v>566</v>
      </c>
      <c r="D733" s="4"/>
      <c r="E733" s="4"/>
      <c r="F733" s="29">
        <f>F734</f>
        <v>0</v>
      </c>
      <c r="G733" s="29"/>
    </row>
    <row r="734" spans="1:7" ht="15" hidden="1">
      <c r="A734" s="59" t="s">
        <v>54</v>
      </c>
      <c r="B734" s="4" t="s">
        <v>1157</v>
      </c>
      <c r="C734" s="4" t="s">
        <v>566</v>
      </c>
      <c r="D734" s="4" t="s">
        <v>48</v>
      </c>
      <c r="E734" s="4"/>
      <c r="F734" s="29">
        <f>F735</f>
        <v>0</v>
      </c>
      <c r="G734" s="29"/>
    </row>
    <row r="735" spans="1:7" ht="30.75" hidden="1">
      <c r="A735" s="59" t="s">
        <v>738</v>
      </c>
      <c r="B735" s="4" t="s">
        <v>1157</v>
      </c>
      <c r="C735" s="4" t="s">
        <v>566</v>
      </c>
      <c r="D735" s="4" t="s">
        <v>48</v>
      </c>
      <c r="E735" s="4" t="s">
        <v>47</v>
      </c>
      <c r="F735" s="29">
        <f>прил6!F793</f>
        <v>0</v>
      </c>
      <c r="G735" s="29"/>
    </row>
    <row r="736" spans="1:8" ht="78.75">
      <c r="A736" s="1" t="s">
        <v>108</v>
      </c>
      <c r="B736" s="2" t="s">
        <v>630</v>
      </c>
      <c r="C736" s="2"/>
      <c r="D736" s="2"/>
      <c r="E736" s="2"/>
      <c r="F736" s="33">
        <f>F737+F753+F779</f>
        <v>37840791.279999994</v>
      </c>
      <c r="G736" s="33"/>
      <c r="H736" s="26">
        <f>прил6!F259+прил6!F119</f>
        <v>37509317.279999994</v>
      </c>
    </row>
    <row r="737" spans="1:7" ht="63">
      <c r="A737" s="3" t="s">
        <v>130</v>
      </c>
      <c r="B737" s="4" t="s">
        <v>631</v>
      </c>
      <c r="C737" s="2"/>
      <c r="D737" s="2"/>
      <c r="E737" s="2"/>
      <c r="F737" s="29">
        <f>F743+F748+F738</f>
        <v>731474</v>
      </c>
      <c r="G737" s="29"/>
    </row>
    <row r="738" spans="1:7" ht="47.25">
      <c r="A738" s="3" t="s">
        <v>178</v>
      </c>
      <c r="B738" s="4" t="s">
        <v>179</v>
      </c>
      <c r="C738" s="2"/>
      <c r="D738" s="2"/>
      <c r="E738" s="2"/>
      <c r="F738" s="29">
        <f>F739</f>
        <v>331474</v>
      </c>
      <c r="G738" s="29"/>
    </row>
    <row r="739" spans="1:7" ht="47.25">
      <c r="A739" s="3" t="s">
        <v>131</v>
      </c>
      <c r="B739" s="4" t="s">
        <v>282</v>
      </c>
      <c r="C739" s="4"/>
      <c r="D739" s="4"/>
      <c r="E739" s="4"/>
      <c r="F739" s="29">
        <f>F740</f>
        <v>331474</v>
      </c>
      <c r="G739" s="29"/>
    </row>
    <row r="740" spans="1:7" ht="63">
      <c r="A740" s="3" t="s">
        <v>525</v>
      </c>
      <c r="B740" s="4" t="s">
        <v>282</v>
      </c>
      <c r="C740" s="4" t="s">
        <v>609</v>
      </c>
      <c r="D740" s="4"/>
      <c r="E740" s="4"/>
      <c r="F740" s="29">
        <f>F741</f>
        <v>331474</v>
      </c>
      <c r="G740" s="29"/>
    </row>
    <row r="741" spans="1:7" ht="38.25" customHeight="1">
      <c r="A741" s="3" t="s">
        <v>60</v>
      </c>
      <c r="B741" s="4" t="s">
        <v>282</v>
      </c>
      <c r="C741" s="4" t="s">
        <v>609</v>
      </c>
      <c r="D741" s="4" t="s">
        <v>47</v>
      </c>
      <c r="E741" s="4"/>
      <c r="F741" s="29">
        <f>F742</f>
        <v>331474</v>
      </c>
      <c r="G741" s="29"/>
    </row>
    <row r="742" spans="1:7" ht="47.25">
      <c r="A742" s="3" t="s">
        <v>746</v>
      </c>
      <c r="B742" s="4" t="s">
        <v>282</v>
      </c>
      <c r="C742" s="4" t="s">
        <v>609</v>
      </c>
      <c r="D742" s="4" t="s">
        <v>47</v>
      </c>
      <c r="E742" s="4" t="s">
        <v>567</v>
      </c>
      <c r="F742" s="29">
        <f>прил6!F280</f>
        <v>331474</v>
      </c>
      <c r="G742" s="29"/>
    </row>
    <row r="743" spans="1:7" ht="47.25">
      <c r="A743" s="3" t="s">
        <v>278</v>
      </c>
      <c r="B743" s="4" t="s">
        <v>221</v>
      </c>
      <c r="C743" s="4"/>
      <c r="D743" s="4"/>
      <c r="E743" s="4"/>
      <c r="F743" s="29">
        <f>F744</f>
        <v>400000</v>
      </c>
      <c r="G743" s="29"/>
    </row>
    <row r="744" spans="1:7" ht="31.5">
      <c r="A744" s="3" t="s">
        <v>523</v>
      </c>
      <c r="B744" s="4" t="s">
        <v>222</v>
      </c>
      <c r="C744" s="4"/>
      <c r="D744" s="4"/>
      <c r="E744" s="4"/>
      <c r="F744" s="29">
        <f>F745</f>
        <v>400000</v>
      </c>
      <c r="G744" s="29"/>
    </row>
    <row r="745" spans="1:7" ht="47.25">
      <c r="A745" s="3" t="s">
        <v>701</v>
      </c>
      <c r="B745" s="4" t="s">
        <v>222</v>
      </c>
      <c r="C745" s="4" t="s">
        <v>605</v>
      </c>
      <c r="D745" s="4"/>
      <c r="E745" s="4"/>
      <c r="F745" s="29">
        <f>F746</f>
        <v>400000</v>
      </c>
      <c r="G745" s="29"/>
    </row>
    <row r="746" spans="1:7" ht="31.5">
      <c r="A746" s="3" t="s">
        <v>59</v>
      </c>
      <c r="B746" s="4" t="s">
        <v>222</v>
      </c>
      <c r="C746" s="4" t="s">
        <v>605</v>
      </c>
      <c r="D746" s="4" t="s">
        <v>917</v>
      </c>
      <c r="E746" s="4"/>
      <c r="F746" s="29">
        <f>F747</f>
        <v>400000</v>
      </c>
      <c r="G746" s="29"/>
    </row>
    <row r="747" spans="1:7" ht="36" customHeight="1">
      <c r="A747" s="3" t="s">
        <v>741</v>
      </c>
      <c r="B747" s="4" t="s">
        <v>222</v>
      </c>
      <c r="C747" s="4" t="s">
        <v>605</v>
      </c>
      <c r="D747" s="4" t="s">
        <v>917</v>
      </c>
      <c r="E747" s="4" t="s">
        <v>602</v>
      </c>
      <c r="F747" s="29">
        <f>прил6!F123</f>
        <v>400000</v>
      </c>
      <c r="G747" s="29"/>
    </row>
    <row r="748" spans="1:7" ht="36" customHeight="1" hidden="1">
      <c r="A748" s="3" t="s">
        <v>279</v>
      </c>
      <c r="B748" s="4" t="s">
        <v>280</v>
      </c>
      <c r="C748" s="4"/>
      <c r="D748" s="4"/>
      <c r="E748" s="4"/>
      <c r="F748" s="29">
        <f>F749</f>
        <v>0</v>
      </c>
      <c r="G748" s="29"/>
    </row>
    <row r="749" spans="1:7" ht="36" customHeight="1" hidden="1">
      <c r="A749" s="3" t="s">
        <v>523</v>
      </c>
      <c r="B749" s="4" t="s">
        <v>281</v>
      </c>
      <c r="C749" s="4"/>
      <c r="D749" s="4"/>
      <c r="E749" s="4"/>
      <c r="F749" s="29">
        <f>F750</f>
        <v>0</v>
      </c>
      <c r="G749" s="29"/>
    </row>
    <row r="750" spans="1:7" ht="54" customHeight="1" hidden="1">
      <c r="A750" s="3" t="s">
        <v>701</v>
      </c>
      <c r="B750" s="4" t="s">
        <v>281</v>
      </c>
      <c r="C750" s="4" t="s">
        <v>605</v>
      </c>
      <c r="D750" s="4"/>
      <c r="E750" s="4"/>
      <c r="F750" s="29">
        <f>F751</f>
        <v>0</v>
      </c>
      <c r="G750" s="29"/>
    </row>
    <row r="751" spans="1:7" ht="15" hidden="1">
      <c r="A751" s="3" t="s">
        <v>59</v>
      </c>
      <c r="B751" s="4" t="s">
        <v>281</v>
      </c>
      <c r="C751" s="4" t="s">
        <v>605</v>
      </c>
      <c r="D751" s="4" t="s">
        <v>917</v>
      </c>
      <c r="E751" s="4"/>
      <c r="F751" s="29">
        <f>F752</f>
        <v>0</v>
      </c>
      <c r="G751" s="29"/>
    </row>
    <row r="752" spans="1:7" ht="30.75" hidden="1">
      <c r="A752" s="3" t="s">
        <v>741</v>
      </c>
      <c r="B752" s="4" t="s">
        <v>281</v>
      </c>
      <c r="C752" s="4" t="s">
        <v>605</v>
      </c>
      <c r="D752" s="4" t="s">
        <v>917</v>
      </c>
      <c r="E752" s="4" t="s">
        <v>602</v>
      </c>
      <c r="F752" s="29">
        <f>прил6!F126</f>
        <v>0</v>
      </c>
      <c r="G752" s="29"/>
    </row>
    <row r="753" spans="1:7" ht="78.75">
      <c r="A753" s="3" t="s">
        <v>132</v>
      </c>
      <c r="B753" s="4" t="s">
        <v>452</v>
      </c>
      <c r="C753" s="4"/>
      <c r="D753" s="4"/>
      <c r="E753" s="4"/>
      <c r="F753" s="29">
        <f>F754+F759+F774</f>
        <v>36622582.279999994</v>
      </c>
      <c r="G753" s="29"/>
    </row>
    <row r="754" spans="1:7" ht="63">
      <c r="A754" s="3" t="s">
        <v>453</v>
      </c>
      <c r="B754" s="4" t="s">
        <v>109</v>
      </c>
      <c r="C754" s="4"/>
      <c r="D754" s="4"/>
      <c r="E754" s="4"/>
      <c r="F754" s="29">
        <f>F755</f>
        <v>190060.8</v>
      </c>
      <c r="G754" s="29"/>
    </row>
    <row r="755" spans="1:7" ht="31.5">
      <c r="A755" s="3" t="s">
        <v>523</v>
      </c>
      <c r="B755" s="4" t="s">
        <v>110</v>
      </c>
      <c r="C755" s="4"/>
      <c r="D755" s="4"/>
      <c r="E755" s="4"/>
      <c r="F755" s="29">
        <f>F756</f>
        <v>190060.8</v>
      </c>
      <c r="G755" s="29"/>
    </row>
    <row r="756" spans="1:7" ht="47.25">
      <c r="A756" s="3" t="s">
        <v>701</v>
      </c>
      <c r="B756" s="4" t="s">
        <v>110</v>
      </c>
      <c r="C756" s="4" t="s">
        <v>605</v>
      </c>
      <c r="D756" s="4"/>
      <c r="E756" s="4"/>
      <c r="F756" s="29">
        <f>F757</f>
        <v>190060.8</v>
      </c>
      <c r="G756" s="29"/>
    </row>
    <row r="757" spans="1:7" ht="47.25">
      <c r="A757" s="3" t="s">
        <v>60</v>
      </c>
      <c r="B757" s="4" t="s">
        <v>110</v>
      </c>
      <c r="C757" s="4" t="s">
        <v>605</v>
      </c>
      <c r="D757" s="4" t="s">
        <v>47</v>
      </c>
      <c r="E757" s="4"/>
      <c r="F757" s="29">
        <f>F758</f>
        <v>190060.8</v>
      </c>
      <c r="G757" s="29"/>
    </row>
    <row r="758" spans="1:7" ht="63">
      <c r="A758" s="3" t="s">
        <v>5</v>
      </c>
      <c r="B758" s="4" t="s">
        <v>110</v>
      </c>
      <c r="C758" s="4" t="s">
        <v>605</v>
      </c>
      <c r="D758" s="4" t="s">
        <v>47</v>
      </c>
      <c r="E758" s="4" t="s">
        <v>46</v>
      </c>
      <c r="F758" s="29">
        <f>прил6!F264</f>
        <v>190060.8</v>
      </c>
      <c r="G758" s="29"/>
    </row>
    <row r="759" spans="1:7" ht="78.75">
      <c r="A759" s="3" t="s">
        <v>111</v>
      </c>
      <c r="B759" s="4" t="s">
        <v>112</v>
      </c>
      <c r="C759" s="4"/>
      <c r="D759" s="4"/>
      <c r="E759" s="4"/>
      <c r="F759" s="29">
        <f>F760+F770</f>
        <v>35252844.809999995</v>
      </c>
      <c r="G759" s="29"/>
    </row>
    <row r="760" spans="1:7" ht="94.5">
      <c r="A760" s="3" t="s">
        <v>749</v>
      </c>
      <c r="B760" s="4" t="s">
        <v>99</v>
      </c>
      <c r="C760" s="4"/>
      <c r="D760" s="4"/>
      <c r="E760" s="4"/>
      <c r="F760" s="29">
        <f>F761+F764+F767</f>
        <v>34564334.809999995</v>
      </c>
      <c r="G760" s="29"/>
    </row>
    <row r="761" spans="1:7" ht="110.25">
      <c r="A761" s="3" t="s">
        <v>92</v>
      </c>
      <c r="B761" s="4" t="s">
        <v>99</v>
      </c>
      <c r="C761" s="4" t="s">
        <v>604</v>
      </c>
      <c r="D761" s="4"/>
      <c r="E761" s="4"/>
      <c r="F761" s="29">
        <f>F762</f>
        <v>29442991.5</v>
      </c>
      <c r="G761" s="29"/>
    </row>
    <row r="762" spans="1:7" ht="36" customHeight="1">
      <c r="A762" s="3" t="s">
        <v>60</v>
      </c>
      <c r="B762" s="4" t="s">
        <v>99</v>
      </c>
      <c r="C762" s="4" t="s">
        <v>604</v>
      </c>
      <c r="D762" s="4" t="s">
        <v>47</v>
      </c>
      <c r="E762" s="4"/>
      <c r="F762" s="29">
        <f>F763</f>
        <v>29442991.5</v>
      </c>
      <c r="G762" s="29"/>
    </row>
    <row r="763" spans="1:7" ht="63">
      <c r="A763" s="3" t="s">
        <v>5</v>
      </c>
      <c r="B763" s="4" t="s">
        <v>99</v>
      </c>
      <c r="C763" s="4" t="s">
        <v>604</v>
      </c>
      <c r="D763" s="4" t="s">
        <v>47</v>
      </c>
      <c r="E763" s="4" t="s">
        <v>46</v>
      </c>
      <c r="F763" s="29">
        <f>прил6!F267</f>
        <v>29442991.5</v>
      </c>
      <c r="G763" s="29"/>
    </row>
    <row r="764" spans="1:7" ht="54" customHeight="1">
      <c r="A764" s="3" t="s">
        <v>701</v>
      </c>
      <c r="B764" s="4" t="s">
        <v>99</v>
      </c>
      <c r="C764" s="4" t="s">
        <v>605</v>
      </c>
      <c r="D764" s="4"/>
      <c r="E764" s="4"/>
      <c r="F764" s="29">
        <f>F765</f>
        <v>4945297.01</v>
      </c>
      <c r="G764" s="29"/>
    </row>
    <row r="765" spans="1:7" ht="47.25">
      <c r="A765" s="3" t="s">
        <v>60</v>
      </c>
      <c r="B765" s="4" t="s">
        <v>99</v>
      </c>
      <c r="C765" s="4" t="s">
        <v>605</v>
      </c>
      <c r="D765" s="4" t="s">
        <v>47</v>
      </c>
      <c r="E765" s="4"/>
      <c r="F765" s="29">
        <f>F766</f>
        <v>4945297.01</v>
      </c>
      <c r="G765" s="29"/>
    </row>
    <row r="766" spans="1:7" ht="63">
      <c r="A766" s="3" t="s">
        <v>5</v>
      </c>
      <c r="B766" s="4" t="s">
        <v>99</v>
      </c>
      <c r="C766" s="4" t="s">
        <v>605</v>
      </c>
      <c r="D766" s="4" t="s">
        <v>47</v>
      </c>
      <c r="E766" s="4" t="s">
        <v>46</v>
      </c>
      <c r="F766" s="29">
        <f>прил6!F268</f>
        <v>4945297.01</v>
      </c>
      <c r="G766" s="29"/>
    </row>
    <row r="767" spans="1:7" ht="31.5">
      <c r="A767" s="3" t="s">
        <v>1040</v>
      </c>
      <c r="B767" s="4" t="s">
        <v>99</v>
      </c>
      <c r="C767" s="4" t="s">
        <v>608</v>
      </c>
      <c r="D767" s="4"/>
      <c r="E767" s="4"/>
      <c r="F767" s="29">
        <f>F768</f>
        <v>176046.3</v>
      </c>
      <c r="G767" s="29"/>
    </row>
    <row r="768" spans="1:7" ht="47.25">
      <c r="A768" s="3" t="s">
        <v>60</v>
      </c>
      <c r="B768" s="4" t="s">
        <v>99</v>
      </c>
      <c r="C768" s="4" t="s">
        <v>608</v>
      </c>
      <c r="D768" s="4" t="s">
        <v>47</v>
      </c>
      <c r="E768" s="4"/>
      <c r="F768" s="29">
        <f>F769</f>
        <v>176046.3</v>
      </c>
      <c r="G768" s="29"/>
    </row>
    <row r="769" spans="1:7" ht="63">
      <c r="A769" s="3" t="s">
        <v>5</v>
      </c>
      <c r="B769" s="4" t="s">
        <v>99</v>
      </c>
      <c r="C769" s="4" t="s">
        <v>608</v>
      </c>
      <c r="D769" s="4" t="s">
        <v>47</v>
      </c>
      <c r="E769" s="4" t="s">
        <v>46</v>
      </c>
      <c r="F769" s="29">
        <f>прил6!F269</f>
        <v>176046.3</v>
      </c>
      <c r="G769" s="29"/>
    </row>
    <row r="770" spans="1:7" ht="94.5">
      <c r="A770" s="3" t="s">
        <v>587</v>
      </c>
      <c r="B770" s="4" t="s">
        <v>113</v>
      </c>
      <c r="C770" s="4"/>
      <c r="D770" s="4"/>
      <c r="E770" s="4"/>
      <c r="F770" s="29">
        <f>F771</f>
        <v>688510</v>
      </c>
      <c r="G770" s="29"/>
    </row>
    <row r="771" spans="1:7" ht="110.25">
      <c r="A771" s="3" t="s">
        <v>506</v>
      </c>
      <c r="B771" s="4" t="s">
        <v>113</v>
      </c>
      <c r="C771" s="4" t="s">
        <v>604</v>
      </c>
      <c r="D771" s="4"/>
      <c r="E771" s="4"/>
      <c r="F771" s="29">
        <f>F772</f>
        <v>688510</v>
      </c>
      <c r="G771" s="29"/>
    </row>
    <row r="772" spans="1:7" ht="32.25" customHeight="1">
      <c r="A772" s="3" t="s">
        <v>60</v>
      </c>
      <c r="B772" s="4" t="s">
        <v>113</v>
      </c>
      <c r="C772" s="4" t="s">
        <v>604</v>
      </c>
      <c r="D772" s="4" t="s">
        <v>47</v>
      </c>
      <c r="E772" s="4"/>
      <c r="F772" s="29">
        <f>F773</f>
        <v>688510</v>
      </c>
      <c r="G772" s="29"/>
    </row>
    <row r="773" spans="1:7" ht="63">
      <c r="A773" s="3" t="s">
        <v>5</v>
      </c>
      <c r="B773" s="4" t="s">
        <v>113</v>
      </c>
      <c r="C773" s="4" t="s">
        <v>604</v>
      </c>
      <c r="D773" s="4" t="s">
        <v>47</v>
      </c>
      <c r="E773" s="4" t="s">
        <v>46</v>
      </c>
      <c r="F773" s="29">
        <f>прил6!F271</f>
        <v>688510</v>
      </c>
      <c r="G773" s="29"/>
    </row>
    <row r="774" spans="1:7" ht="31.5">
      <c r="A774" s="3" t="s">
        <v>114</v>
      </c>
      <c r="B774" s="4" t="s">
        <v>115</v>
      </c>
      <c r="C774" s="4"/>
      <c r="D774" s="4"/>
      <c r="E774" s="4"/>
      <c r="F774" s="29">
        <f>F775</f>
        <v>1179676.67</v>
      </c>
      <c r="G774" s="29"/>
    </row>
    <row r="775" spans="1:7" ht="31.5">
      <c r="A775" s="3" t="s">
        <v>523</v>
      </c>
      <c r="B775" s="4" t="s">
        <v>116</v>
      </c>
      <c r="C775" s="4"/>
      <c r="D775" s="4"/>
      <c r="E775" s="4"/>
      <c r="F775" s="29">
        <f>F776</f>
        <v>1179676.67</v>
      </c>
      <c r="G775" s="29"/>
    </row>
    <row r="776" spans="1:7" ht="47.25">
      <c r="A776" s="3" t="s">
        <v>701</v>
      </c>
      <c r="B776" s="4" t="s">
        <v>116</v>
      </c>
      <c r="C776" s="4" t="s">
        <v>605</v>
      </c>
      <c r="D776" s="4"/>
      <c r="E776" s="4"/>
      <c r="F776" s="29">
        <f>F777</f>
        <v>1179676.67</v>
      </c>
      <c r="G776" s="29"/>
    </row>
    <row r="777" spans="1:7" ht="47.25">
      <c r="A777" s="3" t="s">
        <v>60</v>
      </c>
      <c r="B777" s="4" t="s">
        <v>116</v>
      </c>
      <c r="C777" s="4" t="s">
        <v>605</v>
      </c>
      <c r="D777" s="4" t="s">
        <v>47</v>
      </c>
      <c r="E777" s="4"/>
      <c r="F777" s="29">
        <f>F778</f>
        <v>1179676.67</v>
      </c>
      <c r="G777" s="29"/>
    </row>
    <row r="778" spans="1:7" ht="63">
      <c r="A778" s="3" t="s">
        <v>5</v>
      </c>
      <c r="B778" s="4" t="s">
        <v>116</v>
      </c>
      <c r="C778" s="4" t="s">
        <v>605</v>
      </c>
      <c r="D778" s="4" t="s">
        <v>47</v>
      </c>
      <c r="E778" s="4" t="s">
        <v>46</v>
      </c>
      <c r="F778" s="29">
        <f>прил6!F274</f>
        <v>1179676.67</v>
      </c>
      <c r="G778" s="29"/>
    </row>
    <row r="779" spans="1:7" ht="47.25">
      <c r="A779" s="3" t="s">
        <v>1125</v>
      </c>
      <c r="B779" s="4" t="s">
        <v>1126</v>
      </c>
      <c r="C779" s="4"/>
      <c r="D779" s="4"/>
      <c r="E779" s="4"/>
      <c r="F779" s="29">
        <f>F780+F785</f>
        <v>486735</v>
      </c>
      <c r="G779" s="29"/>
    </row>
    <row r="780" spans="1:7" ht="63">
      <c r="A780" s="3" t="s">
        <v>1127</v>
      </c>
      <c r="B780" s="4" t="s">
        <v>1128</v>
      </c>
      <c r="C780" s="4"/>
      <c r="D780" s="4"/>
      <c r="E780" s="4"/>
      <c r="F780" s="29">
        <f>F781</f>
        <v>199735</v>
      </c>
      <c r="G780" s="29"/>
    </row>
    <row r="781" spans="1:7" ht="31.5">
      <c r="A781" s="3" t="s">
        <v>523</v>
      </c>
      <c r="B781" s="4" t="s">
        <v>1129</v>
      </c>
      <c r="C781" s="4"/>
      <c r="D781" s="4"/>
      <c r="E781" s="4"/>
      <c r="F781" s="29">
        <f>F782</f>
        <v>199735</v>
      </c>
      <c r="G781" s="29"/>
    </row>
    <row r="782" spans="1:7" ht="47.25">
      <c r="A782" s="3" t="s">
        <v>701</v>
      </c>
      <c r="B782" s="4" t="s">
        <v>1129</v>
      </c>
      <c r="C782" s="4" t="s">
        <v>605</v>
      </c>
      <c r="D782" s="4"/>
      <c r="E782" s="4"/>
      <c r="F782" s="29">
        <f>F783</f>
        <v>199735</v>
      </c>
      <c r="G782" s="29"/>
    </row>
    <row r="783" spans="1:7" ht="31.5">
      <c r="A783" s="49" t="s">
        <v>59</v>
      </c>
      <c r="B783" s="4" t="s">
        <v>1129</v>
      </c>
      <c r="C783" s="4" t="s">
        <v>605</v>
      </c>
      <c r="D783" s="4" t="s">
        <v>917</v>
      </c>
      <c r="E783" s="4"/>
      <c r="F783" s="29">
        <f>F784</f>
        <v>199735</v>
      </c>
      <c r="G783" s="29"/>
    </row>
    <row r="784" spans="1:7" ht="31.5">
      <c r="A784" s="49" t="s">
        <v>741</v>
      </c>
      <c r="B784" s="4" t="s">
        <v>1129</v>
      </c>
      <c r="C784" s="4" t="s">
        <v>605</v>
      </c>
      <c r="D784" s="4" t="s">
        <v>917</v>
      </c>
      <c r="E784" s="4" t="s">
        <v>602</v>
      </c>
      <c r="F784" s="29">
        <f>прил6!F130</f>
        <v>199735</v>
      </c>
      <c r="G784" s="29"/>
    </row>
    <row r="785" spans="1:7" ht="78.75">
      <c r="A785" s="3" t="s">
        <v>1222</v>
      </c>
      <c r="B785" s="4" t="s">
        <v>1223</v>
      </c>
      <c r="C785" s="4"/>
      <c r="D785" s="4"/>
      <c r="E785" s="4"/>
      <c r="F785" s="29">
        <f>F786</f>
        <v>287000</v>
      </c>
      <c r="G785" s="29"/>
    </row>
    <row r="786" spans="1:7" ht="31.5">
      <c r="A786" s="3" t="s">
        <v>523</v>
      </c>
      <c r="B786" s="4" t="s">
        <v>1224</v>
      </c>
      <c r="C786" s="4"/>
      <c r="D786" s="4"/>
      <c r="E786" s="4"/>
      <c r="F786" s="29">
        <f>F787</f>
        <v>287000</v>
      </c>
      <c r="G786" s="29"/>
    </row>
    <row r="787" spans="1:7" ht="47.25">
      <c r="A787" s="3" t="s">
        <v>701</v>
      </c>
      <c r="B787" s="4" t="s">
        <v>1224</v>
      </c>
      <c r="C787" s="4" t="s">
        <v>605</v>
      </c>
      <c r="D787" s="4"/>
      <c r="E787" s="4"/>
      <c r="F787" s="29">
        <f>F788</f>
        <v>287000</v>
      </c>
      <c r="G787" s="29"/>
    </row>
    <row r="788" spans="1:7" ht="31.5">
      <c r="A788" s="49" t="s">
        <v>59</v>
      </c>
      <c r="B788" s="4" t="s">
        <v>1224</v>
      </c>
      <c r="C788" s="4" t="s">
        <v>605</v>
      </c>
      <c r="D788" s="4" t="s">
        <v>917</v>
      </c>
      <c r="E788" s="4"/>
      <c r="F788" s="29">
        <f>F789</f>
        <v>287000</v>
      </c>
      <c r="G788" s="29"/>
    </row>
    <row r="789" spans="1:7" ht="31.5">
      <c r="A789" s="49" t="s">
        <v>741</v>
      </c>
      <c r="B789" s="4" t="s">
        <v>1224</v>
      </c>
      <c r="C789" s="4" t="s">
        <v>605</v>
      </c>
      <c r="D789" s="4" t="s">
        <v>917</v>
      </c>
      <c r="E789" s="4" t="s">
        <v>602</v>
      </c>
      <c r="F789" s="29">
        <f>прил6!F133</f>
        <v>287000</v>
      </c>
      <c r="G789" s="29"/>
    </row>
    <row r="790" spans="1:7" ht="63">
      <c r="A790" s="1" t="s">
        <v>1037</v>
      </c>
      <c r="B790" s="2" t="s">
        <v>490</v>
      </c>
      <c r="C790" s="2"/>
      <c r="D790" s="2"/>
      <c r="E790" s="2"/>
      <c r="F790" s="33">
        <f>F796+F801+F791</f>
        <v>12380759.49</v>
      </c>
      <c r="G790" s="33"/>
    </row>
    <row r="791" spans="1:7" ht="63">
      <c r="A791" s="3" t="s">
        <v>1219</v>
      </c>
      <c r="B791" s="4" t="s">
        <v>1220</v>
      </c>
      <c r="C791" s="2"/>
      <c r="D791" s="2"/>
      <c r="E791" s="2"/>
      <c r="F791" s="29">
        <f>F792</f>
        <v>85246</v>
      </c>
      <c r="G791" s="33"/>
    </row>
    <row r="792" spans="1:7" ht="31.5">
      <c r="A792" s="3" t="s">
        <v>523</v>
      </c>
      <c r="B792" s="4" t="s">
        <v>1221</v>
      </c>
      <c r="C792" s="2"/>
      <c r="D792" s="2"/>
      <c r="E792" s="2"/>
      <c r="F792" s="29">
        <f>F793</f>
        <v>85246</v>
      </c>
      <c r="G792" s="33"/>
    </row>
    <row r="793" spans="1:7" ht="47.25">
      <c r="A793" s="3" t="s">
        <v>701</v>
      </c>
      <c r="B793" s="4" t="s">
        <v>1221</v>
      </c>
      <c r="C793" s="4" t="s">
        <v>605</v>
      </c>
      <c r="D793" s="4"/>
      <c r="E793" s="4"/>
      <c r="F793" s="29">
        <f>F794</f>
        <v>85246</v>
      </c>
      <c r="G793" s="33"/>
    </row>
    <row r="794" spans="1:7" ht="31.5">
      <c r="A794" s="3" t="s">
        <v>611</v>
      </c>
      <c r="B794" s="4" t="s">
        <v>1221</v>
      </c>
      <c r="C794" s="4" t="s">
        <v>605</v>
      </c>
      <c r="D794" s="4" t="s">
        <v>41</v>
      </c>
      <c r="E794" s="4"/>
      <c r="F794" s="29">
        <f>F795</f>
        <v>85246</v>
      </c>
      <c r="G794" s="33"/>
    </row>
    <row r="795" spans="1:7" ht="31.5">
      <c r="A795" s="3" t="s">
        <v>612</v>
      </c>
      <c r="B795" s="4" t="s">
        <v>1221</v>
      </c>
      <c r="C795" s="4" t="s">
        <v>605</v>
      </c>
      <c r="D795" s="4" t="s">
        <v>41</v>
      </c>
      <c r="E795" s="4" t="s">
        <v>42</v>
      </c>
      <c r="F795" s="29">
        <f>прил6!F475</f>
        <v>85246</v>
      </c>
      <c r="G795" s="33"/>
    </row>
    <row r="796" spans="1:7" ht="110.25">
      <c r="A796" s="3" t="s">
        <v>1103</v>
      </c>
      <c r="B796" s="4" t="s">
        <v>247</v>
      </c>
      <c r="C796" s="4"/>
      <c r="D796" s="4"/>
      <c r="E796" s="4"/>
      <c r="F796" s="29">
        <f>F797</f>
        <v>546513.49</v>
      </c>
      <c r="G796" s="29"/>
    </row>
    <row r="797" spans="1:7" ht="31.5">
      <c r="A797" s="3" t="s">
        <v>523</v>
      </c>
      <c r="B797" s="4" t="s">
        <v>248</v>
      </c>
      <c r="C797" s="4"/>
      <c r="D797" s="4"/>
      <c r="E797" s="4"/>
      <c r="F797" s="29">
        <f>F798</f>
        <v>546513.49</v>
      </c>
      <c r="G797" s="29"/>
    </row>
    <row r="798" spans="1:7" ht="47.25">
      <c r="A798" s="3" t="s">
        <v>701</v>
      </c>
      <c r="B798" s="4" t="s">
        <v>248</v>
      </c>
      <c r="C798" s="4" t="s">
        <v>605</v>
      </c>
      <c r="D798" s="4"/>
      <c r="E798" s="4"/>
      <c r="F798" s="29">
        <f>F799</f>
        <v>546513.49</v>
      </c>
      <c r="G798" s="29"/>
    </row>
    <row r="799" spans="1:7" ht="31.5">
      <c r="A799" s="3" t="s">
        <v>611</v>
      </c>
      <c r="B799" s="4" t="s">
        <v>248</v>
      </c>
      <c r="C799" s="4" t="s">
        <v>605</v>
      </c>
      <c r="D799" s="4" t="s">
        <v>41</v>
      </c>
      <c r="E799" s="4"/>
      <c r="F799" s="29">
        <f>F800</f>
        <v>546513.49</v>
      </c>
      <c r="G799" s="29"/>
    </row>
    <row r="800" spans="1:7" ht="31.5">
      <c r="A800" s="3" t="s">
        <v>612</v>
      </c>
      <c r="B800" s="4" t="s">
        <v>248</v>
      </c>
      <c r="C800" s="4" t="s">
        <v>605</v>
      </c>
      <c r="D800" s="4" t="s">
        <v>41</v>
      </c>
      <c r="E800" s="4" t="s">
        <v>42</v>
      </c>
      <c r="F800" s="29">
        <f>прил6!F478</f>
        <v>546513.49</v>
      </c>
      <c r="G800" s="29"/>
    </row>
    <row r="801" spans="1:7" ht="94.5">
      <c r="A801" s="3" t="s">
        <v>549</v>
      </c>
      <c r="B801" s="4" t="s">
        <v>550</v>
      </c>
      <c r="C801" s="4"/>
      <c r="D801" s="4"/>
      <c r="E801" s="4"/>
      <c r="F801" s="29">
        <f>F802</f>
        <v>11749000</v>
      </c>
      <c r="G801" s="29"/>
    </row>
    <row r="802" spans="1:7" ht="63">
      <c r="A802" s="3" t="s">
        <v>753</v>
      </c>
      <c r="B802" s="4" t="s">
        <v>551</v>
      </c>
      <c r="C802" s="4"/>
      <c r="D802" s="4"/>
      <c r="E802" s="4"/>
      <c r="F802" s="29">
        <f>F803</f>
        <v>11749000</v>
      </c>
      <c r="G802" s="29"/>
    </row>
    <row r="803" spans="1:7" ht="47.25">
      <c r="A803" s="3" t="s">
        <v>676</v>
      </c>
      <c r="B803" s="4" t="s">
        <v>551</v>
      </c>
      <c r="C803" s="4" t="s">
        <v>447</v>
      </c>
      <c r="D803" s="4"/>
      <c r="E803" s="4"/>
      <c r="F803" s="29">
        <f>F808</f>
        <v>11749000</v>
      </c>
      <c r="G803" s="29"/>
    </row>
    <row r="804" spans="1:7" ht="139.5" hidden="1">
      <c r="A804" s="3" t="s">
        <v>827</v>
      </c>
      <c r="B804" s="4" t="s">
        <v>828</v>
      </c>
      <c r="C804" s="4"/>
      <c r="D804" s="4"/>
      <c r="E804" s="4"/>
      <c r="F804" s="29"/>
      <c r="G804" s="29"/>
    </row>
    <row r="805" spans="1:7" ht="46.5" hidden="1">
      <c r="A805" s="3" t="s">
        <v>93</v>
      </c>
      <c r="B805" s="4" t="s">
        <v>828</v>
      </c>
      <c r="C805" s="4" t="s">
        <v>605</v>
      </c>
      <c r="D805" s="4"/>
      <c r="E805" s="4"/>
      <c r="F805" s="29"/>
      <c r="G805" s="29"/>
    </row>
    <row r="806" spans="1:7" ht="15" hidden="1">
      <c r="A806" s="3" t="s">
        <v>611</v>
      </c>
      <c r="B806" s="4" t="s">
        <v>828</v>
      </c>
      <c r="C806" s="4" t="s">
        <v>605</v>
      </c>
      <c r="D806" s="4" t="s">
        <v>41</v>
      </c>
      <c r="E806" s="4"/>
      <c r="F806" s="29"/>
      <c r="G806" s="29"/>
    </row>
    <row r="807" spans="1:7" ht="46.5" hidden="1">
      <c r="A807" s="3" t="s">
        <v>153</v>
      </c>
      <c r="B807" s="4" t="s">
        <v>828</v>
      </c>
      <c r="C807" s="4" t="s">
        <v>605</v>
      </c>
      <c r="D807" s="4" t="s">
        <v>41</v>
      </c>
      <c r="E807" s="4" t="s">
        <v>47</v>
      </c>
      <c r="F807" s="29"/>
      <c r="G807" s="29"/>
    </row>
    <row r="808" spans="1:7" ht="31.5">
      <c r="A808" s="3" t="s">
        <v>611</v>
      </c>
      <c r="B808" s="4" t="s">
        <v>551</v>
      </c>
      <c r="C808" s="4" t="s">
        <v>447</v>
      </c>
      <c r="D808" s="4" t="s">
        <v>41</v>
      </c>
      <c r="E808" s="4"/>
      <c r="F808" s="29">
        <f>F809</f>
        <v>11749000</v>
      </c>
      <c r="G808" s="29"/>
    </row>
    <row r="809" spans="1:7" ht="31.5">
      <c r="A809" s="3" t="s">
        <v>612</v>
      </c>
      <c r="B809" s="4" t="s">
        <v>551</v>
      </c>
      <c r="C809" s="4" t="s">
        <v>447</v>
      </c>
      <c r="D809" s="4" t="s">
        <v>41</v>
      </c>
      <c r="E809" s="4" t="s">
        <v>42</v>
      </c>
      <c r="F809" s="29">
        <f>прил6!F481</f>
        <v>11749000</v>
      </c>
      <c r="G809" s="29"/>
    </row>
    <row r="810" spans="1:7" ht="63">
      <c r="A810" s="1" t="s">
        <v>1036</v>
      </c>
      <c r="B810" s="2" t="s">
        <v>769</v>
      </c>
      <c r="C810" s="2"/>
      <c r="D810" s="2"/>
      <c r="E810" s="2"/>
      <c r="F810" s="33">
        <f>F811+F820</f>
        <v>133790238.77000001</v>
      </c>
      <c r="G810" s="33">
        <f>G811</f>
        <v>25821517.19</v>
      </c>
    </row>
    <row r="811" spans="1:7" ht="63">
      <c r="A811" s="3" t="s">
        <v>1113</v>
      </c>
      <c r="B811" s="4" t="s">
        <v>770</v>
      </c>
      <c r="C811" s="4"/>
      <c r="D811" s="4"/>
      <c r="E811" s="4"/>
      <c r="F811" s="29">
        <f>F816+F812</f>
        <v>36521517.19</v>
      </c>
      <c r="G811" s="29">
        <f>G812</f>
        <v>25821517.19</v>
      </c>
    </row>
    <row r="812" spans="1:7" ht="94.5">
      <c r="A812" s="3" t="s">
        <v>1087</v>
      </c>
      <c r="B812" s="4" t="s">
        <v>1114</v>
      </c>
      <c r="C812" s="4"/>
      <c r="D812" s="4"/>
      <c r="E812" s="4"/>
      <c r="F812" s="29">
        <f>F813</f>
        <v>25821517.19</v>
      </c>
      <c r="G812" s="29">
        <f>G813</f>
        <v>25821517.19</v>
      </c>
    </row>
    <row r="813" spans="1:7" ht="47.25">
      <c r="A813" s="3" t="s">
        <v>701</v>
      </c>
      <c r="B813" s="4" t="s">
        <v>1114</v>
      </c>
      <c r="C813" s="4" t="s">
        <v>605</v>
      </c>
      <c r="D813" s="4"/>
      <c r="E813" s="4"/>
      <c r="F813" s="29">
        <f>F814</f>
        <v>25821517.19</v>
      </c>
      <c r="G813" s="29">
        <f>G814</f>
        <v>25821517.19</v>
      </c>
    </row>
    <row r="814" spans="1:7" ht="31.5">
      <c r="A814" s="3" t="s">
        <v>61</v>
      </c>
      <c r="B814" s="4" t="s">
        <v>1114</v>
      </c>
      <c r="C814" s="4" t="s">
        <v>605</v>
      </c>
      <c r="D814" s="4" t="s">
        <v>50</v>
      </c>
      <c r="E814" s="4"/>
      <c r="F814" s="29">
        <f>F815</f>
        <v>25821517.19</v>
      </c>
      <c r="G814" s="29">
        <f>G815</f>
        <v>25821517.19</v>
      </c>
    </row>
    <row r="815" spans="1:7" ht="31.5">
      <c r="A815" s="3" t="s">
        <v>1039</v>
      </c>
      <c r="B815" s="4" t="s">
        <v>1114</v>
      </c>
      <c r="C815" s="4" t="s">
        <v>605</v>
      </c>
      <c r="D815" s="4" t="s">
        <v>50</v>
      </c>
      <c r="E815" s="4" t="s">
        <v>46</v>
      </c>
      <c r="F815" s="29">
        <f>прил6!F309</f>
        <v>25821517.19</v>
      </c>
      <c r="G815" s="29">
        <f>F815</f>
        <v>25821517.19</v>
      </c>
    </row>
    <row r="816" spans="1:7" ht="94.5">
      <c r="A816" s="3" t="s">
        <v>1087</v>
      </c>
      <c r="B816" s="4" t="s">
        <v>1088</v>
      </c>
      <c r="C816" s="4"/>
      <c r="D816" s="4"/>
      <c r="E816" s="4"/>
      <c r="F816" s="29">
        <f>F817</f>
        <v>10700000</v>
      </c>
      <c r="G816" s="29"/>
    </row>
    <row r="817" spans="1:7" ht="47.25">
      <c r="A817" s="3" t="s">
        <v>701</v>
      </c>
      <c r="B817" s="4" t="s">
        <v>1088</v>
      </c>
      <c r="C817" s="4" t="s">
        <v>605</v>
      </c>
      <c r="D817" s="4"/>
      <c r="E817" s="4"/>
      <c r="F817" s="29">
        <f>F818</f>
        <v>10700000</v>
      </c>
      <c r="G817" s="29"/>
    </row>
    <row r="818" spans="1:7" ht="31.5">
      <c r="A818" s="3" t="s">
        <v>61</v>
      </c>
      <c r="B818" s="4" t="s">
        <v>1088</v>
      </c>
      <c r="C818" s="4" t="s">
        <v>605</v>
      </c>
      <c r="D818" s="4" t="s">
        <v>50</v>
      </c>
      <c r="E818" s="4"/>
      <c r="F818" s="29">
        <f>F819</f>
        <v>10700000</v>
      </c>
      <c r="G818" s="29"/>
    </row>
    <row r="819" spans="1:7" ht="31.5">
      <c r="A819" s="3" t="s">
        <v>1039</v>
      </c>
      <c r="B819" s="4" t="s">
        <v>1088</v>
      </c>
      <c r="C819" s="4" t="s">
        <v>605</v>
      </c>
      <c r="D819" s="4" t="s">
        <v>50</v>
      </c>
      <c r="E819" s="4" t="s">
        <v>46</v>
      </c>
      <c r="F819" s="29">
        <f>прил6!F311</f>
        <v>10700000</v>
      </c>
      <c r="G819" s="29"/>
    </row>
    <row r="820" spans="1:7" ht="78.75">
      <c r="A820" s="3" t="s">
        <v>771</v>
      </c>
      <c r="B820" s="4" t="s">
        <v>772</v>
      </c>
      <c r="C820" s="4"/>
      <c r="D820" s="4"/>
      <c r="E820" s="4"/>
      <c r="F820" s="29">
        <f>F821+F829+F825</f>
        <v>97268721.58000001</v>
      </c>
      <c r="G820" s="29"/>
    </row>
    <row r="821" spans="1:7" ht="63">
      <c r="A821" s="3" t="s">
        <v>129</v>
      </c>
      <c r="B821" s="4" t="s">
        <v>773</v>
      </c>
      <c r="C821" s="4"/>
      <c r="D821" s="4"/>
      <c r="E821" s="4"/>
      <c r="F821" s="29">
        <f>F822</f>
        <v>94609376.12</v>
      </c>
      <c r="G821" s="29"/>
    </row>
    <row r="822" spans="1:7" ht="47.25">
      <c r="A822" s="3" t="s">
        <v>701</v>
      </c>
      <c r="B822" s="4" t="s">
        <v>773</v>
      </c>
      <c r="C822" s="4" t="s">
        <v>605</v>
      </c>
      <c r="D822" s="4"/>
      <c r="E822" s="4"/>
      <c r="F822" s="29">
        <f>F823</f>
        <v>94609376.12</v>
      </c>
      <c r="G822" s="29"/>
    </row>
    <row r="823" spans="1:7" ht="31.5">
      <c r="A823" s="3" t="s">
        <v>61</v>
      </c>
      <c r="B823" s="4" t="s">
        <v>773</v>
      </c>
      <c r="C823" s="4" t="s">
        <v>605</v>
      </c>
      <c r="D823" s="4" t="s">
        <v>50</v>
      </c>
      <c r="E823" s="4"/>
      <c r="F823" s="29">
        <f>F824</f>
        <v>94609376.12</v>
      </c>
      <c r="G823" s="29"/>
    </row>
    <row r="824" spans="1:7" ht="31.5">
      <c r="A824" s="3" t="s">
        <v>1039</v>
      </c>
      <c r="B824" s="4" t="s">
        <v>773</v>
      </c>
      <c r="C824" s="4" t="s">
        <v>605</v>
      </c>
      <c r="D824" s="4" t="s">
        <v>50</v>
      </c>
      <c r="E824" s="4" t="s">
        <v>46</v>
      </c>
      <c r="F824" s="29">
        <f>прил6!F314</f>
        <v>94609376.12</v>
      </c>
      <c r="G824" s="29"/>
    </row>
    <row r="825" spans="1:7" ht="47.25">
      <c r="A825" s="3" t="s">
        <v>756</v>
      </c>
      <c r="B825" s="4" t="s">
        <v>1089</v>
      </c>
      <c r="C825" s="4"/>
      <c r="D825" s="4"/>
      <c r="E825" s="4"/>
      <c r="F825" s="29">
        <f>F826</f>
        <v>392749.84</v>
      </c>
      <c r="G825" s="29"/>
    </row>
    <row r="826" spans="1:7" ht="47.25">
      <c r="A826" s="3" t="s">
        <v>701</v>
      </c>
      <c r="B826" s="4" t="s">
        <v>1089</v>
      </c>
      <c r="C826" s="4" t="s">
        <v>605</v>
      </c>
      <c r="D826" s="4"/>
      <c r="E826" s="4"/>
      <c r="F826" s="29">
        <f>F827</f>
        <v>392749.84</v>
      </c>
      <c r="G826" s="29"/>
    </row>
    <row r="827" spans="1:7" ht="31.5">
      <c r="A827" s="3" t="s">
        <v>61</v>
      </c>
      <c r="B827" s="4" t="s">
        <v>1089</v>
      </c>
      <c r="C827" s="4" t="s">
        <v>605</v>
      </c>
      <c r="D827" s="4" t="s">
        <v>50</v>
      </c>
      <c r="E827" s="4"/>
      <c r="F827" s="29">
        <f>F828</f>
        <v>392749.84</v>
      </c>
      <c r="G827" s="29"/>
    </row>
    <row r="828" spans="1:7" ht="31.5">
      <c r="A828" s="3" t="s">
        <v>1039</v>
      </c>
      <c r="B828" s="4" t="s">
        <v>1089</v>
      </c>
      <c r="C828" s="4" t="s">
        <v>605</v>
      </c>
      <c r="D828" s="4" t="s">
        <v>50</v>
      </c>
      <c r="E828" s="4" t="s">
        <v>46</v>
      </c>
      <c r="F828" s="29">
        <f>прил6!F316</f>
        <v>392749.84</v>
      </c>
      <c r="G828" s="29"/>
    </row>
    <row r="829" spans="1:7" ht="31.5">
      <c r="A829" s="3" t="s">
        <v>523</v>
      </c>
      <c r="B829" s="4" t="s">
        <v>774</v>
      </c>
      <c r="C829" s="4"/>
      <c r="D829" s="4"/>
      <c r="E829" s="4"/>
      <c r="F829" s="29">
        <f>F830</f>
        <v>2266595.62</v>
      </c>
      <c r="G829" s="29"/>
    </row>
    <row r="830" spans="1:7" ht="47.25">
      <c r="A830" s="3" t="s">
        <v>93</v>
      </c>
      <c r="B830" s="4" t="s">
        <v>774</v>
      </c>
      <c r="C830" s="4" t="s">
        <v>605</v>
      </c>
      <c r="D830" s="4"/>
      <c r="E830" s="4"/>
      <c r="F830" s="29">
        <f>F831</f>
        <v>2266595.62</v>
      </c>
      <c r="G830" s="29"/>
    </row>
    <row r="831" spans="1:7" ht="31.5">
      <c r="A831" s="3" t="s">
        <v>61</v>
      </c>
      <c r="B831" s="4" t="s">
        <v>774</v>
      </c>
      <c r="C831" s="4" t="s">
        <v>605</v>
      </c>
      <c r="D831" s="4" t="s">
        <v>50</v>
      </c>
      <c r="E831" s="4"/>
      <c r="F831" s="29">
        <f>F832</f>
        <v>2266595.62</v>
      </c>
      <c r="G831" s="29"/>
    </row>
    <row r="832" spans="1:7" ht="31.5">
      <c r="A832" s="3" t="s">
        <v>1039</v>
      </c>
      <c r="B832" s="4" t="s">
        <v>774</v>
      </c>
      <c r="C832" s="4" t="s">
        <v>605</v>
      </c>
      <c r="D832" s="4" t="s">
        <v>50</v>
      </c>
      <c r="E832" s="4" t="s">
        <v>46</v>
      </c>
      <c r="F832" s="29">
        <f>прил6!F318</f>
        <v>2266595.62</v>
      </c>
      <c r="G832" s="29"/>
    </row>
    <row r="833" spans="1:7" ht="77.25" hidden="1">
      <c r="A833" s="3" t="s">
        <v>593</v>
      </c>
      <c r="B833" s="4" t="s">
        <v>594</v>
      </c>
      <c r="C833" s="4"/>
      <c r="D833" s="4"/>
      <c r="E833" s="4"/>
      <c r="F833" s="29"/>
      <c r="G833" s="29"/>
    </row>
    <row r="834" spans="1:7" ht="46.5" hidden="1">
      <c r="A834" s="3" t="s">
        <v>93</v>
      </c>
      <c r="B834" s="4" t="s">
        <v>594</v>
      </c>
      <c r="C834" s="4" t="s">
        <v>605</v>
      </c>
      <c r="D834" s="4"/>
      <c r="E834" s="4"/>
      <c r="F834" s="29"/>
      <c r="G834" s="29"/>
    </row>
    <row r="835" spans="1:7" ht="15" hidden="1">
      <c r="A835" s="3" t="s">
        <v>61</v>
      </c>
      <c r="B835" s="4" t="s">
        <v>594</v>
      </c>
      <c r="C835" s="4" t="s">
        <v>605</v>
      </c>
      <c r="D835" s="4" t="s">
        <v>50</v>
      </c>
      <c r="E835" s="4"/>
      <c r="F835" s="29"/>
      <c r="G835" s="29"/>
    </row>
    <row r="836" spans="1:7" ht="30.75" hidden="1">
      <c r="A836" s="3" t="s">
        <v>1039</v>
      </c>
      <c r="B836" s="4" t="s">
        <v>594</v>
      </c>
      <c r="C836" s="4" t="s">
        <v>605</v>
      </c>
      <c r="D836" s="4" t="s">
        <v>50</v>
      </c>
      <c r="E836" s="4" t="s">
        <v>46</v>
      </c>
      <c r="F836" s="29"/>
      <c r="G836" s="29"/>
    </row>
    <row r="837" spans="1:7" ht="78.75">
      <c r="A837" s="1" t="s">
        <v>89</v>
      </c>
      <c r="B837" s="2" t="s">
        <v>790</v>
      </c>
      <c r="C837" s="2"/>
      <c r="D837" s="2"/>
      <c r="E837" s="2"/>
      <c r="F837" s="33">
        <f>F852+F847+F838+F876</f>
        <v>2983986</v>
      </c>
      <c r="G837" s="33"/>
    </row>
    <row r="838" spans="1:7" ht="126">
      <c r="A838" s="3" t="s">
        <v>1174</v>
      </c>
      <c r="B838" s="4" t="s">
        <v>1176</v>
      </c>
      <c r="C838" s="4"/>
      <c r="D838" s="2"/>
      <c r="E838" s="2"/>
      <c r="F838" s="29">
        <f>F840</f>
        <v>210000</v>
      </c>
      <c r="G838" s="33"/>
    </row>
    <row r="839" spans="1:7" ht="63">
      <c r="A839" s="3" t="s">
        <v>1175</v>
      </c>
      <c r="B839" s="4"/>
      <c r="C839" s="4"/>
      <c r="D839" s="2"/>
      <c r="E839" s="2"/>
      <c r="F839" s="29"/>
      <c r="G839" s="33"/>
    </row>
    <row r="840" spans="1:7" ht="31.5">
      <c r="A840" s="3" t="s">
        <v>523</v>
      </c>
      <c r="B840" s="4" t="s">
        <v>1177</v>
      </c>
      <c r="C840" s="4"/>
      <c r="D840" s="2"/>
      <c r="E840" s="2"/>
      <c r="F840" s="29">
        <f>F844+F841</f>
        <v>210000</v>
      </c>
      <c r="G840" s="33"/>
    </row>
    <row r="841" spans="1:7" ht="47.25">
      <c r="A841" s="3" t="s">
        <v>701</v>
      </c>
      <c r="B841" s="4" t="s">
        <v>1177</v>
      </c>
      <c r="C841" s="4" t="s">
        <v>605</v>
      </c>
      <c r="D841" s="2"/>
      <c r="E841" s="2"/>
      <c r="F841" s="29">
        <f>F842</f>
        <v>175000</v>
      </c>
      <c r="G841" s="33"/>
    </row>
    <row r="842" spans="1:7" ht="31.5">
      <c r="A842" s="49" t="s">
        <v>59</v>
      </c>
      <c r="B842" s="4" t="s">
        <v>1177</v>
      </c>
      <c r="C842" s="4" t="s">
        <v>605</v>
      </c>
      <c r="D842" s="4" t="s">
        <v>917</v>
      </c>
      <c r="E842" s="4"/>
      <c r="F842" s="29">
        <f>F843</f>
        <v>175000</v>
      </c>
      <c r="G842" s="33"/>
    </row>
    <row r="843" spans="1:7" ht="31.5">
      <c r="A843" s="49" t="s">
        <v>741</v>
      </c>
      <c r="B843" s="4" t="s">
        <v>1177</v>
      </c>
      <c r="C843" s="4" t="s">
        <v>605</v>
      </c>
      <c r="D843" s="4" t="s">
        <v>917</v>
      </c>
      <c r="E843" s="4" t="s">
        <v>602</v>
      </c>
      <c r="F843" s="29">
        <f>прил6!F138</f>
        <v>175000</v>
      </c>
      <c r="G843" s="33"/>
    </row>
    <row r="844" spans="1:7" ht="63">
      <c r="A844" s="3" t="s">
        <v>525</v>
      </c>
      <c r="B844" s="4" t="s">
        <v>1177</v>
      </c>
      <c r="C844" s="4" t="s">
        <v>609</v>
      </c>
      <c r="D844" s="2"/>
      <c r="E844" s="2"/>
      <c r="F844" s="29">
        <f>F845</f>
        <v>35000</v>
      </c>
      <c r="G844" s="33"/>
    </row>
    <row r="845" spans="1:7" ht="31.5">
      <c r="A845" s="3" t="s">
        <v>606</v>
      </c>
      <c r="B845" s="4" t="s">
        <v>1177</v>
      </c>
      <c r="C845" s="4" t="s">
        <v>609</v>
      </c>
      <c r="D845" s="4" t="s">
        <v>44</v>
      </c>
      <c r="E845" s="4"/>
      <c r="F845" s="29">
        <f>F846</f>
        <v>35000</v>
      </c>
      <c r="G845" s="33"/>
    </row>
    <row r="846" spans="1:7" ht="31.5">
      <c r="A846" s="3" t="s">
        <v>737</v>
      </c>
      <c r="B846" s="4" t="s">
        <v>1177</v>
      </c>
      <c r="C846" s="4" t="s">
        <v>609</v>
      </c>
      <c r="D846" s="4" t="s">
        <v>44</v>
      </c>
      <c r="E846" s="4" t="s">
        <v>917</v>
      </c>
      <c r="F846" s="29">
        <f>прил6!F732</f>
        <v>35000</v>
      </c>
      <c r="G846" s="33"/>
    </row>
    <row r="847" spans="1:7" ht="47.25">
      <c r="A847" s="3" t="s">
        <v>1122</v>
      </c>
      <c r="B847" s="4" t="s">
        <v>1123</v>
      </c>
      <c r="C847" s="4"/>
      <c r="D847" s="2"/>
      <c r="E847" s="2"/>
      <c r="F847" s="29">
        <f>F848</f>
        <v>1184109</v>
      </c>
      <c r="G847" s="33"/>
    </row>
    <row r="848" spans="1:7" ht="47.25">
      <c r="A848" s="3" t="s">
        <v>756</v>
      </c>
      <c r="B848" s="4" t="s">
        <v>1124</v>
      </c>
      <c r="C848" s="4"/>
      <c r="D848" s="2"/>
      <c r="E848" s="2"/>
      <c r="F848" s="29">
        <f>F849</f>
        <v>1184109</v>
      </c>
      <c r="G848" s="33"/>
    </row>
    <row r="849" spans="1:7" ht="63">
      <c r="A849" s="3" t="s">
        <v>525</v>
      </c>
      <c r="B849" s="4" t="s">
        <v>1124</v>
      </c>
      <c r="C849" s="4" t="s">
        <v>609</v>
      </c>
      <c r="D849" s="2"/>
      <c r="E849" s="2"/>
      <c r="F849" s="29">
        <f>F850</f>
        <v>1184109</v>
      </c>
      <c r="G849" s="33"/>
    </row>
    <row r="850" spans="1:7" ht="31.5">
      <c r="A850" s="3" t="s">
        <v>606</v>
      </c>
      <c r="B850" s="4" t="s">
        <v>1124</v>
      </c>
      <c r="C850" s="4" t="s">
        <v>609</v>
      </c>
      <c r="D850" s="4" t="s">
        <v>44</v>
      </c>
      <c r="E850" s="4"/>
      <c r="F850" s="29">
        <f>F851</f>
        <v>1184109</v>
      </c>
      <c r="G850" s="29"/>
    </row>
    <row r="851" spans="1:7" ht="31.5">
      <c r="A851" s="3" t="s">
        <v>737</v>
      </c>
      <c r="B851" s="4" t="s">
        <v>1124</v>
      </c>
      <c r="C851" s="4" t="s">
        <v>609</v>
      </c>
      <c r="D851" s="4" t="s">
        <v>44</v>
      </c>
      <c r="E851" s="4" t="s">
        <v>917</v>
      </c>
      <c r="F851" s="29">
        <f>прил6!F735</f>
        <v>1184109</v>
      </c>
      <c r="G851" s="29"/>
    </row>
    <row r="852" spans="1:7" ht="63">
      <c r="A852" s="3" t="s">
        <v>791</v>
      </c>
      <c r="B852" s="4" t="s">
        <v>792</v>
      </c>
      <c r="C852" s="4"/>
      <c r="D852" s="4"/>
      <c r="E852" s="4"/>
      <c r="F852" s="29">
        <f>F853</f>
        <v>686480</v>
      </c>
      <c r="G852" s="29"/>
    </row>
    <row r="853" spans="1:7" ht="31.5">
      <c r="A853" s="3" t="s">
        <v>523</v>
      </c>
      <c r="B853" s="4" t="s">
        <v>793</v>
      </c>
      <c r="C853" s="4"/>
      <c r="D853" s="4"/>
      <c r="E853" s="4"/>
      <c r="F853" s="29">
        <f>F854</f>
        <v>686480</v>
      </c>
      <c r="G853" s="29"/>
    </row>
    <row r="854" spans="1:7" ht="47.25">
      <c r="A854" s="3" t="s">
        <v>701</v>
      </c>
      <c r="B854" s="4" t="s">
        <v>793</v>
      </c>
      <c r="C854" s="4" t="s">
        <v>605</v>
      </c>
      <c r="D854" s="4"/>
      <c r="E854" s="4"/>
      <c r="F854" s="29">
        <f>F855</f>
        <v>686480</v>
      </c>
      <c r="G854" s="29"/>
    </row>
    <row r="855" spans="1:7" ht="31.5">
      <c r="A855" s="3" t="s">
        <v>49</v>
      </c>
      <c r="B855" s="4" t="s">
        <v>793</v>
      </c>
      <c r="C855" s="4" t="s">
        <v>605</v>
      </c>
      <c r="D855" s="4" t="s">
        <v>42</v>
      </c>
      <c r="E855" s="4"/>
      <c r="F855" s="29">
        <f>F856</f>
        <v>686480</v>
      </c>
      <c r="G855" s="29"/>
    </row>
    <row r="856" spans="1:7" ht="31.5">
      <c r="A856" s="3" t="s">
        <v>55</v>
      </c>
      <c r="B856" s="4" t="s">
        <v>793</v>
      </c>
      <c r="C856" s="4" t="s">
        <v>605</v>
      </c>
      <c r="D856" s="4" t="s">
        <v>42</v>
      </c>
      <c r="E856" s="4" t="s">
        <v>917</v>
      </c>
      <c r="F856" s="29">
        <f>прил6!F406</f>
        <v>686480</v>
      </c>
      <c r="G856" s="29"/>
    </row>
    <row r="857" spans="1:7" ht="61.5" hidden="1">
      <c r="A857" s="3" t="s">
        <v>525</v>
      </c>
      <c r="B857" s="4" t="s">
        <v>815</v>
      </c>
      <c r="C857" s="4" t="s">
        <v>609</v>
      </c>
      <c r="D857" s="4"/>
      <c r="E857" s="4"/>
      <c r="F857" s="29"/>
      <c r="G857" s="29"/>
    </row>
    <row r="858" spans="1:7" ht="15" hidden="1">
      <c r="A858" s="3" t="s">
        <v>51</v>
      </c>
      <c r="B858" s="4" t="s">
        <v>815</v>
      </c>
      <c r="C858" s="4" t="s">
        <v>609</v>
      </c>
      <c r="D858" s="4" t="s">
        <v>43</v>
      </c>
      <c r="E858" s="4"/>
      <c r="F858" s="29"/>
      <c r="G858" s="29"/>
    </row>
    <row r="859" spans="1:7" ht="15" hidden="1">
      <c r="A859" s="3" t="s">
        <v>53</v>
      </c>
      <c r="B859" s="4" t="s">
        <v>815</v>
      </c>
      <c r="C859" s="4" t="s">
        <v>609</v>
      </c>
      <c r="D859" s="4" t="s">
        <v>43</v>
      </c>
      <c r="E859" s="4" t="s">
        <v>45</v>
      </c>
      <c r="F859" s="29"/>
      <c r="G859" s="29"/>
    </row>
    <row r="860" spans="1:7" ht="30.75" hidden="1">
      <c r="A860" s="3" t="s">
        <v>6</v>
      </c>
      <c r="B860" s="4" t="s">
        <v>815</v>
      </c>
      <c r="C860" s="4" t="s">
        <v>609</v>
      </c>
      <c r="D860" s="4" t="s">
        <v>43</v>
      </c>
      <c r="E860" s="4" t="s">
        <v>43</v>
      </c>
      <c r="F860" s="29"/>
      <c r="G860" s="29"/>
    </row>
    <row r="861" spans="1:7" ht="30.75" hidden="1">
      <c r="A861" s="3" t="s">
        <v>736</v>
      </c>
      <c r="B861" s="4" t="s">
        <v>815</v>
      </c>
      <c r="C861" s="4" t="s">
        <v>609</v>
      </c>
      <c r="D861" s="4" t="s">
        <v>43</v>
      </c>
      <c r="E861" s="4" t="s">
        <v>46</v>
      </c>
      <c r="F861" s="29"/>
      <c r="G861" s="29"/>
    </row>
    <row r="862" spans="1:7" ht="15" hidden="1">
      <c r="A862" s="3" t="s">
        <v>606</v>
      </c>
      <c r="B862" s="4" t="s">
        <v>815</v>
      </c>
      <c r="C862" s="4" t="s">
        <v>609</v>
      </c>
      <c r="D862" s="4" t="s">
        <v>44</v>
      </c>
      <c r="E862" s="4"/>
      <c r="F862" s="29"/>
      <c r="G862" s="29"/>
    </row>
    <row r="863" spans="1:7" ht="15" hidden="1">
      <c r="A863" s="3" t="s">
        <v>737</v>
      </c>
      <c r="B863" s="4" t="s">
        <v>815</v>
      </c>
      <c r="C863" s="4" t="s">
        <v>609</v>
      </c>
      <c r="D863" s="4" t="s">
        <v>44</v>
      </c>
      <c r="E863" s="4" t="s">
        <v>917</v>
      </c>
      <c r="F863" s="29"/>
      <c r="G863" s="29"/>
    </row>
    <row r="864" spans="1:7" ht="61.5" hidden="1">
      <c r="A864" s="3" t="s">
        <v>816</v>
      </c>
      <c r="B864" s="4" t="s">
        <v>817</v>
      </c>
      <c r="C864" s="4"/>
      <c r="D864" s="4"/>
      <c r="E864" s="4"/>
      <c r="F864" s="70"/>
      <c r="G864" s="29"/>
    </row>
    <row r="865" spans="1:7" ht="30.75" hidden="1">
      <c r="A865" s="3" t="s">
        <v>565</v>
      </c>
      <c r="B865" s="4" t="s">
        <v>817</v>
      </c>
      <c r="C865" s="4" t="s">
        <v>566</v>
      </c>
      <c r="D865" s="4"/>
      <c r="E865" s="4"/>
      <c r="F865" s="70"/>
      <c r="G865" s="29"/>
    </row>
    <row r="866" spans="1:7" ht="30.75" hidden="1">
      <c r="A866" s="49" t="s">
        <v>49</v>
      </c>
      <c r="B866" s="4" t="s">
        <v>817</v>
      </c>
      <c r="C866" s="4" t="s">
        <v>566</v>
      </c>
      <c r="D866" s="4" t="s">
        <v>42</v>
      </c>
      <c r="E866" s="4"/>
      <c r="F866" s="70"/>
      <c r="G866" s="29"/>
    </row>
    <row r="867" spans="1:7" ht="15" hidden="1">
      <c r="A867" s="69" t="s">
        <v>55</v>
      </c>
      <c r="B867" s="4" t="s">
        <v>817</v>
      </c>
      <c r="C867" s="4" t="s">
        <v>566</v>
      </c>
      <c r="D867" s="4" t="s">
        <v>42</v>
      </c>
      <c r="E867" s="4" t="s">
        <v>917</v>
      </c>
      <c r="F867" s="29"/>
      <c r="G867" s="29"/>
    </row>
    <row r="868" spans="1:7" ht="108" hidden="1">
      <c r="A868" s="3" t="s">
        <v>151</v>
      </c>
      <c r="B868" s="4" t="s">
        <v>152</v>
      </c>
      <c r="C868" s="4"/>
      <c r="D868" s="4"/>
      <c r="E868" s="4"/>
      <c r="F868" s="29"/>
      <c r="G868" s="29"/>
    </row>
    <row r="869" spans="1:7" ht="30.75" hidden="1">
      <c r="A869" s="3" t="s">
        <v>565</v>
      </c>
      <c r="B869" s="4" t="s">
        <v>152</v>
      </c>
      <c r="C869" s="4" t="s">
        <v>566</v>
      </c>
      <c r="D869" s="4"/>
      <c r="E869" s="4"/>
      <c r="F869" s="29"/>
      <c r="G869" s="29"/>
    </row>
    <row r="870" spans="1:7" ht="30.75" hidden="1">
      <c r="A870" s="49" t="s">
        <v>49</v>
      </c>
      <c r="B870" s="4" t="s">
        <v>152</v>
      </c>
      <c r="C870" s="4" t="s">
        <v>566</v>
      </c>
      <c r="D870" s="4" t="s">
        <v>42</v>
      </c>
      <c r="E870" s="4"/>
      <c r="F870" s="70"/>
      <c r="G870" s="29"/>
    </row>
    <row r="871" spans="1:7" ht="15" hidden="1">
      <c r="A871" s="69" t="s">
        <v>55</v>
      </c>
      <c r="B871" s="4" t="s">
        <v>152</v>
      </c>
      <c r="C871" s="4" t="s">
        <v>566</v>
      </c>
      <c r="D871" s="4" t="s">
        <v>42</v>
      </c>
      <c r="E871" s="4" t="s">
        <v>917</v>
      </c>
      <c r="F871" s="70"/>
      <c r="G871" s="29"/>
    </row>
    <row r="872" spans="1:7" ht="108" hidden="1">
      <c r="A872" s="3" t="s">
        <v>829</v>
      </c>
      <c r="B872" s="4" t="s">
        <v>830</v>
      </c>
      <c r="C872" s="4"/>
      <c r="D872" s="4"/>
      <c r="E872" s="4"/>
      <c r="F872" s="70"/>
      <c r="G872" s="29"/>
    </row>
    <row r="873" spans="1:7" ht="46.5" hidden="1">
      <c r="A873" s="3" t="s">
        <v>93</v>
      </c>
      <c r="B873" s="4" t="s">
        <v>830</v>
      </c>
      <c r="C873" s="4" t="s">
        <v>605</v>
      </c>
      <c r="D873" s="4"/>
      <c r="E873" s="4"/>
      <c r="F873" s="70"/>
      <c r="G873" s="29"/>
    </row>
    <row r="874" spans="1:7" ht="30.75" hidden="1">
      <c r="A874" s="49" t="s">
        <v>49</v>
      </c>
      <c r="B874" s="4" t="s">
        <v>830</v>
      </c>
      <c r="C874" s="4" t="s">
        <v>605</v>
      </c>
      <c r="D874" s="4" t="s">
        <v>42</v>
      </c>
      <c r="E874" s="4"/>
      <c r="F874" s="70"/>
      <c r="G874" s="29"/>
    </row>
    <row r="875" spans="1:7" ht="15" hidden="1">
      <c r="A875" s="69" t="s">
        <v>55</v>
      </c>
      <c r="B875" s="4" t="s">
        <v>830</v>
      </c>
      <c r="C875" s="4" t="s">
        <v>605</v>
      </c>
      <c r="D875" s="4" t="s">
        <v>42</v>
      </c>
      <c r="E875" s="4" t="s">
        <v>917</v>
      </c>
      <c r="F875" s="70"/>
      <c r="G875" s="29"/>
    </row>
    <row r="876" spans="1:7" ht="31.5">
      <c r="A876" s="3" t="s">
        <v>1208</v>
      </c>
      <c r="B876" s="4" t="s">
        <v>1210</v>
      </c>
      <c r="C876" s="4"/>
      <c r="D876" s="4"/>
      <c r="E876" s="4"/>
      <c r="F876" s="70">
        <f>F877</f>
        <v>903397</v>
      </c>
      <c r="G876" s="29"/>
    </row>
    <row r="877" spans="1:7" ht="63">
      <c r="A877" s="3" t="s">
        <v>525</v>
      </c>
      <c r="B877" s="4" t="s">
        <v>1210</v>
      </c>
      <c r="C877" s="4" t="s">
        <v>609</v>
      </c>
      <c r="D877" s="2"/>
      <c r="E877" s="2"/>
      <c r="F877" s="70">
        <f>F878</f>
        <v>903397</v>
      </c>
      <c r="G877" s="29"/>
    </row>
    <row r="878" spans="1:7" ht="31.5">
      <c r="A878" s="3" t="s">
        <v>606</v>
      </c>
      <c r="B878" s="4" t="s">
        <v>1210</v>
      </c>
      <c r="C878" s="4" t="s">
        <v>609</v>
      </c>
      <c r="D878" s="4" t="s">
        <v>44</v>
      </c>
      <c r="E878" s="4"/>
      <c r="F878" s="70">
        <f>F879</f>
        <v>903397</v>
      </c>
      <c r="G878" s="29"/>
    </row>
    <row r="879" spans="1:7" ht="31.5">
      <c r="A879" s="3" t="s">
        <v>737</v>
      </c>
      <c r="B879" s="4" t="s">
        <v>1210</v>
      </c>
      <c r="C879" s="4" t="s">
        <v>609</v>
      </c>
      <c r="D879" s="4" t="s">
        <v>44</v>
      </c>
      <c r="E879" s="4" t="s">
        <v>917</v>
      </c>
      <c r="F879" s="70">
        <f>прил6!F738</f>
        <v>903397</v>
      </c>
      <c r="G879" s="29"/>
    </row>
    <row r="880" spans="1:7" s="16" customFormat="1" ht="78.75">
      <c r="A880" s="1" t="s">
        <v>90</v>
      </c>
      <c r="B880" s="2" t="s">
        <v>180</v>
      </c>
      <c r="C880" s="2"/>
      <c r="D880" s="2"/>
      <c r="E880" s="2"/>
      <c r="F880" s="74">
        <f>F881+F886+F891</f>
        <v>585479</v>
      </c>
      <c r="G880" s="33">
        <f>G881+G886+G891</f>
        <v>452500</v>
      </c>
    </row>
    <row r="881" spans="1:7" ht="47.25">
      <c r="A881" s="3" t="s">
        <v>1150</v>
      </c>
      <c r="B881" s="4" t="s">
        <v>181</v>
      </c>
      <c r="C881" s="4"/>
      <c r="D881" s="4"/>
      <c r="E881" s="4"/>
      <c r="F881" s="29">
        <f>F882</f>
        <v>85479</v>
      </c>
      <c r="G881" s="29"/>
    </row>
    <row r="882" spans="1:7" ht="31.5">
      <c r="A882" s="3" t="s">
        <v>523</v>
      </c>
      <c r="B882" s="4" t="s">
        <v>182</v>
      </c>
      <c r="C882" s="4"/>
      <c r="D882" s="4"/>
      <c r="E882" s="4"/>
      <c r="F882" s="29">
        <f>F883</f>
        <v>85479</v>
      </c>
      <c r="G882" s="29"/>
    </row>
    <row r="883" spans="1:7" ht="57.75" customHeight="1">
      <c r="A883" s="3" t="s">
        <v>701</v>
      </c>
      <c r="B883" s="4" t="s">
        <v>182</v>
      </c>
      <c r="C883" s="4" t="s">
        <v>605</v>
      </c>
      <c r="D883" s="4"/>
      <c r="E883" s="4"/>
      <c r="F883" s="29">
        <f>F884</f>
        <v>85479</v>
      </c>
      <c r="G883" s="29"/>
    </row>
    <row r="884" spans="1:7" ht="25.5" customHeight="1">
      <c r="A884" s="49" t="s">
        <v>59</v>
      </c>
      <c r="B884" s="4" t="s">
        <v>182</v>
      </c>
      <c r="C884" s="4" t="s">
        <v>605</v>
      </c>
      <c r="D884" s="4" t="s">
        <v>917</v>
      </c>
      <c r="E884" s="4"/>
      <c r="F884" s="29">
        <f>F885</f>
        <v>85479</v>
      </c>
      <c r="G884" s="29"/>
    </row>
    <row r="885" spans="1:7" ht="31.5">
      <c r="A885" s="49" t="s">
        <v>741</v>
      </c>
      <c r="B885" s="4" t="s">
        <v>182</v>
      </c>
      <c r="C885" s="4" t="s">
        <v>605</v>
      </c>
      <c r="D885" s="4" t="s">
        <v>917</v>
      </c>
      <c r="E885" s="4" t="s">
        <v>602</v>
      </c>
      <c r="F885" s="29">
        <f>прил6!F147</f>
        <v>85479</v>
      </c>
      <c r="G885" s="29"/>
    </row>
    <row r="886" spans="1:7" ht="77.25" hidden="1">
      <c r="A886" s="3" t="s">
        <v>919</v>
      </c>
      <c r="B886" s="4" t="s">
        <v>223</v>
      </c>
      <c r="C886" s="4"/>
      <c r="D886" s="4"/>
      <c r="E886" s="4"/>
      <c r="F886" s="29">
        <f>F887</f>
        <v>0</v>
      </c>
      <c r="G886" s="29"/>
    </row>
    <row r="887" spans="1:7" ht="30.75" hidden="1">
      <c r="A887" s="3" t="s">
        <v>523</v>
      </c>
      <c r="B887" s="4" t="s">
        <v>224</v>
      </c>
      <c r="C887" s="4"/>
      <c r="D887" s="4"/>
      <c r="E887" s="4"/>
      <c r="F887" s="29">
        <f>F888</f>
        <v>0</v>
      </c>
      <c r="G887" s="29"/>
    </row>
    <row r="888" spans="1:7" ht="15" hidden="1">
      <c r="A888" s="3" t="s">
        <v>1040</v>
      </c>
      <c r="B888" s="4" t="s">
        <v>224</v>
      </c>
      <c r="C888" s="4" t="s">
        <v>608</v>
      </c>
      <c r="D888" s="4"/>
      <c r="E888" s="4"/>
      <c r="F888" s="29">
        <f>F889</f>
        <v>0</v>
      </c>
      <c r="G888" s="29"/>
    </row>
    <row r="889" spans="1:7" ht="15" hidden="1">
      <c r="A889" s="49" t="s">
        <v>59</v>
      </c>
      <c r="B889" s="4" t="s">
        <v>224</v>
      </c>
      <c r="C889" s="4" t="s">
        <v>608</v>
      </c>
      <c r="D889" s="4" t="s">
        <v>917</v>
      </c>
      <c r="E889" s="4"/>
      <c r="F889" s="29">
        <f>F890</f>
        <v>0</v>
      </c>
      <c r="G889" s="29"/>
    </row>
    <row r="890" spans="1:7" ht="30.75" hidden="1">
      <c r="A890" s="49" t="s">
        <v>741</v>
      </c>
      <c r="B890" s="4" t="s">
        <v>224</v>
      </c>
      <c r="C890" s="4" t="s">
        <v>608</v>
      </c>
      <c r="D890" s="4" t="s">
        <v>917</v>
      </c>
      <c r="E890" s="4" t="s">
        <v>602</v>
      </c>
      <c r="F890" s="29">
        <f>прил6!F150</f>
        <v>0</v>
      </c>
      <c r="G890" s="29"/>
    </row>
    <row r="891" spans="1:7" ht="78.75">
      <c r="A891" s="3" t="s">
        <v>1214</v>
      </c>
      <c r="B891" s="4" t="s">
        <v>223</v>
      </c>
      <c r="C891" s="4"/>
      <c r="D891" s="4"/>
      <c r="E891" s="4"/>
      <c r="F891" s="29">
        <f>F892+F896</f>
        <v>500000</v>
      </c>
      <c r="G891" s="29">
        <f>G892+G896</f>
        <v>452500</v>
      </c>
    </row>
    <row r="892" spans="1:7" ht="63">
      <c r="A892" s="3" t="s">
        <v>1226</v>
      </c>
      <c r="B892" s="4" t="s">
        <v>1225</v>
      </c>
      <c r="C892" s="4"/>
      <c r="D892" s="4"/>
      <c r="E892" s="4"/>
      <c r="F892" s="29">
        <f>F893</f>
        <v>452500</v>
      </c>
      <c r="G892" s="29">
        <f>F892</f>
        <v>452500</v>
      </c>
    </row>
    <row r="893" spans="1:7" ht="31.5">
      <c r="A893" s="3" t="s">
        <v>1040</v>
      </c>
      <c r="B893" s="4" t="s">
        <v>1225</v>
      </c>
      <c r="C893" s="4" t="s">
        <v>608</v>
      </c>
      <c r="D893" s="4"/>
      <c r="E893" s="4"/>
      <c r="F893" s="29">
        <f>F894</f>
        <v>452500</v>
      </c>
      <c r="G893" s="29">
        <f>F893</f>
        <v>452500</v>
      </c>
    </row>
    <row r="894" spans="1:7" ht="31.5">
      <c r="A894" s="49" t="s">
        <v>59</v>
      </c>
      <c r="B894" s="4" t="s">
        <v>1225</v>
      </c>
      <c r="C894" s="4" t="s">
        <v>608</v>
      </c>
      <c r="D894" s="4" t="s">
        <v>917</v>
      </c>
      <c r="E894" s="4"/>
      <c r="F894" s="29">
        <f>F895</f>
        <v>452500</v>
      </c>
      <c r="G894" s="29">
        <f>F894</f>
        <v>452500</v>
      </c>
    </row>
    <row r="895" spans="1:7" ht="31.5">
      <c r="A895" s="49" t="s">
        <v>741</v>
      </c>
      <c r="B895" s="4" t="s">
        <v>1225</v>
      </c>
      <c r="C895" s="4" t="s">
        <v>608</v>
      </c>
      <c r="D895" s="4" t="s">
        <v>917</v>
      </c>
      <c r="E895" s="4" t="s">
        <v>602</v>
      </c>
      <c r="F895" s="29">
        <f>прил6!F142</f>
        <v>452500</v>
      </c>
      <c r="G895" s="29">
        <f>F895</f>
        <v>452500</v>
      </c>
    </row>
    <row r="896" spans="1:7" ht="63">
      <c r="A896" s="3" t="s">
        <v>1226</v>
      </c>
      <c r="B896" s="4" t="s">
        <v>1215</v>
      </c>
      <c r="C896" s="4"/>
      <c r="D896" s="4"/>
      <c r="E896" s="4"/>
      <c r="F896" s="29">
        <f>F897</f>
        <v>47500</v>
      </c>
      <c r="G896" s="29"/>
    </row>
    <row r="897" spans="1:7" ht="31.5">
      <c r="A897" s="3" t="s">
        <v>1040</v>
      </c>
      <c r="B897" s="4" t="s">
        <v>1215</v>
      </c>
      <c r="C897" s="4" t="s">
        <v>608</v>
      </c>
      <c r="D897" s="4"/>
      <c r="E897" s="4"/>
      <c r="F897" s="29">
        <f>F898</f>
        <v>47500</v>
      </c>
      <c r="G897" s="29"/>
    </row>
    <row r="898" spans="1:7" ht="31.5">
      <c r="A898" s="49" t="s">
        <v>59</v>
      </c>
      <c r="B898" s="4" t="s">
        <v>1215</v>
      </c>
      <c r="C898" s="4" t="s">
        <v>608</v>
      </c>
      <c r="D898" s="4" t="s">
        <v>917</v>
      </c>
      <c r="E898" s="4"/>
      <c r="F898" s="29">
        <f>F899</f>
        <v>47500</v>
      </c>
      <c r="G898" s="29"/>
    </row>
    <row r="899" spans="1:7" ht="31.5">
      <c r="A899" s="49" t="s">
        <v>741</v>
      </c>
      <c r="B899" s="4" t="s">
        <v>1215</v>
      </c>
      <c r="C899" s="4" t="s">
        <v>608</v>
      </c>
      <c r="D899" s="4" t="s">
        <v>917</v>
      </c>
      <c r="E899" s="4" t="s">
        <v>602</v>
      </c>
      <c r="F899" s="29">
        <f>прил6!F144</f>
        <v>47500</v>
      </c>
      <c r="G899" s="29"/>
    </row>
    <row r="900" spans="1:8" ht="63">
      <c r="A900" s="1" t="s">
        <v>1034</v>
      </c>
      <c r="B900" s="2" t="s">
        <v>712</v>
      </c>
      <c r="C900" s="2"/>
      <c r="D900" s="2"/>
      <c r="E900" s="2"/>
      <c r="F900" s="33">
        <f>F901+F914+F972+F983</f>
        <v>46493539.980000004</v>
      </c>
      <c r="G900" s="33">
        <f>G901+G914+G972+G983</f>
        <v>11400</v>
      </c>
      <c r="H900" s="26">
        <f>прил6!F151+прил6!F320+прил6!F840</f>
        <v>46493539.980000004</v>
      </c>
    </row>
    <row r="901" spans="1:7" ht="63">
      <c r="A901" s="3" t="s">
        <v>818</v>
      </c>
      <c r="B901" s="4" t="s">
        <v>986</v>
      </c>
      <c r="C901" s="2"/>
      <c r="D901" s="2"/>
      <c r="E901" s="2"/>
      <c r="F901" s="29">
        <f>F902</f>
        <v>10037861.7</v>
      </c>
      <c r="G901" s="33"/>
    </row>
    <row r="902" spans="1:7" ht="110.25">
      <c r="A902" s="3" t="s">
        <v>987</v>
      </c>
      <c r="B902" s="4" t="s">
        <v>988</v>
      </c>
      <c r="C902" s="4"/>
      <c r="D902" s="2"/>
      <c r="E902" s="2"/>
      <c r="F902" s="29">
        <f>F903+F910</f>
        <v>10037861.7</v>
      </c>
      <c r="G902" s="33"/>
    </row>
    <row r="903" spans="1:7" ht="94.5">
      <c r="A903" s="3" t="s">
        <v>749</v>
      </c>
      <c r="B903" s="4" t="s">
        <v>989</v>
      </c>
      <c r="C903" s="4"/>
      <c r="D903" s="4"/>
      <c r="E903" s="4"/>
      <c r="F903" s="29">
        <f>F904+F907</f>
        <v>9737861.7</v>
      </c>
      <c r="G903" s="29"/>
    </row>
    <row r="904" spans="1:7" ht="110.25">
      <c r="A904" s="3" t="s">
        <v>92</v>
      </c>
      <c r="B904" s="4" t="s">
        <v>989</v>
      </c>
      <c r="C904" s="4" t="s">
        <v>604</v>
      </c>
      <c r="D904" s="4"/>
      <c r="E904" s="4"/>
      <c r="F904" s="29">
        <f>F905</f>
        <v>9638261.7</v>
      </c>
      <c r="G904" s="29"/>
    </row>
    <row r="905" spans="1:7" ht="31.5">
      <c r="A905" s="3" t="s">
        <v>61</v>
      </c>
      <c r="B905" s="4" t="s">
        <v>989</v>
      </c>
      <c r="C905" s="4" t="s">
        <v>604</v>
      </c>
      <c r="D905" s="4" t="s">
        <v>50</v>
      </c>
      <c r="E905" s="4"/>
      <c r="F905" s="29">
        <f>F906</f>
        <v>9638261.7</v>
      </c>
      <c r="G905" s="29"/>
    </row>
    <row r="906" spans="1:7" ht="31.5">
      <c r="A906" s="3" t="s">
        <v>597</v>
      </c>
      <c r="B906" s="4" t="s">
        <v>989</v>
      </c>
      <c r="C906" s="4" t="s">
        <v>604</v>
      </c>
      <c r="D906" s="4" t="s">
        <v>50</v>
      </c>
      <c r="E906" s="4" t="s">
        <v>48</v>
      </c>
      <c r="F906" s="29">
        <f>прил6!F324</f>
        <v>9638261.7</v>
      </c>
      <c r="G906" s="29"/>
    </row>
    <row r="907" spans="1:7" ht="47.25">
      <c r="A907" s="3" t="s">
        <v>701</v>
      </c>
      <c r="B907" s="4" t="s">
        <v>989</v>
      </c>
      <c r="C907" s="4" t="s">
        <v>605</v>
      </c>
      <c r="D907" s="4"/>
      <c r="E907" s="4"/>
      <c r="F907" s="29">
        <f>F908</f>
        <v>99600</v>
      </c>
      <c r="G907" s="29"/>
    </row>
    <row r="908" spans="1:7" ht="31.5">
      <c r="A908" s="3" t="s">
        <v>61</v>
      </c>
      <c r="B908" s="4" t="s">
        <v>989</v>
      </c>
      <c r="C908" s="4" t="s">
        <v>605</v>
      </c>
      <c r="D908" s="4" t="s">
        <v>50</v>
      </c>
      <c r="E908" s="4"/>
      <c r="F908" s="29">
        <f>F909</f>
        <v>99600</v>
      </c>
      <c r="G908" s="29"/>
    </row>
    <row r="909" spans="1:7" ht="31.5">
      <c r="A909" s="3" t="s">
        <v>597</v>
      </c>
      <c r="B909" s="4" t="s">
        <v>989</v>
      </c>
      <c r="C909" s="4" t="s">
        <v>605</v>
      </c>
      <c r="D909" s="4" t="s">
        <v>50</v>
      </c>
      <c r="E909" s="4" t="s">
        <v>48</v>
      </c>
      <c r="F909" s="29">
        <f>прил6!F325</f>
        <v>99600</v>
      </c>
      <c r="G909" s="29"/>
    </row>
    <row r="910" spans="1:7" ht="94.5">
      <c r="A910" s="3" t="s">
        <v>587</v>
      </c>
      <c r="B910" s="4" t="s">
        <v>990</v>
      </c>
      <c r="C910" s="4"/>
      <c r="D910" s="4"/>
      <c r="E910" s="4"/>
      <c r="F910" s="29">
        <f>F911</f>
        <v>300000</v>
      </c>
      <c r="G910" s="29"/>
    </row>
    <row r="911" spans="1:7" ht="110.25">
      <c r="A911" s="3" t="s">
        <v>92</v>
      </c>
      <c r="B911" s="4" t="s">
        <v>990</v>
      </c>
      <c r="C911" s="4" t="s">
        <v>604</v>
      </c>
      <c r="D911" s="4"/>
      <c r="E911" s="4"/>
      <c r="F911" s="29">
        <f>F912</f>
        <v>300000</v>
      </c>
      <c r="G911" s="29"/>
    </row>
    <row r="912" spans="1:7" ht="31.5">
      <c r="A912" s="3" t="s">
        <v>61</v>
      </c>
      <c r="B912" s="4" t="s">
        <v>990</v>
      </c>
      <c r="C912" s="4" t="s">
        <v>604</v>
      </c>
      <c r="D912" s="4" t="s">
        <v>50</v>
      </c>
      <c r="E912" s="4"/>
      <c r="F912" s="29">
        <f>F913</f>
        <v>300000</v>
      </c>
      <c r="G912" s="29"/>
    </row>
    <row r="913" spans="1:7" ht="31.5">
      <c r="A913" s="3" t="s">
        <v>597</v>
      </c>
      <c r="B913" s="4" t="s">
        <v>990</v>
      </c>
      <c r="C913" s="4" t="s">
        <v>604</v>
      </c>
      <c r="D913" s="4" t="s">
        <v>50</v>
      </c>
      <c r="E913" s="4" t="s">
        <v>48</v>
      </c>
      <c r="F913" s="29">
        <f>прил6!F328</f>
        <v>300000</v>
      </c>
      <c r="G913" s="29"/>
    </row>
    <row r="914" spans="1:7" ht="63">
      <c r="A914" s="3" t="s">
        <v>94</v>
      </c>
      <c r="B914" s="4" t="s">
        <v>713</v>
      </c>
      <c r="C914" s="4"/>
      <c r="D914" s="4"/>
      <c r="E914" s="4"/>
      <c r="F914" s="29">
        <f>F915+F920+F928+F933+F946+F951+F959+F964</f>
        <v>15025935.780000001</v>
      </c>
      <c r="G914" s="29">
        <f>G915+G920+G928+G933+G946+G951+G959+G964</f>
        <v>11400</v>
      </c>
    </row>
    <row r="915" spans="1:7" ht="47.25">
      <c r="A915" s="3" t="s">
        <v>714</v>
      </c>
      <c r="B915" s="4" t="s">
        <v>715</v>
      </c>
      <c r="C915" s="4"/>
      <c r="D915" s="4"/>
      <c r="E915" s="4"/>
      <c r="F915" s="29">
        <f>F916</f>
        <v>120000</v>
      </c>
      <c r="G915" s="29"/>
    </row>
    <row r="916" spans="1:7" ht="31.5">
      <c r="A916" s="3" t="s">
        <v>523</v>
      </c>
      <c r="B916" s="4" t="s">
        <v>716</v>
      </c>
      <c r="C916" s="4"/>
      <c r="D916" s="4"/>
      <c r="E916" s="4"/>
      <c r="F916" s="29">
        <f>F917</f>
        <v>120000</v>
      </c>
      <c r="G916" s="29"/>
    </row>
    <row r="917" spans="1:7" ht="47.25">
      <c r="A917" s="3" t="s">
        <v>701</v>
      </c>
      <c r="B917" s="4" t="s">
        <v>716</v>
      </c>
      <c r="C917" s="4" t="s">
        <v>605</v>
      </c>
      <c r="D917" s="4"/>
      <c r="E917" s="4"/>
      <c r="F917" s="29">
        <f>F918</f>
        <v>120000</v>
      </c>
      <c r="G917" s="29"/>
    </row>
    <row r="918" spans="1:7" ht="31.5">
      <c r="A918" s="3" t="s">
        <v>61</v>
      </c>
      <c r="B918" s="4" t="s">
        <v>716</v>
      </c>
      <c r="C918" s="4" t="s">
        <v>605</v>
      </c>
      <c r="D918" s="4" t="s">
        <v>50</v>
      </c>
      <c r="E918" s="4"/>
      <c r="F918" s="29">
        <f>F919</f>
        <v>120000</v>
      </c>
      <c r="G918" s="29"/>
    </row>
    <row r="919" spans="1:7" ht="31.5">
      <c r="A919" s="3" t="s">
        <v>597</v>
      </c>
      <c r="B919" s="4" t="s">
        <v>716</v>
      </c>
      <c r="C919" s="4" t="s">
        <v>605</v>
      </c>
      <c r="D919" s="4" t="s">
        <v>50</v>
      </c>
      <c r="E919" s="4" t="s">
        <v>48</v>
      </c>
      <c r="F919" s="29">
        <f>прил6!F332</f>
        <v>120000</v>
      </c>
      <c r="G919" s="29"/>
    </row>
    <row r="920" spans="1:7" ht="31.5">
      <c r="A920" s="3" t="s">
        <v>991</v>
      </c>
      <c r="B920" s="4" t="s">
        <v>992</v>
      </c>
      <c r="C920" s="4"/>
      <c r="D920" s="4"/>
      <c r="E920" s="4"/>
      <c r="F920" s="29">
        <f>F921</f>
        <v>610030.08</v>
      </c>
      <c r="G920" s="29"/>
    </row>
    <row r="921" spans="1:7" ht="31.5">
      <c r="A921" s="3" t="s">
        <v>523</v>
      </c>
      <c r="B921" s="4" t="s">
        <v>993</v>
      </c>
      <c r="C921" s="4"/>
      <c r="D921" s="4"/>
      <c r="E921" s="4"/>
      <c r="F921" s="29">
        <f>F922+F925</f>
        <v>610030.08</v>
      </c>
      <c r="G921" s="29"/>
    </row>
    <row r="922" spans="1:7" ht="47.25">
      <c r="A922" s="3" t="s">
        <v>701</v>
      </c>
      <c r="B922" s="4" t="s">
        <v>993</v>
      </c>
      <c r="C922" s="4" t="s">
        <v>605</v>
      </c>
      <c r="D922" s="4"/>
      <c r="E922" s="4"/>
      <c r="F922" s="29">
        <f>F923</f>
        <v>265510.07999999996</v>
      </c>
      <c r="G922" s="29"/>
    </row>
    <row r="923" spans="1:7" ht="31.5">
      <c r="A923" s="3" t="s">
        <v>61</v>
      </c>
      <c r="B923" s="4" t="s">
        <v>993</v>
      </c>
      <c r="C923" s="4" t="s">
        <v>605</v>
      </c>
      <c r="D923" s="4" t="s">
        <v>50</v>
      </c>
      <c r="E923" s="4"/>
      <c r="F923" s="29">
        <f>F924</f>
        <v>265510.07999999996</v>
      </c>
      <c r="G923" s="29"/>
    </row>
    <row r="924" spans="1:7" ht="31.5">
      <c r="A924" s="3" t="s">
        <v>597</v>
      </c>
      <c r="B924" s="4" t="s">
        <v>993</v>
      </c>
      <c r="C924" s="4" t="s">
        <v>605</v>
      </c>
      <c r="D924" s="4" t="s">
        <v>50</v>
      </c>
      <c r="E924" s="4" t="s">
        <v>48</v>
      </c>
      <c r="F924" s="29">
        <f>прил6!F335</f>
        <v>265510.07999999996</v>
      </c>
      <c r="G924" s="29"/>
    </row>
    <row r="925" spans="1:7" ht="63">
      <c r="A925" s="3" t="s">
        <v>525</v>
      </c>
      <c r="B925" s="4" t="s">
        <v>993</v>
      </c>
      <c r="C925" s="4" t="s">
        <v>609</v>
      </c>
      <c r="D925" s="4"/>
      <c r="E925" s="4"/>
      <c r="F925" s="29">
        <f>F926</f>
        <v>344520</v>
      </c>
      <c r="G925" s="29"/>
    </row>
    <row r="926" spans="1:7" ht="31.5">
      <c r="A926" s="3" t="s">
        <v>61</v>
      </c>
      <c r="B926" s="4" t="s">
        <v>993</v>
      </c>
      <c r="C926" s="4" t="s">
        <v>609</v>
      </c>
      <c r="D926" s="4" t="s">
        <v>50</v>
      </c>
      <c r="E926" s="4"/>
      <c r="F926" s="29">
        <f>F927</f>
        <v>344520</v>
      </c>
      <c r="G926" s="29"/>
    </row>
    <row r="927" spans="1:7" ht="31.5">
      <c r="A927" s="3" t="s">
        <v>597</v>
      </c>
      <c r="B927" s="4" t="s">
        <v>993</v>
      </c>
      <c r="C927" s="4" t="s">
        <v>609</v>
      </c>
      <c r="D927" s="4" t="s">
        <v>50</v>
      </c>
      <c r="E927" s="4" t="s">
        <v>48</v>
      </c>
      <c r="F927" s="29">
        <f>прил6!F336</f>
        <v>344520</v>
      </c>
      <c r="G927" s="29"/>
    </row>
    <row r="928" spans="1:7" ht="63">
      <c r="A928" s="3" t="s">
        <v>296</v>
      </c>
      <c r="B928" s="4" t="s">
        <v>297</v>
      </c>
      <c r="C928" s="4"/>
      <c r="D928" s="4"/>
      <c r="E928" s="4"/>
      <c r="F928" s="29">
        <f>F929</f>
        <v>80160.4</v>
      </c>
      <c r="G928" s="29"/>
    </row>
    <row r="929" spans="1:7" ht="31.5">
      <c r="A929" s="3" t="s">
        <v>523</v>
      </c>
      <c r="B929" s="4" t="s">
        <v>298</v>
      </c>
      <c r="C929" s="4"/>
      <c r="D929" s="4"/>
      <c r="E929" s="4"/>
      <c r="F929" s="29">
        <f>F930</f>
        <v>80160.4</v>
      </c>
      <c r="G929" s="29"/>
    </row>
    <row r="930" spans="1:7" ht="47.25">
      <c r="A930" s="3" t="s">
        <v>701</v>
      </c>
      <c r="B930" s="4" t="s">
        <v>298</v>
      </c>
      <c r="C930" s="4" t="s">
        <v>605</v>
      </c>
      <c r="D930" s="4"/>
      <c r="E930" s="4"/>
      <c r="F930" s="29">
        <f>F931</f>
        <v>80160.4</v>
      </c>
      <c r="G930" s="29"/>
    </row>
    <row r="931" spans="1:7" ht="31.5">
      <c r="A931" s="3" t="s">
        <v>61</v>
      </c>
      <c r="B931" s="4" t="s">
        <v>298</v>
      </c>
      <c r="C931" s="4" t="s">
        <v>605</v>
      </c>
      <c r="D931" s="4" t="s">
        <v>50</v>
      </c>
      <c r="E931" s="4"/>
      <c r="F931" s="29">
        <f>F932</f>
        <v>80160.4</v>
      </c>
      <c r="G931" s="29"/>
    </row>
    <row r="932" spans="1:7" ht="31.5">
      <c r="A932" s="3" t="s">
        <v>597</v>
      </c>
      <c r="B932" s="4" t="s">
        <v>298</v>
      </c>
      <c r="C932" s="4" t="s">
        <v>605</v>
      </c>
      <c r="D932" s="4" t="s">
        <v>50</v>
      </c>
      <c r="E932" s="4" t="s">
        <v>48</v>
      </c>
      <c r="F932" s="29">
        <f>прил6!F339</f>
        <v>80160.4</v>
      </c>
      <c r="G932" s="29"/>
    </row>
    <row r="933" spans="1:7" ht="63">
      <c r="A933" s="3" t="s">
        <v>299</v>
      </c>
      <c r="B933" s="4" t="s">
        <v>300</v>
      </c>
      <c r="C933" s="4"/>
      <c r="D933" s="4"/>
      <c r="E933" s="4"/>
      <c r="F933" s="29">
        <f>F934+F938+F942</f>
        <v>3928082.5100000002</v>
      </c>
      <c r="G933" s="29">
        <f>G934+G938+G942</f>
        <v>11400</v>
      </c>
    </row>
    <row r="934" spans="1:7" ht="31.5">
      <c r="A934" s="3" t="s">
        <v>523</v>
      </c>
      <c r="B934" s="4" t="s">
        <v>301</v>
      </c>
      <c r="C934" s="4"/>
      <c r="D934" s="4"/>
      <c r="E934" s="4"/>
      <c r="F934" s="29">
        <f>F935</f>
        <v>3915032.5100000002</v>
      </c>
      <c r="G934" s="29"/>
    </row>
    <row r="935" spans="1:7" ht="47.25">
      <c r="A935" s="3" t="s">
        <v>701</v>
      </c>
      <c r="B935" s="4" t="s">
        <v>301</v>
      </c>
      <c r="C935" s="4" t="s">
        <v>605</v>
      </c>
      <c r="D935" s="4"/>
      <c r="E935" s="4"/>
      <c r="F935" s="29">
        <f>F936</f>
        <v>3915032.5100000002</v>
      </c>
      <c r="G935" s="29"/>
    </row>
    <row r="936" spans="1:7" ht="31.5">
      <c r="A936" s="3" t="s">
        <v>61</v>
      </c>
      <c r="B936" s="4" t="s">
        <v>301</v>
      </c>
      <c r="C936" s="4" t="s">
        <v>605</v>
      </c>
      <c r="D936" s="4" t="s">
        <v>50</v>
      </c>
      <c r="E936" s="4"/>
      <c r="F936" s="29">
        <f>F937</f>
        <v>3915032.5100000002</v>
      </c>
      <c r="G936" s="29"/>
    </row>
    <row r="937" spans="1:7" ht="31.5">
      <c r="A937" s="3" t="s">
        <v>597</v>
      </c>
      <c r="B937" s="4" t="s">
        <v>301</v>
      </c>
      <c r="C937" s="4" t="s">
        <v>605</v>
      </c>
      <c r="D937" s="4" t="s">
        <v>50</v>
      </c>
      <c r="E937" s="4" t="s">
        <v>48</v>
      </c>
      <c r="F937" s="29">
        <f>прил6!F342</f>
        <v>3915032.5100000002</v>
      </c>
      <c r="G937" s="29"/>
    </row>
    <row r="938" spans="1:7" ht="78.75">
      <c r="A938" s="3" t="s">
        <v>302</v>
      </c>
      <c r="B938" s="4" t="s">
        <v>303</v>
      </c>
      <c r="C938" s="4"/>
      <c r="D938" s="4"/>
      <c r="E938" s="4"/>
      <c r="F938" s="29">
        <f aca="true" t="shared" si="14" ref="F938:G940">F939</f>
        <v>11400</v>
      </c>
      <c r="G938" s="29">
        <f t="shared" si="14"/>
        <v>11400</v>
      </c>
    </row>
    <row r="939" spans="1:7" ht="47.25">
      <c r="A939" s="3" t="s">
        <v>701</v>
      </c>
      <c r="B939" s="4" t="s">
        <v>303</v>
      </c>
      <c r="C939" s="4" t="s">
        <v>605</v>
      </c>
      <c r="D939" s="4"/>
      <c r="E939" s="4"/>
      <c r="F939" s="29">
        <f t="shared" si="14"/>
        <v>11400</v>
      </c>
      <c r="G939" s="29">
        <f t="shared" si="14"/>
        <v>11400</v>
      </c>
    </row>
    <row r="940" spans="1:7" ht="31.5">
      <c r="A940" s="3" t="s">
        <v>61</v>
      </c>
      <c r="B940" s="4" t="s">
        <v>303</v>
      </c>
      <c r="C940" s="4" t="s">
        <v>605</v>
      </c>
      <c r="D940" s="4" t="s">
        <v>50</v>
      </c>
      <c r="E940" s="4"/>
      <c r="F940" s="29">
        <f t="shared" si="14"/>
        <v>11400</v>
      </c>
      <c r="G940" s="29">
        <f t="shared" si="14"/>
        <v>11400</v>
      </c>
    </row>
    <row r="941" spans="1:7" ht="31.5">
      <c r="A941" s="3" t="s">
        <v>597</v>
      </c>
      <c r="B941" s="4" t="s">
        <v>303</v>
      </c>
      <c r="C941" s="4" t="s">
        <v>605</v>
      </c>
      <c r="D941" s="4" t="s">
        <v>50</v>
      </c>
      <c r="E941" s="4" t="s">
        <v>48</v>
      </c>
      <c r="F941" s="29">
        <f>прил6!F344</f>
        <v>11400</v>
      </c>
      <c r="G941" s="29">
        <f>F941</f>
        <v>11400</v>
      </c>
    </row>
    <row r="942" spans="1:7" ht="78.75">
      <c r="A942" s="3" t="s">
        <v>302</v>
      </c>
      <c r="B942" s="4" t="s">
        <v>304</v>
      </c>
      <c r="C942" s="4"/>
      <c r="D942" s="4"/>
      <c r="E942" s="4"/>
      <c r="F942" s="29">
        <f>F943</f>
        <v>1650</v>
      </c>
      <c r="G942" s="29"/>
    </row>
    <row r="943" spans="1:7" ht="47.25">
      <c r="A943" s="3" t="s">
        <v>701</v>
      </c>
      <c r="B943" s="4" t="s">
        <v>304</v>
      </c>
      <c r="C943" s="4" t="s">
        <v>605</v>
      </c>
      <c r="D943" s="4"/>
      <c r="E943" s="4"/>
      <c r="F943" s="29">
        <f>F944</f>
        <v>1650</v>
      </c>
      <c r="G943" s="29"/>
    </row>
    <row r="944" spans="1:7" ht="31.5">
      <c r="A944" s="3" t="s">
        <v>61</v>
      </c>
      <c r="B944" s="4" t="s">
        <v>304</v>
      </c>
      <c r="C944" s="4" t="s">
        <v>605</v>
      </c>
      <c r="D944" s="4" t="s">
        <v>50</v>
      </c>
      <c r="E944" s="4"/>
      <c r="F944" s="29">
        <f>F945</f>
        <v>1650</v>
      </c>
      <c r="G944" s="33"/>
    </row>
    <row r="945" spans="1:7" ht="31.5">
      <c r="A945" s="3" t="s">
        <v>597</v>
      </c>
      <c r="B945" s="4" t="s">
        <v>304</v>
      </c>
      <c r="C945" s="4" t="s">
        <v>605</v>
      </c>
      <c r="D945" s="4" t="s">
        <v>50</v>
      </c>
      <c r="E945" s="4" t="s">
        <v>48</v>
      </c>
      <c r="F945" s="29">
        <f>прил6!F346</f>
        <v>1650</v>
      </c>
      <c r="G945" s="29"/>
    </row>
    <row r="946" spans="1:7" ht="63">
      <c r="A946" s="3" t="s">
        <v>305</v>
      </c>
      <c r="B946" s="4" t="s">
        <v>306</v>
      </c>
      <c r="C946" s="4"/>
      <c r="D946" s="4"/>
      <c r="E946" s="4"/>
      <c r="F946" s="29">
        <f>F947</f>
        <v>14000</v>
      </c>
      <c r="G946" s="29"/>
    </row>
    <row r="947" spans="1:7" ht="31.5">
      <c r="A947" s="3" t="s">
        <v>523</v>
      </c>
      <c r="B947" s="4" t="s">
        <v>100</v>
      </c>
      <c r="C947" s="4"/>
      <c r="D947" s="4"/>
      <c r="E947" s="4"/>
      <c r="F947" s="29">
        <f>F948</f>
        <v>14000</v>
      </c>
      <c r="G947" s="29"/>
    </row>
    <row r="948" spans="1:7" ht="47.25">
      <c r="A948" s="3" t="s">
        <v>701</v>
      </c>
      <c r="B948" s="4" t="s">
        <v>100</v>
      </c>
      <c r="C948" s="4" t="s">
        <v>605</v>
      </c>
      <c r="D948" s="4"/>
      <c r="E948" s="4"/>
      <c r="F948" s="29">
        <f>F949</f>
        <v>14000</v>
      </c>
      <c r="G948" s="29"/>
    </row>
    <row r="949" spans="1:7" ht="31.5">
      <c r="A949" s="3" t="s">
        <v>61</v>
      </c>
      <c r="B949" s="4" t="s">
        <v>100</v>
      </c>
      <c r="C949" s="4" t="s">
        <v>605</v>
      </c>
      <c r="D949" s="4" t="s">
        <v>50</v>
      </c>
      <c r="E949" s="4"/>
      <c r="F949" s="29">
        <f>F950</f>
        <v>14000</v>
      </c>
      <c r="G949" s="29"/>
    </row>
    <row r="950" spans="1:7" ht="31.5">
      <c r="A950" s="3" t="s">
        <v>597</v>
      </c>
      <c r="B950" s="4" t="s">
        <v>100</v>
      </c>
      <c r="C950" s="4" t="s">
        <v>605</v>
      </c>
      <c r="D950" s="4" t="s">
        <v>50</v>
      </c>
      <c r="E950" s="4" t="s">
        <v>48</v>
      </c>
      <c r="F950" s="29">
        <f>прил6!F349</f>
        <v>14000</v>
      </c>
      <c r="G950" s="29"/>
    </row>
    <row r="951" spans="1:7" ht="47.25">
      <c r="A951" s="3" t="s">
        <v>307</v>
      </c>
      <c r="B951" s="4" t="s">
        <v>308</v>
      </c>
      <c r="C951" s="4"/>
      <c r="D951" s="4"/>
      <c r="E951" s="4"/>
      <c r="F951" s="29">
        <f>F952</f>
        <v>9918237.9</v>
      </c>
      <c r="G951" s="29"/>
    </row>
    <row r="952" spans="1:7" ht="31.5">
      <c r="A952" s="3" t="s">
        <v>523</v>
      </c>
      <c r="B952" s="4" t="s">
        <v>309</v>
      </c>
      <c r="C952" s="4"/>
      <c r="D952" s="4"/>
      <c r="E952" s="4"/>
      <c r="F952" s="29">
        <f>F953+F956</f>
        <v>9918237.9</v>
      </c>
      <c r="G952" s="29"/>
    </row>
    <row r="953" spans="1:7" ht="47.25">
      <c r="A953" s="3" t="s">
        <v>701</v>
      </c>
      <c r="B953" s="4" t="s">
        <v>309</v>
      </c>
      <c r="C953" s="4" t="s">
        <v>605</v>
      </c>
      <c r="D953" s="4"/>
      <c r="E953" s="4"/>
      <c r="F953" s="29">
        <f>F954</f>
        <v>2707646.4</v>
      </c>
      <c r="G953" s="29"/>
    </row>
    <row r="954" spans="1:7" ht="31.5">
      <c r="A954" s="3" t="s">
        <v>61</v>
      </c>
      <c r="B954" s="4" t="s">
        <v>309</v>
      </c>
      <c r="C954" s="4" t="s">
        <v>605</v>
      </c>
      <c r="D954" s="4" t="s">
        <v>50</v>
      </c>
      <c r="E954" s="4"/>
      <c r="F954" s="29">
        <f>F955</f>
        <v>2707646.4</v>
      </c>
      <c r="G954" s="29"/>
    </row>
    <row r="955" spans="1:7" ht="31.5">
      <c r="A955" s="3" t="s">
        <v>597</v>
      </c>
      <c r="B955" s="4" t="s">
        <v>309</v>
      </c>
      <c r="C955" s="4" t="s">
        <v>605</v>
      </c>
      <c r="D955" s="4" t="s">
        <v>50</v>
      </c>
      <c r="E955" s="4" t="s">
        <v>48</v>
      </c>
      <c r="F955" s="29">
        <f>прил6!F352</f>
        <v>2707646.4</v>
      </c>
      <c r="G955" s="29"/>
    </row>
    <row r="956" spans="1:7" ht="63">
      <c r="A956" s="3" t="s">
        <v>525</v>
      </c>
      <c r="B956" s="4" t="s">
        <v>309</v>
      </c>
      <c r="C956" s="4" t="s">
        <v>609</v>
      </c>
      <c r="D956" s="4"/>
      <c r="E956" s="4"/>
      <c r="F956" s="29">
        <f>F957</f>
        <v>7210591.5</v>
      </c>
      <c r="G956" s="29"/>
    </row>
    <row r="957" spans="1:7" ht="31.5">
      <c r="A957" s="3" t="s">
        <v>61</v>
      </c>
      <c r="B957" s="4" t="s">
        <v>309</v>
      </c>
      <c r="C957" s="4" t="s">
        <v>609</v>
      </c>
      <c r="D957" s="4" t="s">
        <v>50</v>
      </c>
      <c r="E957" s="4"/>
      <c r="F957" s="29">
        <f>F958</f>
        <v>7210591.5</v>
      </c>
      <c r="G957" s="29"/>
    </row>
    <row r="958" spans="1:7" ht="31.5">
      <c r="A958" s="3" t="s">
        <v>597</v>
      </c>
      <c r="B958" s="4" t="s">
        <v>309</v>
      </c>
      <c r="C958" s="4" t="s">
        <v>609</v>
      </c>
      <c r="D958" s="4" t="s">
        <v>50</v>
      </c>
      <c r="E958" s="4" t="s">
        <v>48</v>
      </c>
      <c r="F958" s="29">
        <f>прил6!F353</f>
        <v>7210591.5</v>
      </c>
      <c r="G958" s="29"/>
    </row>
    <row r="959" spans="1:7" ht="31.5">
      <c r="A959" s="3" t="s">
        <v>310</v>
      </c>
      <c r="B959" s="4" t="s">
        <v>311</v>
      </c>
      <c r="C959" s="4"/>
      <c r="D959" s="4"/>
      <c r="E959" s="4"/>
      <c r="F959" s="29">
        <f>F960</f>
        <v>150646.89</v>
      </c>
      <c r="G959" s="29"/>
    </row>
    <row r="960" spans="1:7" ht="31.5">
      <c r="A960" s="3" t="s">
        <v>523</v>
      </c>
      <c r="B960" s="4" t="s">
        <v>312</v>
      </c>
      <c r="C960" s="4"/>
      <c r="D960" s="4"/>
      <c r="E960" s="4"/>
      <c r="F960" s="29">
        <f>F961</f>
        <v>150646.89</v>
      </c>
      <c r="G960" s="29"/>
    </row>
    <row r="961" spans="1:7" ht="47.25">
      <c r="A961" s="3" t="s">
        <v>701</v>
      </c>
      <c r="B961" s="4" t="s">
        <v>312</v>
      </c>
      <c r="C961" s="4" t="s">
        <v>605</v>
      </c>
      <c r="D961" s="4"/>
      <c r="E961" s="4"/>
      <c r="F961" s="29">
        <f>F962</f>
        <v>150646.89</v>
      </c>
      <c r="G961" s="29"/>
    </row>
    <row r="962" spans="1:7" ht="31.5">
      <c r="A962" s="3" t="s">
        <v>61</v>
      </c>
      <c r="B962" s="4" t="s">
        <v>309</v>
      </c>
      <c r="C962" s="4" t="s">
        <v>605</v>
      </c>
      <c r="D962" s="4" t="s">
        <v>50</v>
      </c>
      <c r="E962" s="4"/>
      <c r="F962" s="29">
        <f>F963</f>
        <v>150646.89</v>
      </c>
      <c r="G962" s="29"/>
    </row>
    <row r="963" spans="1:7" ht="31.5">
      <c r="A963" s="3" t="s">
        <v>597</v>
      </c>
      <c r="B963" s="4" t="s">
        <v>309</v>
      </c>
      <c r="C963" s="4" t="s">
        <v>605</v>
      </c>
      <c r="D963" s="4" t="s">
        <v>50</v>
      </c>
      <c r="E963" s="4" t="s">
        <v>48</v>
      </c>
      <c r="F963" s="29">
        <f>прил6!F356</f>
        <v>150646.89</v>
      </c>
      <c r="G963" s="29"/>
    </row>
    <row r="964" spans="1:7" ht="31.5">
      <c r="A964" s="3" t="s">
        <v>313</v>
      </c>
      <c r="B964" s="4" t="s">
        <v>314</v>
      </c>
      <c r="C964" s="4"/>
      <c r="D964" s="4"/>
      <c r="E964" s="4"/>
      <c r="F964" s="29">
        <f>F965</f>
        <v>204778</v>
      </c>
      <c r="G964" s="29"/>
    </row>
    <row r="965" spans="1:7" ht="31.5">
      <c r="A965" s="3" t="s">
        <v>523</v>
      </c>
      <c r="B965" s="4" t="s">
        <v>315</v>
      </c>
      <c r="C965" s="4"/>
      <c r="D965" s="4"/>
      <c r="E965" s="4"/>
      <c r="F965" s="29">
        <f>F969+F966</f>
        <v>204778</v>
      </c>
      <c r="G965" s="29"/>
    </row>
    <row r="966" spans="1:7" ht="110.25">
      <c r="A966" s="3" t="s">
        <v>92</v>
      </c>
      <c r="B966" s="4" t="s">
        <v>315</v>
      </c>
      <c r="C966" s="4" t="s">
        <v>604</v>
      </c>
      <c r="D966" s="4"/>
      <c r="E966" s="4"/>
      <c r="F966" s="29">
        <f>F967</f>
        <v>5300</v>
      </c>
      <c r="G966" s="29"/>
    </row>
    <row r="967" spans="1:7" ht="31.5">
      <c r="A967" s="3" t="s">
        <v>61</v>
      </c>
      <c r="B967" s="4" t="s">
        <v>315</v>
      </c>
      <c r="C967" s="4" t="s">
        <v>604</v>
      </c>
      <c r="D967" s="4" t="s">
        <v>50</v>
      </c>
      <c r="E967" s="4"/>
      <c r="F967" s="29">
        <f>F968</f>
        <v>5300</v>
      </c>
      <c r="G967" s="29"/>
    </row>
    <row r="968" spans="1:7" ht="31.5">
      <c r="A968" s="3" t="s">
        <v>597</v>
      </c>
      <c r="B968" s="4" t="s">
        <v>315</v>
      </c>
      <c r="C968" s="4" t="s">
        <v>604</v>
      </c>
      <c r="D968" s="4" t="s">
        <v>50</v>
      </c>
      <c r="E968" s="4" t="s">
        <v>48</v>
      </c>
      <c r="F968" s="29">
        <f>прил6!F359</f>
        <v>5300</v>
      </c>
      <c r="G968" s="29"/>
    </row>
    <row r="969" spans="1:7" ht="47.25">
      <c r="A969" s="3" t="s">
        <v>701</v>
      </c>
      <c r="B969" s="4" t="s">
        <v>315</v>
      </c>
      <c r="C969" s="4" t="s">
        <v>605</v>
      </c>
      <c r="D969" s="4"/>
      <c r="E969" s="4"/>
      <c r="F969" s="29">
        <f>F970</f>
        <v>199478</v>
      </c>
      <c r="G969" s="29"/>
    </row>
    <row r="970" spans="1:7" ht="31.5">
      <c r="A970" s="3" t="s">
        <v>61</v>
      </c>
      <c r="B970" s="4" t="s">
        <v>315</v>
      </c>
      <c r="C970" s="4" t="s">
        <v>605</v>
      </c>
      <c r="D970" s="4" t="s">
        <v>50</v>
      </c>
      <c r="E970" s="4"/>
      <c r="F970" s="29">
        <f>F971</f>
        <v>199478</v>
      </c>
      <c r="G970" s="29"/>
    </row>
    <row r="971" spans="1:7" ht="31.5">
      <c r="A971" s="3" t="s">
        <v>597</v>
      </c>
      <c r="B971" s="4" t="s">
        <v>315</v>
      </c>
      <c r="C971" s="4" t="s">
        <v>605</v>
      </c>
      <c r="D971" s="4" t="s">
        <v>50</v>
      </c>
      <c r="E971" s="4" t="s">
        <v>48</v>
      </c>
      <c r="F971" s="29">
        <f>прил6!F360</f>
        <v>199478</v>
      </c>
      <c r="G971" s="29"/>
    </row>
    <row r="972" spans="1:7" ht="110.25">
      <c r="A972" s="3" t="s">
        <v>120</v>
      </c>
      <c r="B972" s="4" t="s">
        <v>618</v>
      </c>
      <c r="C972" s="4"/>
      <c r="D972" s="4"/>
      <c r="E972" s="4"/>
      <c r="F972" s="29">
        <f>F973+F978</f>
        <v>1425000</v>
      </c>
      <c r="G972" s="29"/>
    </row>
    <row r="973" spans="1:7" ht="63">
      <c r="A973" s="3" t="s">
        <v>619</v>
      </c>
      <c r="B973" s="4" t="s">
        <v>1183</v>
      </c>
      <c r="C973" s="4"/>
      <c r="D973" s="4"/>
      <c r="E973" s="4"/>
      <c r="F973" s="29">
        <f>F974</f>
        <v>712500</v>
      </c>
      <c r="G973" s="29"/>
    </row>
    <row r="974" spans="1:7" ht="47.25">
      <c r="A974" s="3" t="s">
        <v>620</v>
      </c>
      <c r="B974" s="4" t="s">
        <v>1184</v>
      </c>
      <c r="C974" s="4"/>
      <c r="D974" s="4"/>
      <c r="E974" s="4"/>
      <c r="F974" s="29">
        <f>F975</f>
        <v>712500</v>
      </c>
      <c r="G974" s="29"/>
    </row>
    <row r="975" spans="1:7" ht="31.5">
      <c r="A975" s="3" t="s">
        <v>1040</v>
      </c>
      <c r="B975" s="4" t="s">
        <v>1184</v>
      </c>
      <c r="C975" s="4" t="s">
        <v>608</v>
      </c>
      <c r="D975" s="4"/>
      <c r="E975" s="4"/>
      <c r="F975" s="29">
        <f>F976</f>
        <v>712500</v>
      </c>
      <c r="G975" s="29"/>
    </row>
    <row r="976" spans="1:7" ht="31.5">
      <c r="A976" s="3" t="s">
        <v>596</v>
      </c>
      <c r="B976" s="4" t="s">
        <v>1184</v>
      </c>
      <c r="C976" s="4" t="s">
        <v>608</v>
      </c>
      <c r="D976" s="4" t="s">
        <v>600</v>
      </c>
      <c r="E976" s="4"/>
      <c r="F976" s="29">
        <f>F977</f>
        <v>712500</v>
      </c>
      <c r="G976" s="29"/>
    </row>
    <row r="977" spans="1:7" ht="31.5">
      <c r="A977" s="3" t="s">
        <v>141</v>
      </c>
      <c r="B977" s="4" t="s">
        <v>1184</v>
      </c>
      <c r="C977" s="4" t="s">
        <v>608</v>
      </c>
      <c r="D977" s="4" t="s">
        <v>600</v>
      </c>
      <c r="E977" s="4" t="s">
        <v>45</v>
      </c>
      <c r="F977" s="29">
        <f>прил6!F846</f>
        <v>712500</v>
      </c>
      <c r="G977" s="29"/>
    </row>
    <row r="978" spans="1:7" ht="78.75">
      <c r="A978" s="3" t="s">
        <v>1185</v>
      </c>
      <c r="B978" s="4" t="s">
        <v>1186</v>
      </c>
      <c r="C978" s="4"/>
      <c r="D978" s="4"/>
      <c r="E978" s="4"/>
      <c r="F978" s="29">
        <f>F979</f>
        <v>712500</v>
      </c>
      <c r="G978" s="29"/>
    </row>
    <row r="979" spans="1:7" ht="31.5">
      <c r="A979" s="3" t="s">
        <v>523</v>
      </c>
      <c r="B979" s="4" t="s">
        <v>1187</v>
      </c>
      <c r="C979" s="4"/>
      <c r="D979" s="4"/>
      <c r="E979" s="4"/>
      <c r="F979" s="29">
        <f>F980</f>
        <v>712500</v>
      </c>
      <c r="G979" s="29"/>
    </row>
    <row r="980" spans="1:7" ht="47.25">
      <c r="A980" s="3" t="s">
        <v>701</v>
      </c>
      <c r="B980" s="4" t="s">
        <v>1187</v>
      </c>
      <c r="C980" s="4" t="s">
        <v>605</v>
      </c>
      <c r="D980" s="4"/>
      <c r="E980" s="4"/>
      <c r="F980" s="29">
        <f>F981</f>
        <v>712500</v>
      </c>
      <c r="G980" s="29"/>
    </row>
    <row r="981" spans="1:7" ht="31.5">
      <c r="A981" s="3" t="s">
        <v>596</v>
      </c>
      <c r="B981" s="4" t="s">
        <v>1187</v>
      </c>
      <c r="C981" s="4" t="s">
        <v>605</v>
      </c>
      <c r="D981" s="4" t="s">
        <v>600</v>
      </c>
      <c r="E981" s="4"/>
      <c r="F981" s="29">
        <f>F982</f>
        <v>712500</v>
      </c>
      <c r="G981" s="29"/>
    </row>
    <row r="982" spans="1:7" ht="31.5">
      <c r="A982" s="3" t="s">
        <v>141</v>
      </c>
      <c r="B982" s="4" t="s">
        <v>1187</v>
      </c>
      <c r="C982" s="4" t="s">
        <v>605</v>
      </c>
      <c r="D982" s="4" t="s">
        <v>600</v>
      </c>
      <c r="E982" s="4" t="s">
        <v>45</v>
      </c>
      <c r="F982" s="29">
        <f>прил6!F849</f>
        <v>712500</v>
      </c>
      <c r="G982" s="29"/>
    </row>
    <row r="983" spans="1:7" ht="78.75">
      <c r="A983" s="59" t="s">
        <v>527</v>
      </c>
      <c r="B983" s="4" t="s">
        <v>726</v>
      </c>
      <c r="C983" s="4"/>
      <c r="D983" s="4"/>
      <c r="E983" s="4"/>
      <c r="F983" s="29">
        <f>F984</f>
        <v>20004742.5</v>
      </c>
      <c r="G983" s="29"/>
    </row>
    <row r="984" spans="1:7" ht="63">
      <c r="A984" s="59" t="s">
        <v>727</v>
      </c>
      <c r="B984" s="4" t="s">
        <v>1181</v>
      </c>
      <c r="C984" s="4"/>
      <c r="D984" s="4"/>
      <c r="E984" s="4"/>
      <c r="F984" s="29">
        <f>F985</f>
        <v>20004742.5</v>
      </c>
      <c r="G984" s="29"/>
    </row>
    <row r="985" spans="1:7" ht="94.5">
      <c r="A985" s="3" t="s">
        <v>749</v>
      </c>
      <c r="B985" s="4" t="s">
        <v>1182</v>
      </c>
      <c r="C985" s="4"/>
      <c r="D985" s="4"/>
      <c r="E985" s="4"/>
      <c r="F985" s="29">
        <f>F986</f>
        <v>20004742.5</v>
      </c>
      <c r="G985" s="29"/>
    </row>
    <row r="986" spans="1:7" ht="63">
      <c r="A986" s="3" t="s">
        <v>525</v>
      </c>
      <c r="B986" s="4" t="s">
        <v>1182</v>
      </c>
      <c r="C986" s="4" t="s">
        <v>609</v>
      </c>
      <c r="D986" s="4"/>
      <c r="E986" s="4"/>
      <c r="F986" s="29">
        <f>F987</f>
        <v>20004742.5</v>
      </c>
      <c r="G986" s="29"/>
    </row>
    <row r="987" spans="1:7" ht="31.5">
      <c r="A987" s="3" t="s">
        <v>59</v>
      </c>
      <c r="B987" s="4" t="s">
        <v>1182</v>
      </c>
      <c r="C987" s="4" t="s">
        <v>609</v>
      </c>
      <c r="D987" s="4" t="s">
        <v>917</v>
      </c>
      <c r="E987" s="4"/>
      <c r="F987" s="29">
        <f>F998</f>
        <v>20004742.5</v>
      </c>
      <c r="G987" s="29"/>
    </row>
    <row r="988" spans="1:7" ht="46.5" hidden="1">
      <c r="A988" s="3" t="s">
        <v>93</v>
      </c>
      <c r="B988" s="4"/>
      <c r="C988" s="4"/>
      <c r="D988" s="4"/>
      <c r="E988" s="4"/>
      <c r="F988" s="29"/>
      <c r="G988" s="29"/>
    </row>
    <row r="989" spans="1:7" ht="15" hidden="1">
      <c r="A989" s="3" t="s">
        <v>59</v>
      </c>
      <c r="B989" s="4"/>
      <c r="C989" s="4"/>
      <c r="D989" s="4"/>
      <c r="E989" s="4"/>
      <c r="F989" s="29"/>
      <c r="G989" s="29"/>
    </row>
    <row r="990" spans="1:7" ht="30.75" hidden="1">
      <c r="A990" s="3" t="s">
        <v>741</v>
      </c>
      <c r="B990" s="4"/>
      <c r="C990" s="4"/>
      <c r="D990" s="4"/>
      <c r="E990" s="4"/>
      <c r="F990" s="29"/>
      <c r="G990" s="29"/>
    </row>
    <row r="991" spans="1:7" ht="61.5" hidden="1">
      <c r="A991" s="3" t="s">
        <v>525</v>
      </c>
      <c r="B991" s="4"/>
      <c r="C991" s="4"/>
      <c r="D991" s="4"/>
      <c r="E991" s="4"/>
      <c r="F991" s="29"/>
      <c r="G991" s="29"/>
    </row>
    <row r="992" spans="1:7" ht="15" hidden="1">
      <c r="A992" s="3" t="s">
        <v>59</v>
      </c>
      <c r="B992" s="4"/>
      <c r="C992" s="4"/>
      <c r="D992" s="4"/>
      <c r="E992" s="4"/>
      <c r="F992" s="29"/>
      <c r="G992" s="29"/>
    </row>
    <row r="993" spans="1:7" ht="30.75" hidden="1">
      <c r="A993" s="3" t="s">
        <v>741</v>
      </c>
      <c r="B993" s="4"/>
      <c r="C993" s="4"/>
      <c r="D993" s="4"/>
      <c r="E993" s="4"/>
      <c r="F993" s="29"/>
      <c r="G993" s="29"/>
    </row>
    <row r="994" spans="1:7" ht="30.75" hidden="1">
      <c r="A994" s="3" t="s">
        <v>523</v>
      </c>
      <c r="B994" s="4"/>
      <c r="C994" s="4"/>
      <c r="D994" s="4"/>
      <c r="E994" s="4"/>
      <c r="F994" s="29"/>
      <c r="G994" s="29"/>
    </row>
    <row r="995" spans="1:7" ht="46.5" hidden="1">
      <c r="A995" s="3" t="s">
        <v>93</v>
      </c>
      <c r="B995" s="4"/>
      <c r="C995" s="4"/>
      <c r="D995" s="4"/>
      <c r="E995" s="4"/>
      <c r="F995" s="29"/>
      <c r="G995" s="29"/>
    </row>
    <row r="996" spans="1:7" ht="15" hidden="1">
      <c r="A996" s="3" t="s">
        <v>59</v>
      </c>
      <c r="B996" s="4"/>
      <c r="C996" s="4"/>
      <c r="D996" s="4"/>
      <c r="E996" s="4"/>
      <c r="F996" s="29"/>
      <c r="G996" s="29"/>
    </row>
    <row r="997" spans="1:7" ht="30.75" hidden="1">
      <c r="A997" s="3" t="s">
        <v>741</v>
      </c>
      <c r="B997" s="4"/>
      <c r="C997" s="4"/>
      <c r="D997" s="4"/>
      <c r="E997" s="4"/>
      <c r="F997" s="29"/>
      <c r="G997" s="29"/>
    </row>
    <row r="998" spans="1:7" ht="35.25" customHeight="1">
      <c r="A998" s="3" t="s">
        <v>741</v>
      </c>
      <c r="B998" s="4" t="s">
        <v>1182</v>
      </c>
      <c r="C998" s="4" t="s">
        <v>609</v>
      </c>
      <c r="D998" s="4" t="s">
        <v>917</v>
      </c>
      <c r="E998" s="4" t="s">
        <v>602</v>
      </c>
      <c r="F998" s="29">
        <f>прил6!F155</f>
        <v>20004742.5</v>
      </c>
      <c r="G998" s="29"/>
    </row>
    <row r="999" spans="1:7" ht="110.25">
      <c r="A999" s="73" t="s">
        <v>103</v>
      </c>
      <c r="B999" s="5" t="s">
        <v>1042</v>
      </c>
      <c r="C999" s="5"/>
      <c r="D999" s="5"/>
      <c r="E999" s="5"/>
      <c r="F999" s="28">
        <f>F1000+F1015</f>
        <v>21423557.97</v>
      </c>
      <c r="G999" s="28"/>
    </row>
    <row r="1000" spans="1:7" ht="47.25">
      <c r="A1000" s="59" t="s">
        <v>125</v>
      </c>
      <c r="B1000" s="4" t="s">
        <v>1041</v>
      </c>
      <c r="C1000" s="4"/>
      <c r="D1000" s="4"/>
      <c r="E1000" s="4"/>
      <c r="F1000" s="29">
        <f>F1001+F1010</f>
        <v>10388358</v>
      </c>
      <c r="G1000" s="29"/>
    </row>
    <row r="1001" spans="1:7" ht="70.5" customHeight="1">
      <c r="A1001" s="59" t="s">
        <v>1043</v>
      </c>
      <c r="B1001" s="4" t="s">
        <v>1044</v>
      </c>
      <c r="C1001" s="4"/>
      <c r="D1001" s="4"/>
      <c r="E1001" s="4"/>
      <c r="F1001" s="29">
        <f>F1002+F1006</f>
        <v>7114686.7299999995</v>
      </c>
      <c r="G1001" s="29"/>
    </row>
    <row r="1002" spans="1:7" ht="47.25">
      <c r="A1002" s="59" t="s">
        <v>589</v>
      </c>
      <c r="B1002" s="4" t="s">
        <v>1045</v>
      </c>
      <c r="C1002" s="4"/>
      <c r="D1002" s="4"/>
      <c r="E1002" s="4"/>
      <c r="F1002" s="29">
        <f>F1003</f>
        <v>6670695.7299999995</v>
      </c>
      <c r="G1002" s="29"/>
    </row>
    <row r="1003" spans="1:7" ht="110.25">
      <c r="A1003" s="59" t="s">
        <v>507</v>
      </c>
      <c r="B1003" s="4" t="s">
        <v>1045</v>
      </c>
      <c r="C1003" s="4" t="s">
        <v>604</v>
      </c>
      <c r="D1003" s="4"/>
      <c r="E1003" s="4"/>
      <c r="F1003" s="29">
        <f>F1004</f>
        <v>6670695.7299999995</v>
      </c>
      <c r="G1003" s="29"/>
    </row>
    <row r="1004" spans="1:7" ht="31.5">
      <c r="A1004" s="3" t="s">
        <v>59</v>
      </c>
      <c r="B1004" s="4" t="s">
        <v>1045</v>
      </c>
      <c r="C1004" s="4" t="s">
        <v>604</v>
      </c>
      <c r="D1004" s="4" t="s">
        <v>917</v>
      </c>
      <c r="E1004" s="4"/>
      <c r="F1004" s="29">
        <f>F1005</f>
        <v>6670695.7299999995</v>
      </c>
      <c r="G1004" s="29"/>
    </row>
    <row r="1005" spans="1:7" ht="111.75" customHeight="1">
      <c r="A1005" s="59" t="s">
        <v>599</v>
      </c>
      <c r="B1005" s="4" t="s">
        <v>1045</v>
      </c>
      <c r="C1005" s="4" t="s">
        <v>604</v>
      </c>
      <c r="D1005" s="4" t="s">
        <v>917</v>
      </c>
      <c r="E1005" s="4" t="s">
        <v>50</v>
      </c>
      <c r="F1005" s="29">
        <f>прил6!F53</f>
        <v>6670695.7299999995</v>
      </c>
      <c r="G1005" s="29"/>
    </row>
    <row r="1006" spans="1:7" s="16" customFormat="1" ht="94.5">
      <c r="A1006" s="3" t="s">
        <v>587</v>
      </c>
      <c r="B1006" s="4" t="s">
        <v>1046</v>
      </c>
      <c r="C1006" s="4"/>
      <c r="D1006" s="4"/>
      <c r="E1006" s="4"/>
      <c r="F1006" s="29">
        <f>F1007</f>
        <v>443991</v>
      </c>
      <c r="G1006" s="29"/>
    </row>
    <row r="1007" spans="1:7" ht="110.25">
      <c r="A1007" s="3" t="s">
        <v>506</v>
      </c>
      <c r="B1007" s="4" t="s">
        <v>1046</v>
      </c>
      <c r="C1007" s="4" t="s">
        <v>604</v>
      </c>
      <c r="D1007" s="4"/>
      <c r="E1007" s="4"/>
      <c r="F1007" s="29">
        <f>F1008</f>
        <v>443991</v>
      </c>
      <c r="G1007" s="29"/>
    </row>
    <row r="1008" spans="1:7" ht="31.5">
      <c r="A1008" s="3" t="s">
        <v>59</v>
      </c>
      <c r="B1008" s="4" t="s">
        <v>1046</v>
      </c>
      <c r="C1008" s="4" t="s">
        <v>604</v>
      </c>
      <c r="D1008" s="4" t="s">
        <v>917</v>
      </c>
      <c r="E1008" s="4"/>
      <c r="F1008" s="29">
        <f>F1009</f>
        <v>443991</v>
      </c>
      <c r="G1008" s="29"/>
    </row>
    <row r="1009" spans="1:7" ht="117.75" customHeight="1">
      <c r="A1009" s="59" t="s">
        <v>599</v>
      </c>
      <c r="B1009" s="4" t="s">
        <v>1046</v>
      </c>
      <c r="C1009" s="4" t="s">
        <v>604</v>
      </c>
      <c r="D1009" s="4" t="s">
        <v>917</v>
      </c>
      <c r="E1009" s="4" t="s">
        <v>50</v>
      </c>
      <c r="F1009" s="29">
        <f>прил6!F55</f>
        <v>443991</v>
      </c>
      <c r="G1009" s="29"/>
    </row>
    <row r="1010" spans="1:7" ht="47.25">
      <c r="A1010" s="3" t="s">
        <v>1047</v>
      </c>
      <c r="B1010" s="4" t="s">
        <v>1048</v>
      </c>
      <c r="C1010" s="4"/>
      <c r="D1010" s="4"/>
      <c r="E1010" s="4"/>
      <c r="F1010" s="29">
        <f>F1011</f>
        <v>3273671.27</v>
      </c>
      <c r="G1010" s="29"/>
    </row>
    <row r="1011" spans="1:7" ht="47.25">
      <c r="A1011" s="59" t="s">
        <v>589</v>
      </c>
      <c r="B1011" s="4" t="s">
        <v>1049</v>
      </c>
      <c r="C1011" s="4"/>
      <c r="D1011" s="4"/>
      <c r="E1011" s="4"/>
      <c r="F1011" s="29">
        <f>F1012</f>
        <v>3273671.27</v>
      </c>
      <c r="G1011" s="29"/>
    </row>
    <row r="1012" spans="1:7" ht="110.25">
      <c r="A1012" s="59" t="s">
        <v>507</v>
      </c>
      <c r="B1012" s="4" t="s">
        <v>1049</v>
      </c>
      <c r="C1012" s="4" t="s">
        <v>604</v>
      </c>
      <c r="D1012" s="4"/>
      <c r="E1012" s="4"/>
      <c r="F1012" s="29">
        <f>F1013</f>
        <v>3273671.27</v>
      </c>
      <c r="G1012" s="29"/>
    </row>
    <row r="1013" spans="1:7" ht="31.5">
      <c r="A1013" s="3" t="s">
        <v>59</v>
      </c>
      <c r="B1013" s="4" t="s">
        <v>1049</v>
      </c>
      <c r="C1013" s="4" t="s">
        <v>604</v>
      </c>
      <c r="D1013" s="4" t="s">
        <v>917</v>
      </c>
      <c r="E1013" s="4"/>
      <c r="F1013" s="29">
        <f>F1014</f>
        <v>3273671.27</v>
      </c>
      <c r="G1013" s="29"/>
    </row>
    <row r="1014" spans="1:7" ht="94.5">
      <c r="A1014" s="59" t="s">
        <v>599</v>
      </c>
      <c r="B1014" s="4" t="s">
        <v>1049</v>
      </c>
      <c r="C1014" s="4" t="s">
        <v>604</v>
      </c>
      <c r="D1014" s="4" t="s">
        <v>917</v>
      </c>
      <c r="E1014" s="4" t="s">
        <v>50</v>
      </c>
      <c r="F1014" s="29">
        <f>прил6!F58</f>
        <v>3273671.27</v>
      </c>
      <c r="G1014" s="29"/>
    </row>
    <row r="1015" spans="1:7" ht="47.25">
      <c r="A1015" s="59" t="s">
        <v>127</v>
      </c>
      <c r="B1015" s="4" t="s">
        <v>1051</v>
      </c>
      <c r="C1015" s="4"/>
      <c r="D1015" s="4"/>
      <c r="E1015" s="4"/>
      <c r="F1015" s="29">
        <f>F1016</f>
        <v>11035199.97</v>
      </c>
      <c r="G1015" s="29"/>
    </row>
    <row r="1016" spans="1:7" ht="63">
      <c r="A1016" s="59" t="s">
        <v>1052</v>
      </c>
      <c r="B1016" s="4" t="s">
        <v>1053</v>
      </c>
      <c r="C1016" s="4"/>
      <c r="D1016" s="4"/>
      <c r="E1016" s="4"/>
      <c r="F1016" s="29">
        <f>F1017</f>
        <v>11035199.97</v>
      </c>
      <c r="G1016" s="29"/>
    </row>
    <row r="1017" spans="1:7" ht="31.5">
      <c r="A1017" s="59" t="s">
        <v>128</v>
      </c>
      <c r="B1017" s="4" t="s">
        <v>1054</v>
      </c>
      <c r="C1017" s="4"/>
      <c r="D1017" s="4"/>
      <c r="E1017" s="4"/>
      <c r="F1017" s="29">
        <f>F1018</f>
        <v>11035199.97</v>
      </c>
      <c r="G1017" s="29"/>
    </row>
    <row r="1018" spans="1:7" ht="31.5">
      <c r="A1018" s="59" t="s">
        <v>117</v>
      </c>
      <c r="B1018" s="4" t="s">
        <v>1054</v>
      </c>
      <c r="C1018" s="4" t="s">
        <v>607</v>
      </c>
      <c r="D1018" s="4"/>
      <c r="E1018" s="4"/>
      <c r="F1018" s="29">
        <f>F1019</f>
        <v>11035199.97</v>
      </c>
      <c r="G1018" s="29"/>
    </row>
    <row r="1019" spans="1:7" ht="31.5">
      <c r="A1019" s="214" t="s">
        <v>143</v>
      </c>
      <c r="B1019" s="4" t="s">
        <v>1054</v>
      </c>
      <c r="C1019" s="4" t="s">
        <v>607</v>
      </c>
      <c r="D1019" s="4" t="s">
        <v>602</v>
      </c>
      <c r="E1019" s="4"/>
      <c r="F1019" s="29">
        <f>F1020</f>
        <v>11035199.97</v>
      </c>
      <c r="G1019" s="29"/>
    </row>
    <row r="1020" spans="1:7" ht="47.25">
      <c r="A1020" s="214" t="s">
        <v>126</v>
      </c>
      <c r="B1020" s="4" t="s">
        <v>1054</v>
      </c>
      <c r="C1020" s="4" t="s">
        <v>607</v>
      </c>
      <c r="D1020" s="4" t="s">
        <v>602</v>
      </c>
      <c r="E1020" s="4" t="s">
        <v>917</v>
      </c>
      <c r="F1020" s="29">
        <f>прил6!F856</f>
        <v>11035199.97</v>
      </c>
      <c r="G1020" s="29"/>
    </row>
    <row r="1021" spans="1:9" ht="63">
      <c r="A1021" s="50" t="s">
        <v>104</v>
      </c>
      <c r="B1021" s="2" t="s">
        <v>705</v>
      </c>
      <c r="C1021" s="2"/>
      <c r="D1021" s="2"/>
      <c r="E1021" s="2"/>
      <c r="F1021" s="33">
        <f>F1022+F1088+F1117+F1131+F1144+F1194+F1237+F1272</f>
        <v>129390189.59</v>
      </c>
      <c r="G1021" s="33">
        <f>G1022+G1088+G1117+G1131+G1144+G1194+G1237+G1272</f>
        <v>4186900</v>
      </c>
      <c r="H1021" s="26">
        <f>прил6!F59+прил6!F156+прил6!F253+прил6!F362+прил6!F818</f>
        <v>129390189.59</v>
      </c>
      <c r="I1021" s="26">
        <f>прил6!G59+прил6!G156+прил6!G253+прил6!G362+прил6!G818</f>
        <v>4186900</v>
      </c>
    </row>
    <row r="1022" spans="1:8" ht="47.25">
      <c r="A1022" s="27" t="s">
        <v>96</v>
      </c>
      <c r="B1022" s="4" t="s">
        <v>717</v>
      </c>
      <c r="C1022" s="4"/>
      <c r="D1022" s="4"/>
      <c r="E1022" s="4"/>
      <c r="F1022" s="29">
        <f>F1023+F1055+F1047+F1084+F1067+F1075</f>
        <v>32278163</v>
      </c>
      <c r="G1022" s="29">
        <f>G1023+G1055+G1047+G1084+G1067+G1075</f>
        <v>4186900</v>
      </c>
      <c r="H1022" s="26">
        <f>H1021-F1021</f>
        <v>0</v>
      </c>
    </row>
    <row r="1023" spans="1:8" ht="63" customHeight="1">
      <c r="A1023" s="27" t="s">
        <v>718</v>
      </c>
      <c r="B1023" s="4" t="s">
        <v>719</v>
      </c>
      <c r="C1023" s="4"/>
      <c r="D1023" s="4"/>
      <c r="E1023" s="4"/>
      <c r="F1023" s="29">
        <f>F1024+F1028+F1035+F1043+F1039</f>
        <v>28091263</v>
      </c>
      <c r="G1023" s="29"/>
      <c r="H1023" s="26"/>
    </row>
    <row r="1024" spans="1:9" ht="47.25">
      <c r="A1024" s="27" t="s">
        <v>591</v>
      </c>
      <c r="B1024" s="4" t="s">
        <v>720</v>
      </c>
      <c r="C1024" s="4"/>
      <c r="D1024" s="4"/>
      <c r="E1024" s="4"/>
      <c r="F1024" s="29">
        <f>F1025</f>
        <v>1940779</v>
      </c>
      <c r="G1024" s="29"/>
      <c r="H1024" s="26"/>
      <c r="I1024" s="26"/>
    </row>
    <row r="1025" spans="1:7" ht="144" customHeight="1">
      <c r="A1025" s="27" t="s">
        <v>506</v>
      </c>
      <c r="B1025" s="4" t="s">
        <v>720</v>
      </c>
      <c r="C1025" s="4" t="s">
        <v>604</v>
      </c>
      <c r="D1025" s="4"/>
      <c r="E1025" s="4"/>
      <c r="F1025" s="29">
        <f>F1026</f>
        <v>1940779</v>
      </c>
      <c r="G1025" s="29"/>
    </row>
    <row r="1026" spans="1:7" ht="31.5">
      <c r="A1026" s="3" t="s">
        <v>59</v>
      </c>
      <c r="B1026" s="4" t="s">
        <v>720</v>
      </c>
      <c r="C1026" s="4" t="s">
        <v>604</v>
      </c>
      <c r="D1026" s="4" t="s">
        <v>917</v>
      </c>
      <c r="E1026" s="4"/>
      <c r="F1026" s="29">
        <f>F1027</f>
        <v>1940779</v>
      </c>
      <c r="G1026" s="29"/>
    </row>
    <row r="1027" spans="1:7" ht="118.5" customHeight="1">
      <c r="A1027" s="59" t="s">
        <v>599</v>
      </c>
      <c r="B1027" s="4" t="s">
        <v>720</v>
      </c>
      <c r="C1027" s="4" t="s">
        <v>604</v>
      </c>
      <c r="D1027" s="4" t="s">
        <v>917</v>
      </c>
      <c r="E1027" s="4" t="s">
        <v>50</v>
      </c>
      <c r="F1027" s="29">
        <f>прил6!F63</f>
        <v>1940779</v>
      </c>
      <c r="G1027" s="29"/>
    </row>
    <row r="1028" spans="1:7" ht="47.25">
      <c r="A1028" s="27" t="s">
        <v>589</v>
      </c>
      <c r="B1028" s="4" t="s">
        <v>721</v>
      </c>
      <c r="C1028" s="4"/>
      <c r="D1028" s="4"/>
      <c r="E1028" s="4"/>
      <c r="F1028" s="29">
        <f>F1029+F1032</f>
        <v>25304641.02</v>
      </c>
      <c r="G1028" s="29"/>
    </row>
    <row r="1029" spans="1:7" ht="110.25">
      <c r="A1029" s="27" t="s">
        <v>506</v>
      </c>
      <c r="B1029" s="4" t="s">
        <v>721</v>
      </c>
      <c r="C1029" s="4" t="s">
        <v>604</v>
      </c>
      <c r="D1029" s="4"/>
      <c r="E1029" s="4"/>
      <c r="F1029" s="29">
        <f>F1030</f>
        <v>25083242.57</v>
      </c>
      <c r="G1029" s="29"/>
    </row>
    <row r="1030" spans="1:7" ht="31.5">
      <c r="A1030" s="3" t="s">
        <v>59</v>
      </c>
      <c r="B1030" s="4" t="s">
        <v>721</v>
      </c>
      <c r="C1030" s="4" t="s">
        <v>604</v>
      </c>
      <c r="D1030" s="4" t="s">
        <v>917</v>
      </c>
      <c r="E1030" s="4"/>
      <c r="F1030" s="29">
        <f>F1031</f>
        <v>25083242.57</v>
      </c>
      <c r="G1030" s="29"/>
    </row>
    <row r="1031" spans="1:7" ht="108" customHeight="1">
      <c r="A1031" s="59" t="s">
        <v>599</v>
      </c>
      <c r="B1031" s="4" t="s">
        <v>721</v>
      </c>
      <c r="C1031" s="4" t="s">
        <v>604</v>
      </c>
      <c r="D1031" s="4" t="s">
        <v>917</v>
      </c>
      <c r="E1031" s="4" t="s">
        <v>50</v>
      </c>
      <c r="F1031" s="29">
        <f>прил6!F65</f>
        <v>25083242.57</v>
      </c>
      <c r="G1031" s="29"/>
    </row>
    <row r="1032" spans="1:7" ht="31.5">
      <c r="A1032" s="193" t="s">
        <v>565</v>
      </c>
      <c r="B1032" s="4" t="s">
        <v>721</v>
      </c>
      <c r="C1032" s="4" t="s">
        <v>566</v>
      </c>
      <c r="D1032" s="4"/>
      <c r="E1032" s="4"/>
      <c r="F1032" s="29">
        <f>F1033</f>
        <v>221398.45</v>
      </c>
      <c r="G1032" s="29"/>
    </row>
    <row r="1033" spans="1:7" ht="31.5">
      <c r="A1033" s="3" t="s">
        <v>59</v>
      </c>
      <c r="B1033" s="4" t="s">
        <v>721</v>
      </c>
      <c r="C1033" s="4" t="s">
        <v>566</v>
      </c>
      <c r="D1033" s="4" t="s">
        <v>917</v>
      </c>
      <c r="E1033" s="4"/>
      <c r="F1033" s="29">
        <f>F1034</f>
        <v>221398.45</v>
      </c>
      <c r="G1033" s="29"/>
    </row>
    <row r="1034" spans="1:7" ht="94.5">
      <c r="A1034" s="59" t="s">
        <v>599</v>
      </c>
      <c r="B1034" s="4" t="s">
        <v>721</v>
      </c>
      <c r="C1034" s="4" t="s">
        <v>566</v>
      </c>
      <c r="D1034" s="4" t="s">
        <v>917</v>
      </c>
      <c r="E1034" s="4" t="s">
        <v>50</v>
      </c>
      <c r="F1034" s="29">
        <f>прил6!F66</f>
        <v>221398.45</v>
      </c>
      <c r="G1034" s="29"/>
    </row>
    <row r="1035" spans="1:7" ht="47.25">
      <c r="A1035" s="27" t="s">
        <v>590</v>
      </c>
      <c r="B1035" s="4" t="s">
        <v>722</v>
      </c>
      <c r="C1035" s="4"/>
      <c r="D1035" s="4"/>
      <c r="E1035" s="4"/>
      <c r="F1035" s="29">
        <f>F1036</f>
        <v>3360</v>
      </c>
      <c r="G1035" s="29"/>
    </row>
    <row r="1036" spans="1:7" ht="110.25">
      <c r="A1036" s="27" t="s">
        <v>506</v>
      </c>
      <c r="B1036" s="4" t="s">
        <v>722</v>
      </c>
      <c r="C1036" s="4" t="s">
        <v>604</v>
      </c>
      <c r="D1036" s="4"/>
      <c r="E1036" s="4"/>
      <c r="F1036" s="29">
        <f>F1037</f>
        <v>3360</v>
      </c>
      <c r="G1036" s="29"/>
    </row>
    <row r="1037" spans="1:7" ht="28.5" customHeight="1">
      <c r="A1037" s="3" t="s">
        <v>59</v>
      </c>
      <c r="B1037" s="4" t="s">
        <v>722</v>
      </c>
      <c r="C1037" s="4" t="s">
        <v>604</v>
      </c>
      <c r="D1037" s="4" t="s">
        <v>917</v>
      </c>
      <c r="E1037" s="4"/>
      <c r="F1037" s="29">
        <f>F1038</f>
        <v>3360</v>
      </c>
      <c r="G1037" s="29"/>
    </row>
    <row r="1038" spans="1:7" ht="114" customHeight="1">
      <c r="A1038" s="59" t="s">
        <v>599</v>
      </c>
      <c r="B1038" s="4" t="s">
        <v>722</v>
      </c>
      <c r="C1038" s="4" t="s">
        <v>604</v>
      </c>
      <c r="D1038" s="4" t="s">
        <v>917</v>
      </c>
      <c r="E1038" s="4" t="s">
        <v>50</v>
      </c>
      <c r="F1038" s="29">
        <f>прил6!F68</f>
        <v>3360</v>
      </c>
      <c r="G1038" s="29"/>
    </row>
    <row r="1039" spans="1:7" ht="95.25" customHeight="1">
      <c r="A1039" s="27" t="s">
        <v>1178</v>
      </c>
      <c r="B1039" s="4" t="s">
        <v>1179</v>
      </c>
      <c r="C1039" s="4"/>
      <c r="D1039" s="4"/>
      <c r="E1039" s="4"/>
      <c r="F1039" s="29">
        <f>F1040</f>
        <v>444834.98</v>
      </c>
      <c r="G1039" s="29"/>
    </row>
    <row r="1040" spans="1:7" ht="114" customHeight="1">
      <c r="A1040" s="27" t="s">
        <v>506</v>
      </c>
      <c r="B1040" s="4" t="s">
        <v>1179</v>
      </c>
      <c r="C1040" s="4" t="s">
        <v>604</v>
      </c>
      <c r="D1040" s="4"/>
      <c r="E1040" s="4"/>
      <c r="F1040" s="29">
        <f>F1041</f>
        <v>444834.98</v>
      </c>
      <c r="G1040" s="29"/>
    </row>
    <row r="1041" spans="1:7" ht="24.75" customHeight="1">
      <c r="A1041" s="3" t="s">
        <v>59</v>
      </c>
      <c r="B1041" s="4" t="s">
        <v>1179</v>
      </c>
      <c r="C1041" s="4" t="s">
        <v>604</v>
      </c>
      <c r="D1041" s="4" t="s">
        <v>917</v>
      </c>
      <c r="E1041" s="4"/>
      <c r="F1041" s="29">
        <f>F1042</f>
        <v>444834.98</v>
      </c>
      <c r="G1041" s="29"/>
    </row>
    <row r="1042" spans="1:7" ht="114" customHeight="1">
      <c r="A1042" s="59" t="s">
        <v>599</v>
      </c>
      <c r="B1042" s="4" t="s">
        <v>1179</v>
      </c>
      <c r="C1042" s="4" t="s">
        <v>604</v>
      </c>
      <c r="D1042" s="4" t="s">
        <v>917</v>
      </c>
      <c r="E1042" s="4" t="s">
        <v>50</v>
      </c>
      <c r="F1042" s="29">
        <f>прил6!F70</f>
        <v>444834.98</v>
      </c>
      <c r="G1042" s="29"/>
    </row>
    <row r="1043" spans="1:7" ht="115.5" customHeight="1">
      <c r="A1043" s="27" t="s">
        <v>587</v>
      </c>
      <c r="B1043" s="4" t="s">
        <v>723</v>
      </c>
      <c r="C1043" s="4"/>
      <c r="D1043" s="4"/>
      <c r="E1043" s="4"/>
      <c r="F1043" s="29">
        <f>F1044</f>
        <v>397648</v>
      </c>
      <c r="G1043" s="29"/>
    </row>
    <row r="1044" spans="1:7" ht="110.25">
      <c r="A1044" s="27" t="s">
        <v>506</v>
      </c>
      <c r="B1044" s="4" t="s">
        <v>723</v>
      </c>
      <c r="C1044" s="4" t="s">
        <v>604</v>
      </c>
      <c r="D1044" s="4"/>
      <c r="E1044" s="4"/>
      <c r="F1044" s="29">
        <f>F1045</f>
        <v>397648</v>
      </c>
      <c r="G1044" s="29"/>
    </row>
    <row r="1045" spans="1:7" ht="31.5">
      <c r="A1045" s="3" t="s">
        <v>59</v>
      </c>
      <c r="B1045" s="4" t="s">
        <v>723</v>
      </c>
      <c r="C1045" s="4" t="s">
        <v>604</v>
      </c>
      <c r="D1045" s="4" t="s">
        <v>917</v>
      </c>
      <c r="E1045" s="4"/>
      <c r="F1045" s="29">
        <f>F1046</f>
        <v>397648</v>
      </c>
      <c r="G1045" s="29"/>
    </row>
    <row r="1046" spans="1:7" ht="117.75" customHeight="1">
      <c r="A1046" s="59" t="s">
        <v>599</v>
      </c>
      <c r="B1046" s="4" t="s">
        <v>723</v>
      </c>
      <c r="C1046" s="4" t="s">
        <v>604</v>
      </c>
      <c r="D1046" s="4" t="s">
        <v>917</v>
      </c>
      <c r="E1046" s="4" t="s">
        <v>50</v>
      </c>
      <c r="F1046" s="29">
        <f>прил6!F72</f>
        <v>397648</v>
      </c>
      <c r="G1046" s="29"/>
    </row>
    <row r="1047" spans="1:7" ht="63">
      <c r="A1047" s="27" t="s">
        <v>448</v>
      </c>
      <c r="B1047" s="4" t="s">
        <v>449</v>
      </c>
      <c r="C1047" s="4"/>
      <c r="D1047" s="4"/>
      <c r="E1047" s="4"/>
      <c r="F1047" s="29">
        <f>F1048</f>
        <v>1758900</v>
      </c>
      <c r="G1047" s="29">
        <f>G1048</f>
        <v>1758900</v>
      </c>
    </row>
    <row r="1048" spans="1:7" ht="157.5">
      <c r="A1048" s="3" t="s">
        <v>450</v>
      </c>
      <c r="B1048" s="4" t="s">
        <v>451</v>
      </c>
      <c r="C1048" s="4"/>
      <c r="D1048" s="4"/>
      <c r="E1048" s="4"/>
      <c r="F1048" s="29">
        <f>F1049+F1052</f>
        <v>1758900</v>
      </c>
      <c r="G1048" s="29">
        <f>G1049+G1052</f>
        <v>1758900</v>
      </c>
    </row>
    <row r="1049" spans="1:7" ht="110.25">
      <c r="A1049" s="3" t="s">
        <v>92</v>
      </c>
      <c r="B1049" s="4" t="s">
        <v>451</v>
      </c>
      <c r="C1049" s="4" t="s">
        <v>604</v>
      </c>
      <c r="D1049" s="4"/>
      <c r="E1049" s="4"/>
      <c r="F1049" s="29">
        <f>F1050</f>
        <v>1659283.14</v>
      </c>
      <c r="G1049" s="29">
        <f>F1049</f>
        <v>1659283.14</v>
      </c>
    </row>
    <row r="1050" spans="1:7" ht="36" customHeight="1">
      <c r="A1050" s="59" t="s">
        <v>60</v>
      </c>
      <c r="B1050" s="4" t="s">
        <v>451</v>
      </c>
      <c r="C1050" s="4" t="s">
        <v>604</v>
      </c>
      <c r="D1050" s="4" t="s">
        <v>47</v>
      </c>
      <c r="E1050" s="4"/>
      <c r="F1050" s="29">
        <f>F1051</f>
        <v>1659283.14</v>
      </c>
      <c r="G1050" s="29">
        <f>F1050</f>
        <v>1659283.14</v>
      </c>
    </row>
    <row r="1051" spans="1:7" ht="31.5">
      <c r="A1051" s="59" t="s">
        <v>603</v>
      </c>
      <c r="B1051" s="4" t="s">
        <v>451</v>
      </c>
      <c r="C1051" s="4" t="s">
        <v>604</v>
      </c>
      <c r="D1051" s="4" t="s">
        <v>47</v>
      </c>
      <c r="E1051" s="4" t="s">
        <v>50</v>
      </c>
      <c r="F1051" s="29">
        <f>прил6!F257</f>
        <v>1659283.14</v>
      </c>
      <c r="G1051" s="29">
        <f>F1051</f>
        <v>1659283.14</v>
      </c>
    </row>
    <row r="1052" spans="1:7" ht="47.25">
      <c r="A1052" s="3" t="s">
        <v>701</v>
      </c>
      <c r="B1052" s="4" t="s">
        <v>451</v>
      </c>
      <c r="C1052" s="4" t="s">
        <v>605</v>
      </c>
      <c r="D1052" s="4"/>
      <c r="E1052" s="4"/>
      <c r="F1052" s="29">
        <f>F1053</f>
        <v>99616.86</v>
      </c>
      <c r="G1052" s="29">
        <f>G1053</f>
        <v>99616.86</v>
      </c>
    </row>
    <row r="1053" spans="1:7" ht="47.25">
      <c r="A1053" s="59" t="s">
        <v>60</v>
      </c>
      <c r="B1053" s="4" t="s">
        <v>451</v>
      </c>
      <c r="C1053" s="4" t="s">
        <v>605</v>
      </c>
      <c r="D1053" s="4" t="s">
        <v>47</v>
      </c>
      <c r="E1053" s="4"/>
      <c r="F1053" s="29">
        <f>F1054</f>
        <v>99616.86</v>
      </c>
      <c r="G1053" s="29">
        <f>G1054</f>
        <v>99616.86</v>
      </c>
    </row>
    <row r="1054" spans="1:7" ht="31.5">
      <c r="A1054" s="59" t="s">
        <v>603</v>
      </c>
      <c r="B1054" s="4" t="s">
        <v>451</v>
      </c>
      <c r="C1054" s="4" t="s">
        <v>605</v>
      </c>
      <c r="D1054" s="4" t="s">
        <v>47</v>
      </c>
      <c r="E1054" s="4" t="s">
        <v>50</v>
      </c>
      <c r="F1054" s="29">
        <f>прил6!F258</f>
        <v>99616.86</v>
      </c>
      <c r="G1054" s="29">
        <f>F1054</f>
        <v>99616.86</v>
      </c>
    </row>
    <row r="1055" spans="1:7" ht="47.25">
      <c r="A1055" s="3" t="s">
        <v>728</v>
      </c>
      <c r="B1055" s="4" t="s">
        <v>729</v>
      </c>
      <c r="C1055" s="4"/>
      <c r="D1055" s="4"/>
      <c r="E1055" s="4"/>
      <c r="F1055" s="29">
        <f>F1056+F1060</f>
        <v>1020000</v>
      </c>
      <c r="G1055" s="29">
        <f>G1056+G1060</f>
        <v>1020000</v>
      </c>
    </row>
    <row r="1056" spans="1:7" ht="189">
      <c r="A1056" s="3" t="s">
        <v>0</v>
      </c>
      <c r="B1056" s="4" t="s">
        <v>730</v>
      </c>
      <c r="C1056" s="4"/>
      <c r="D1056" s="4"/>
      <c r="E1056" s="4"/>
      <c r="F1056" s="29">
        <f aca="true" t="shared" si="15" ref="F1056:G1058">F1057</f>
        <v>6000</v>
      </c>
      <c r="G1056" s="29">
        <f t="shared" si="15"/>
        <v>6000</v>
      </c>
    </row>
    <row r="1057" spans="1:7" ht="47.25">
      <c r="A1057" s="3" t="s">
        <v>701</v>
      </c>
      <c r="B1057" s="4" t="s">
        <v>730</v>
      </c>
      <c r="C1057" s="4" t="s">
        <v>605</v>
      </c>
      <c r="D1057" s="4"/>
      <c r="E1057" s="4"/>
      <c r="F1057" s="29">
        <f t="shared" si="15"/>
        <v>6000</v>
      </c>
      <c r="G1057" s="29">
        <f t="shared" si="15"/>
        <v>6000</v>
      </c>
    </row>
    <row r="1058" spans="1:7" ht="22.5" customHeight="1">
      <c r="A1058" s="3" t="s">
        <v>59</v>
      </c>
      <c r="B1058" s="4" t="s">
        <v>730</v>
      </c>
      <c r="C1058" s="4" t="s">
        <v>605</v>
      </c>
      <c r="D1058" s="4" t="s">
        <v>917</v>
      </c>
      <c r="E1058" s="4"/>
      <c r="F1058" s="29">
        <f t="shared" si="15"/>
        <v>6000</v>
      </c>
      <c r="G1058" s="29">
        <f t="shared" si="15"/>
        <v>6000</v>
      </c>
    </row>
    <row r="1059" spans="1:7" ht="47.25" customHeight="1">
      <c r="A1059" s="3" t="s">
        <v>741</v>
      </c>
      <c r="B1059" s="4" t="s">
        <v>730</v>
      </c>
      <c r="C1059" s="4" t="s">
        <v>605</v>
      </c>
      <c r="D1059" s="4" t="s">
        <v>917</v>
      </c>
      <c r="E1059" s="4" t="s">
        <v>602</v>
      </c>
      <c r="F1059" s="29">
        <f>прил6!F160</f>
        <v>6000</v>
      </c>
      <c r="G1059" s="29">
        <f>F1059</f>
        <v>6000</v>
      </c>
    </row>
    <row r="1060" spans="1:7" ht="47.25">
      <c r="A1060" s="3" t="s">
        <v>731</v>
      </c>
      <c r="B1060" s="4" t="s">
        <v>732</v>
      </c>
      <c r="C1060" s="4"/>
      <c r="D1060" s="4"/>
      <c r="E1060" s="4"/>
      <c r="F1060" s="29">
        <f>F1061+F1064</f>
        <v>1014000</v>
      </c>
      <c r="G1060" s="29">
        <f>G1061+G1064</f>
        <v>1014000</v>
      </c>
    </row>
    <row r="1061" spans="1:7" ht="110.25">
      <c r="A1061" s="3" t="s">
        <v>92</v>
      </c>
      <c r="B1061" s="4" t="s">
        <v>732</v>
      </c>
      <c r="C1061" s="4" t="s">
        <v>604</v>
      </c>
      <c r="D1061" s="4"/>
      <c r="E1061" s="4"/>
      <c r="F1061" s="29">
        <f>F1062</f>
        <v>849376.4</v>
      </c>
      <c r="G1061" s="29">
        <f>G1062</f>
        <v>849376.4</v>
      </c>
    </row>
    <row r="1062" spans="1:7" ht="31.5">
      <c r="A1062" s="3" t="s">
        <v>59</v>
      </c>
      <c r="B1062" s="4" t="s">
        <v>732</v>
      </c>
      <c r="C1062" s="4" t="s">
        <v>604</v>
      </c>
      <c r="D1062" s="4" t="s">
        <v>917</v>
      </c>
      <c r="E1062" s="4"/>
      <c r="F1062" s="29">
        <f>F1063</f>
        <v>849376.4</v>
      </c>
      <c r="G1062" s="29">
        <f>G1063</f>
        <v>849376.4</v>
      </c>
    </row>
    <row r="1063" spans="1:7" ht="31.5">
      <c r="A1063" s="3" t="s">
        <v>741</v>
      </c>
      <c r="B1063" s="4" t="s">
        <v>732</v>
      </c>
      <c r="C1063" s="4" t="s">
        <v>604</v>
      </c>
      <c r="D1063" s="4" t="s">
        <v>917</v>
      </c>
      <c r="E1063" s="4" t="s">
        <v>602</v>
      </c>
      <c r="F1063" s="29">
        <f>прил6!F162</f>
        <v>849376.4</v>
      </c>
      <c r="G1063" s="29">
        <f>F1063</f>
        <v>849376.4</v>
      </c>
    </row>
    <row r="1064" spans="1:7" ht="51.75" customHeight="1">
      <c r="A1064" s="3" t="s">
        <v>701</v>
      </c>
      <c r="B1064" s="4" t="s">
        <v>732</v>
      </c>
      <c r="C1064" s="4" t="s">
        <v>605</v>
      </c>
      <c r="D1064" s="4"/>
      <c r="E1064" s="4"/>
      <c r="F1064" s="29">
        <f>F1065</f>
        <v>164623.6</v>
      </c>
      <c r="G1064" s="29">
        <f>F1064</f>
        <v>164623.6</v>
      </c>
    </row>
    <row r="1065" spans="1:7" ht="31.5">
      <c r="A1065" s="3" t="s">
        <v>59</v>
      </c>
      <c r="B1065" s="4" t="s">
        <v>732</v>
      </c>
      <c r="C1065" s="4" t="s">
        <v>605</v>
      </c>
      <c r="D1065" s="4" t="s">
        <v>917</v>
      </c>
      <c r="E1065" s="4"/>
      <c r="F1065" s="29">
        <f>F1066</f>
        <v>164623.6</v>
      </c>
      <c r="G1065" s="29">
        <f>F1065</f>
        <v>164623.6</v>
      </c>
    </row>
    <row r="1066" spans="1:7" ht="31.5">
      <c r="A1066" s="3" t="s">
        <v>741</v>
      </c>
      <c r="B1066" s="4" t="s">
        <v>732</v>
      </c>
      <c r="C1066" s="4" t="s">
        <v>605</v>
      </c>
      <c r="D1066" s="4" t="s">
        <v>917</v>
      </c>
      <c r="E1066" s="4" t="s">
        <v>602</v>
      </c>
      <c r="F1066" s="29">
        <f>прил6!F163</f>
        <v>164623.6</v>
      </c>
      <c r="G1066" s="29">
        <f>F1066</f>
        <v>164623.6</v>
      </c>
    </row>
    <row r="1067" spans="1:7" ht="63">
      <c r="A1067" s="59" t="s">
        <v>444</v>
      </c>
      <c r="B1067" s="4" t="s">
        <v>323</v>
      </c>
      <c r="C1067" s="4"/>
      <c r="D1067" s="4"/>
      <c r="E1067" s="4"/>
      <c r="F1067" s="29">
        <f>F1068</f>
        <v>1233400</v>
      </c>
      <c r="G1067" s="29">
        <f>G1068</f>
        <v>1233400</v>
      </c>
    </row>
    <row r="1068" spans="1:7" ht="78.75">
      <c r="A1068" s="59" t="s">
        <v>614</v>
      </c>
      <c r="B1068" s="4" t="s">
        <v>615</v>
      </c>
      <c r="C1068" s="4"/>
      <c r="D1068" s="4"/>
      <c r="E1068" s="4"/>
      <c r="F1068" s="29">
        <f>F1069+F1072</f>
        <v>1233400</v>
      </c>
      <c r="G1068" s="29">
        <f>G1069+G1072</f>
        <v>1233400</v>
      </c>
    </row>
    <row r="1069" spans="1:7" ht="110.25">
      <c r="A1069" s="3" t="s">
        <v>92</v>
      </c>
      <c r="B1069" s="4" t="s">
        <v>615</v>
      </c>
      <c r="C1069" s="4" t="s">
        <v>604</v>
      </c>
      <c r="D1069" s="4"/>
      <c r="E1069" s="4"/>
      <c r="F1069" s="29">
        <f>F1070</f>
        <v>1094586.29</v>
      </c>
      <c r="G1069" s="29">
        <f aca="true" t="shared" si="16" ref="G1069:G1087">F1069</f>
        <v>1094586.29</v>
      </c>
    </row>
    <row r="1070" spans="1:7" ht="31.5">
      <c r="A1070" s="3" t="s">
        <v>54</v>
      </c>
      <c r="B1070" s="4" t="s">
        <v>615</v>
      </c>
      <c r="C1070" s="4" t="s">
        <v>604</v>
      </c>
      <c r="D1070" s="4" t="s">
        <v>48</v>
      </c>
      <c r="E1070" s="4"/>
      <c r="F1070" s="29">
        <f>F1071</f>
        <v>1094586.29</v>
      </c>
      <c r="G1070" s="29">
        <f t="shared" si="16"/>
        <v>1094586.29</v>
      </c>
    </row>
    <row r="1071" spans="1:7" ht="31.5">
      <c r="A1071" s="3" t="s">
        <v>445</v>
      </c>
      <c r="B1071" s="4" t="s">
        <v>615</v>
      </c>
      <c r="C1071" s="4" t="s">
        <v>604</v>
      </c>
      <c r="D1071" s="4" t="s">
        <v>48</v>
      </c>
      <c r="E1071" s="4" t="s">
        <v>50</v>
      </c>
      <c r="F1071" s="29">
        <f>прил6!F822</f>
        <v>1094586.29</v>
      </c>
      <c r="G1071" s="29">
        <f t="shared" si="16"/>
        <v>1094586.29</v>
      </c>
    </row>
    <row r="1072" spans="1:7" ht="47.25">
      <c r="A1072" s="3" t="s">
        <v>701</v>
      </c>
      <c r="B1072" s="4" t="s">
        <v>615</v>
      </c>
      <c r="C1072" s="4" t="s">
        <v>605</v>
      </c>
      <c r="D1072" s="4"/>
      <c r="E1072" s="4"/>
      <c r="F1072" s="29">
        <f>F1073</f>
        <v>138813.71</v>
      </c>
      <c r="G1072" s="29">
        <f t="shared" si="16"/>
        <v>138813.71</v>
      </c>
    </row>
    <row r="1073" spans="1:7" ht="31.5">
      <c r="A1073" s="3" t="s">
        <v>54</v>
      </c>
      <c r="B1073" s="4" t="s">
        <v>615</v>
      </c>
      <c r="C1073" s="4" t="s">
        <v>605</v>
      </c>
      <c r="D1073" s="4" t="s">
        <v>48</v>
      </c>
      <c r="E1073" s="4"/>
      <c r="F1073" s="29">
        <f>F1074</f>
        <v>138813.71</v>
      </c>
      <c r="G1073" s="29">
        <f t="shared" si="16"/>
        <v>138813.71</v>
      </c>
    </row>
    <row r="1074" spans="1:7" ht="31.5">
      <c r="A1074" s="3" t="s">
        <v>445</v>
      </c>
      <c r="B1074" s="4" t="s">
        <v>615</v>
      </c>
      <c r="C1074" s="4" t="s">
        <v>605</v>
      </c>
      <c r="D1074" s="4" t="s">
        <v>48</v>
      </c>
      <c r="E1074" s="4" t="s">
        <v>50</v>
      </c>
      <c r="F1074" s="29">
        <f>прил6!F823</f>
        <v>138813.71</v>
      </c>
      <c r="G1074" s="29">
        <f t="shared" si="16"/>
        <v>138813.71</v>
      </c>
    </row>
    <row r="1075" spans="1:7" ht="157.5">
      <c r="A1075" s="3" t="s">
        <v>532</v>
      </c>
      <c r="B1075" s="4" t="s">
        <v>322</v>
      </c>
      <c r="C1075" s="4"/>
      <c r="D1075" s="4"/>
      <c r="E1075" s="4"/>
      <c r="F1075" s="29">
        <f>F1076</f>
        <v>136400</v>
      </c>
      <c r="G1075" s="29">
        <f t="shared" si="16"/>
        <v>136400</v>
      </c>
    </row>
    <row r="1076" spans="1:7" ht="157.5">
      <c r="A1076" s="3" t="s">
        <v>616</v>
      </c>
      <c r="B1076" s="4" t="s">
        <v>617</v>
      </c>
      <c r="C1076" s="4"/>
      <c r="D1076" s="4"/>
      <c r="E1076" s="4"/>
      <c r="F1076" s="29">
        <f>F1077+F1080</f>
        <v>136400</v>
      </c>
      <c r="G1076" s="29">
        <f>G1077+G1080</f>
        <v>136400</v>
      </c>
    </row>
    <row r="1077" spans="1:7" ht="110.25">
      <c r="A1077" s="3" t="s">
        <v>92</v>
      </c>
      <c r="B1077" s="4" t="s">
        <v>617</v>
      </c>
      <c r="C1077" s="4" t="s">
        <v>604</v>
      </c>
      <c r="D1077" s="4"/>
      <c r="E1077" s="4"/>
      <c r="F1077" s="29">
        <f>F1078</f>
        <v>130400</v>
      </c>
      <c r="G1077" s="29">
        <f t="shared" si="16"/>
        <v>130400</v>
      </c>
    </row>
    <row r="1078" spans="1:7" ht="31.5">
      <c r="A1078" s="3" t="s">
        <v>54</v>
      </c>
      <c r="B1078" s="4" t="s">
        <v>617</v>
      </c>
      <c r="C1078" s="4" t="s">
        <v>604</v>
      </c>
      <c r="D1078" s="4" t="s">
        <v>48</v>
      </c>
      <c r="E1078" s="4"/>
      <c r="F1078" s="29">
        <f>F1079</f>
        <v>130400</v>
      </c>
      <c r="G1078" s="29">
        <f t="shared" si="16"/>
        <v>130400</v>
      </c>
    </row>
    <row r="1079" spans="1:7" ht="31.5">
      <c r="A1079" s="3" t="s">
        <v>445</v>
      </c>
      <c r="B1079" s="4" t="s">
        <v>617</v>
      </c>
      <c r="C1079" s="4" t="s">
        <v>604</v>
      </c>
      <c r="D1079" s="4" t="s">
        <v>48</v>
      </c>
      <c r="E1079" s="4" t="s">
        <v>50</v>
      </c>
      <c r="F1079" s="29">
        <f>прил6!F826</f>
        <v>130400</v>
      </c>
      <c r="G1079" s="29">
        <f t="shared" si="16"/>
        <v>130400</v>
      </c>
    </row>
    <row r="1080" spans="1:7" ht="47.25">
      <c r="A1080" s="3" t="s">
        <v>701</v>
      </c>
      <c r="B1080" s="4" t="s">
        <v>617</v>
      </c>
      <c r="C1080" s="4" t="s">
        <v>605</v>
      </c>
      <c r="D1080" s="4"/>
      <c r="E1080" s="4"/>
      <c r="F1080" s="29">
        <f>F1081</f>
        <v>6000</v>
      </c>
      <c r="G1080" s="29">
        <f t="shared" si="16"/>
        <v>6000</v>
      </c>
    </row>
    <row r="1081" spans="1:7" ht="31.5">
      <c r="A1081" s="3" t="s">
        <v>54</v>
      </c>
      <c r="B1081" s="4" t="s">
        <v>617</v>
      </c>
      <c r="C1081" s="4" t="s">
        <v>605</v>
      </c>
      <c r="D1081" s="4" t="s">
        <v>48</v>
      </c>
      <c r="E1081" s="4"/>
      <c r="F1081" s="29">
        <f>F1082</f>
        <v>6000</v>
      </c>
      <c r="G1081" s="29">
        <f>G1082</f>
        <v>6000</v>
      </c>
    </row>
    <row r="1082" spans="1:7" ht="31.5">
      <c r="A1082" s="3" t="s">
        <v>445</v>
      </c>
      <c r="B1082" s="4" t="s">
        <v>617</v>
      </c>
      <c r="C1082" s="4" t="s">
        <v>605</v>
      </c>
      <c r="D1082" s="4" t="s">
        <v>48</v>
      </c>
      <c r="E1082" s="4" t="s">
        <v>50</v>
      </c>
      <c r="F1082" s="29">
        <f>прил6!F827</f>
        <v>6000</v>
      </c>
      <c r="G1082" s="29">
        <f>F1082</f>
        <v>6000</v>
      </c>
    </row>
    <row r="1083" spans="1:7" ht="78.75">
      <c r="A1083" s="3" t="s">
        <v>318</v>
      </c>
      <c r="B1083" s="4" t="s">
        <v>319</v>
      </c>
      <c r="C1083" s="4"/>
      <c r="D1083" s="4"/>
      <c r="E1083" s="4"/>
      <c r="F1083" s="29">
        <f>F1084</f>
        <v>38200</v>
      </c>
      <c r="G1083" s="29">
        <f t="shared" si="16"/>
        <v>38200</v>
      </c>
    </row>
    <row r="1084" spans="1:7" ht="157.5">
      <c r="A1084" s="3" t="s">
        <v>1038</v>
      </c>
      <c r="B1084" s="4" t="s">
        <v>320</v>
      </c>
      <c r="C1084" s="4"/>
      <c r="D1084" s="4"/>
      <c r="E1084" s="4"/>
      <c r="F1084" s="29">
        <f>F1085</f>
        <v>38200</v>
      </c>
      <c r="G1084" s="29">
        <f t="shared" si="16"/>
        <v>38200</v>
      </c>
    </row>
    <row r="1085" spans="1:7" ht="110.25">
      <c r="A1085" s="3" t="s">
        <v>92</v>
      </c>
      <c r="B1085" s="4" t="s">
        <v>320</v>
      </c>
      <c r="C1085" s="4" t="s">
        <v>604</v>
      </c>
      <c r="D1085" s="4"/>
      <c r="E1085" s="4"/>
      <c r="F1085" s="29">
        <f>F1086</f>
        <v>38200</v>
      </c>
      <c r="G1085" s="29">
        <f t="shared" si="16"/>
        <v>38200</v>
      </c>
    </row>
    <row r="1086" spans="1:7" ht="31.5">
      <c r="A1086" s="3" t="s">
        <v>61</v>
      </c>
      <c r="B1086" s="4" t="s">
        <v>320</v>
      </c>
      <c r="C1086" s="4" t="s">
        <v>604</v>
      </c>
      <c r="D1086" s="4" t="s">
        <v>50</v>
      </c>
      <c r="E1086" s="4"/>
      <c r="F1086" s="29">
        <f>F1087</f>
        <v>38200</v>
      </c>
      <c r="G1086" s="29">
        <f t="shared" si="16"/>
        <v>38200</v>
      </c>
    </row>
    <row r="1087" spans="1:7" ht="31.5">
      <c r="A1087" s="3" t="s">
        <v>63</v>
      </c>
      <c r="B1087" s="4" t="s">
        <v>320</v>
      </c>
      <c r="C1087" s="4" t="s">
        <v>604</v>
      </c>
      <c r="D1087" s="4" t="s">
        <v>50</v>
      </c>
      <c r="E1087" s="4" t="s">
        <v>600</v>
      </c>
      <c r="F1087" s="29">
        <f>прил6!F366</f>
        <v>38200</v>
      </c>
      <c r="G1087" s="29">
        <f t="shared" si="16"/>
        <v>38200</v>
      </c>
    </row>
    <row r="1088" spans="1:7" ht="90" customHeight="1">
      <c r="A1088" s="27" t="s">
        <v>121</v>
      </c>
      <c r="B1088" s="4" t="s">
        <v>621</v>
      </c>
      <c r="C1088" s="4"/>
      <c r="D1088" s="4"/>
      <c r="E1088" s="4"/>
      <c r="F1088" s="29">
        <f>F1089+F1107+F1112+F1102</f>
        <v>13725606.71</v>
      </c>
      <c r="G1088" s="29"/>
    </row>
    <row r="1089" spans="1:7" ht="47.25">
      <c r="A1089" s="27" t="s">
        <v>622</v>
      </c>
      <c r="B1089" s="4" t="s">
        <v>623</v>
      </c>
      <c r="C1089" s="4"/>
      <c r="D1089" s="4"/>
      <c r="E1089" s="4"/>
      <c r="F1089" s="29">
        <f>F1090+F1095+F1098</f>
        <v>11049312</v>
      </c>
      <c r="G1089" s="29"/>
    </row>
    <row r="1090" spans="1:7" ht="47.25">
      <c r="A1090" s="27" t="s">
        <v>589</v>
      </c>
      <c r="B1090" s="4" t="s">
        <v>624</v>
      </c>
      <c r="C1090" s="4"/>
      <c r="D1090" s="4"/>
      <c r="E1090" s="4"/>
      <c r="F1090" s="29">
        <f>F1091</f>
        <v>10799597</v>
      </c>
      <c r="G1090" s="29"/>
    </row>
    <row r="1091" spans="1:7" ht="110.25">
      <c r="A1091" s="27" t="s">
        <v>506</v>
      </c>
      <c r="B1091" s="4" t="s">
        <v>624</v>
      </c>
      <c r="C1091" s="4" t="s">
        <v>604</v>
      </c>
      <c r="D1091" s="4"/>
      <c r="E1091" s="4"/>
      <c r="F1091" s="29">
        <f>F1092</f>
        <v>10799597</v>
      </c>
      <c r="G1091" s="29"/>
    </row>
    <row r="1092" spans="1:7" ht="31.5">
      <c r="A1092" s="3" t="s">
        <v>59</v>
      </c>
      <c r="B1092" s="4" t="s">
        <v>624</v>
      </c>
      <c r="C1092" s="4" t="s">
        <v>604</v>
      </c>
      <c r="D1092" s="4" t="s">
        <v>917</v>
      </c>
      <c r="E1092" s="4"/>
      <c r="F1092" s="29">
        <f>F1093</f>
        <v>10799597</v>
      </c>
      <c r="G1092" s="29"/>
    </row>
    <row r="1093" spans="1:7" ht="107.25" customHeight="1">
      <c r="A1093" s="59" t="s">
        <v>599</v>
      </c>
      <c r="B1093" s="4" t="s">
        <v>624</v>
      </c>
      <c r="C1093" s="4" t="s">
        <v>604</v>
      </c>
      <c r="D1093" s="4" t="s">
        <v>917</v>
      </c>
      <c r="E1093" s="4" t="s">
        <v>50</v>
      </c>
      <c r="F1093" s="29">
        <f>прил6!F76</f>
        <v>10799597</v>
      </c>
      <c r="G1093" s="29"/>
    </row>
    <row r="1094" spans="1:7" ht="47.25">
      <c r="A1094" s="27" t="s">
        <v>590</v>
      </c>
      <c r="B1094" s="4" t="s">
        <v>625</v>
      </c>
      <c r="C1094" s="4"/>
      <c r="D1094" s="4"/>
      <c r="E1094" s="4"/>
      <c r="F1094" s="29">
        <f>F1095</f>
        <v>750</v>
      </c>
      <c r="G1094" s="29"/>
    </row>
    <row r="1095" spans="1:7" ht="110.25">
      <c r="A1095" s="27" t="s">
        <v>506</v>
      </c>
      <c r="B1095" s="4" t="s">
        <v>625</v>
      </c>
      <c r="C1095" s="4" t="s">
        <v>604</v>
      </c>
      <c r="D1095" s="4"/>
      <c r="E1095" s="4"/>
      <c r="F1095" s="29">
        <f>F1096</f>
        <v>750</v>
      </c>
      <c r="G1095" s="29"/>
    </row>
    <row r="1096" spans="1:7" ht="31.5">
      <c r="A1096" s="3" t="s">
        <v>59</v>
      </c>
      <c r="B1096" s="4" t="s">
        <v>625</v>
      </c>
      <c r="C1096" s="4" t="s">
        <v>604</v>
      </c>
      <c r="D1096" s="4" t="s">
        <v>917</v>
      </c>
      <c r="E1096" s="4"/>
      <c r="F1096" s="29">
        <f>F1097</f>
        <v>750</v>
      </c>
      <c r="G1096" s="29"/>
    </row>
    <row r="1097" spans="1:7" ht="94.5">
      <c r="A1097" s="59" t="s">
        <v>599</v>
      </c>
      <c r="B1097" s="4" t="s">
        <v>625</v>
      </c>
      <c r="C1097" s="4" t="s">
        <v>604</v>
      </c>
      <c r="D1097" s="4" t="s">
        <v>917</v>
      </c>
      <c r="E1097" s="4" t="s">
        <v>50</v>
      </c>
      <c r="F1097" s="29">
        <f>прил6!F78</f>
        <v>750</v>
      </c>
      <c r="G1097" s="29"/>
    </row>
    <row r="1098" spans="1:7" ht="94.5">
      <c r="A1098" s="27" t="s">
        <v>587</v>
      </c>
      <c r="B1098" s="4" t="s">
        <v>626</v>
      </c>
      <c r="C1098" s="4"/>
      <c r="D1098" s="4"/>
      <c r="E1098" s="4"/>
      <c r="F1098" s="29">
        <f>F1099</f>
        <v>248965</v>
      </c>
      <c r="G1098" s="29"/>
    </row>
    <row r="1099" spans="1:7" ht="110.25">
      <c r="A1099" s="27" t="s">
        <v>506</v>
      </c>
      <c r="B1099" s="4" t="s">
        <v>626</v>
      </c>
      <c r="C1099" s="4" t="s">
        <v>604</v>
      </c>
      <c r="D1099" s="4"/>
      <c r="E1099" s="4"/>
      <c r="F1099" s="29">
        <f>F1100</f>
        <v>248965</v>
      </c>
      <c r="G1099" s="29"/>
    </row>
    <row r="1100" spans="1:7" ht="31.5">
      <c r="A1100" s="3" t="s">
        <v>59</v>
      </c>
      <c r="B1100" s="4" t="s">
        <v>626</v>
      </c>
      <c r="C1100" s="4" t="s">
        <v>604</v>
      </c>
      <c r="D1100" s="4" t="s">
        <v>917</v>
      </c>
      <c r="E1100" s="4"/>
      <c r="F1100" s="37">
        <f>F1101</f>
        <v>248965</v>
      </c>
      <c r="G1100" s="37"/>
    </row>
    <row r="1101" spans="1:7" ht="94.5">
      <c r="A1101" s="59" t="s">
        <v>599</v>
      </c>
      <c r="B1101" s="4" t="s">
        <v>626</v>
      </c>
      <c r="C1101" s="4" t="s">
        <v>604</v>
      </c>
      <c r="D1101" s="4" t="s">
        <v>917</v>
      </c>
      <c r="E1101" s="4" t="s">
        <v>50</v>
      </c>
      <c r="F1101" s="37">
        <f>прил6!F80</f>
        <v>248965</v>
      </c>
      <c r="G1101" s="37"/>
    </row>
    <row r="1102" spans="1:7" ht="110.25">
      <c r="A1102" s="27" t="s">
        <v>775</v>
      </c>
      <c r="B1102" s="4" t="s">
        <v>776</v>
      </c>
      <c r="C1102" s="4"/>
      <c r="D1102" s="4"/>
      <c r="E1102" s="4"/>
      <c r="F1102" s="37">
        <f>F1103</f>
        <v>1967880</v>
      </c>
      <c r="G1102" s="37"/>
    </row>
    <row r="1103" spans="1:7" ht="31.5">
      <c r="A1103" s="27" t="s">
        <v>140</v>
      </c>
      <c r="B1103" s="4" t="s">
        <v>777</v>
      </c>
      <c r="C1103" s="4"/>
      <c r="D1103" s="4"/>
      <c r="E1103" s="4"/>
      <c r="F1103" s="37">
        <f>F1104</f>
        <v>1967880</v>
      </c>
      <c r="G1103" s="37"/>
    </row>
    <row r="1104" spans="1:7" ht="47.25">
      <c r="A1104" s="3" t="s">
        <v>701</v>
      </c>
      <c r="B1104" s="4" t="s">
        <v>777</v>
      </c>
      <c r="C1104" s="4" t="s">
        <v>605</v>
      </c>
      <c r="D1104" s="4"/>
      <c r="E1104" s="4"/>
      <c r="F1104" s="37">
        <f>F1105</f>
        <v>1967880</v>
      </c>
      <c r="G1104" s="37"/>
    </row>
    <row r="1105" spans="1:7" ht="31.5">
      <c r="A1105" s="59" t="s">
        <v>61</v>
      </c>
      <c r="B1105" s="4" t="s">
        <v>777</v>
      </c>
      <c r="C1105" s="4" t="s">
        <v>605</v>
      </c>
      <c r="D1105" s="4" t="s">
        <v>50</v>
      </c>
      <c r="E1105" s="4"/>
      <c r="F1105" s="37">
        <f>F1106</f>
        <v>1967880</v>
      </c>
      <c r="G1105" s="37"/>
    </row>
    <row r="1106" spans="1:7" ht="31.5">
      <c r="A1106" s="59" t="s">
        <v>63</v>
      </c>
      <c r="B1106" s="4" t="s">
        <v>777</v>
      </c>
      <c r="C1106" s="4" t="s">
        <v>605</v>
      </c>
      <c r="D1106" s="4" t="s">
        <v>50</v>
      </c>
      <c r="E1106" s="4" t="s">
        <v>600</v>
      </c>
      <c r="F1106" s="37">
        <f>прил6!F370</f>
        <v>1967880</v>
      </c>
      <c r="G1106" s="37"/>
    </row>
    <row r="1107" spans="1:7" ht="94.5">
      <c r="A1107" s="27" t="s">
        <v>183</v>
      </c>
      <c r="B1107" s="4" t="s">
        <v>184</v>
      </c>
      <c r="C1107" s="4"/>
      <c r="D1107" s="4"/>
      <c r="E1107" s="4"/>
      <c r="F1107" s="37">
        <f>F1108</f>
        <v>182014.70999999996</v>
      </c>
      <c r="G1107" s="37"/>
    </row>
    <row r="1108" spans="1:7" ht="63">
      <c r="A1108" s="27" t="s">
        <v>914</v>
      </c>
      <c r="B1108" s="4" t="s">
        <v>185</v>
      </c>
      <c r="C1108" s="4"/>
      <c r="D1108" s="4"/>
      <c r="E1108" s="4"/>
      <c r="F1108" s="37">
        <f>F1109</f>
        <v>182014.70999999996</v>
      </c>
      <c r="G1108" s="37"/>
    </row>
    <row r="1109" spans="1:7" ht="47.25">
      <c r="A1109" s="3" t="s">
        <v>701</v>
      </c>
      <c r="B1109" s="4" t="s">
        <v>185</v>
      </c>
      <c r="C1109" s="4" t="s">
        <v>605</v>
      </c>
      <c r="D1109" s="4"/>
      <c r="E1109" s="4"/>
      <c r="F1109" s="37">
        <f>F1110</f>
        <v>182014.70999999996</v>
      </c>
      <c r="G1109" s="37"/>
    </row>
    <row r="1110" spans="1:7" ht="31.5">
      <c r="A1110" s="3" t="s">
        <v>59</v>
      </c>
      <c r="B1110" s="4" t="s">
        <v>185</v>
      </c>
      <c r="C1110" s="4" t="s">
        <v>605</v>
      </c>
      <c r="D1110" s="4" t="s">
        <v>917</v>
      </c>
      <c r="E1110" s="4"/>
      <c r="F1110" s="37">
        <f>F1111</f>
        <v>182014.70999999996</v>
      </c>
      <c r="G1110" s="37"/>
    </row>
    <row r="1111" spans="1:7" ht="31.5">
      <c r="A1111" s="3" t="s">
        <v>741</v>
      </c>
      <c r="B1111" s="4" t="s">
        <v>185</v>
      </c>
      <c r="C1111" s="4" t="s">
        <v>605</v>
      </c>
      <c r="D1111" s="4" t="s">
        <v>917</v>
      </c>
      <c r="E1111" s="4" t="s">
        <v>602</v>
      </c>
      <c r="F1111" s="37">
        <f>прил6!F167</f>
        <v>182014.70999999996</v>
      </c>
      <c r="G1111" s="37"/>
    </row>
    <row r="1112" spans="1:7" ht="126">
      <c r="A1112" s="3" t="s">
        <v>1104</v>
      </c>
      <c r="B1112" s="4" t="s">
        <v>250</v>
      </c>
      <c r="C1112" s="4"/>
      <c r="D1112" s="4"/>
      <c r="E1112" s="4"/>
      <c r="F1112" s="37">
        <f>F1113</f>
        <v>526400</v>
      </c>
      <c r="G1112" s="37"/>
    </row>
    <row r="1113" spans="1:7" ht="31.5">
      <c r="A1113" s="3" t="s">
        <v>523</v>
      </c>
      <c r="B1113" s="4" t="s">
        <v>251</v>
      </c>
      <c r="C1113" s="4"/>
      <c r="D1113" s="4"/>
      <c r="E1113" s="4"/>
      <c r="F1113" s="37">
        <f>F1114</f>
        <v>526400</v>
      </c>
      <c r="G1113" s="37"/>
    </row>
    <row r="1114" spans="1:7" ht="47.25">
      <c r="A1114" s="3" t="s">
        <v>701</v>
      </c>
      <c r="B1114" s="4" t="s">
        <v>251</v>
      </c>
      <c r="C1114" s="4" t="s">
        <v>605</v>
      </c>
      <c r="D1114" s="4"/>
      <c r="E1114" s="4"/>
      <c r="F1114" s="37">
        <f>F1115</f>
        <v>526400</v>
      </c>
      <c r="G1114" s="37"/>
    </row>
    <row r="1115" spans="1:7" ht="31.5">
      <c r="A1115" s="3" t="s">
        <v>59</v>
      </c>
      <c r="B1115" s="4" t="s">
        <v>251</v>
      </c>
      <c r="C1115" s="4" t="s">
        <v>605</v>
      </c>
      <c r="D1115" s="4" t="s">
        <v>917</v>
      </c>
      <c r="E1115" s="4"/>
      <c r="F1115" s="37">
        <f>F1116</f>
        <v>526400</v>
      </c>
      <c r="G1115" s="37"/>
    </row>
    <row r="1116" spans="1:7" ht="31.5">
      <c r="A1116" s="3" t="s">
        <v>741</v>
      </c>
      <c r="B1116" s="4" t="s">
        <v>251</v>
      </c>
      <c r="C1116" s="4" t="s">
        <v>605</v>
      </c>
      <c r="D1116" s="4" t="s">
        <v>917</v>
      </c>
      <c r="E1116" s="4" t="s">
        <v>602</v>
      </c>
      <c r="F1116" s="37">
        <f>прил6!F170</f>
        <v>526400</v>
      </c>
      <c r="G1116" s="37"/>
    </row>
    <row r="1117" spans="1:7" ht="78.75">
      <c r="A1117" s="21" t="s">
        <v>139</v>
      </c>
      <c r="B1117" s="4" t="s">
        <v>677</v>
      </c>
      <c r="C1117" s="4"/>
      <c r="D1117" s="4"/>
      <c r="E1117" s="4"/>
      <c r="F1117" s="37">
        <f>F1118</f>
        <v>7034396.5</v>
      </c>
      <c r="G1117" s="37"/>
    </row>
    <row r="1118" spans="1:7" ht="78.75">
      <c r="A1118" s="21" t="s">
        <v>678</v>
      </c>
      <c r="B1118" s="4" t="s">
        <v>679</v>
      </c>
      <c r="C1118" s="4"/>
      <c r="D1118" s="4"/>
      <c r="E1118" s="4"/>
      <c r="F1118" s="37">
        <f>F1119+F1123+F1127</f>
        <v>7034396.5</v>
      </c>
      <c r="G1118" s="37"/>
    </row>
    <row r="1119" spans="1:7" ht="47.25">
      <c r="A1119" s="21" t="s">
        <v>589</v>
      </c>
      <c r="B1119" s="4" t="s">
        <v>680</v>
      </c>
      <c r="C1119" s="4"/>
      <c r="D1119" s="4"/>
      <c r="E1119" s="4"/>
      <c r="F1119" s="37">
        <f>F1120</f>
        <v>6916196.46</v>
      </c>
      <c r="G1119" s="37"/>
    </row>
    <row r="1120" spans="1:7" ht="110.25">
      <c r="A1120" s="21" t="s">
        <v>506</v>
      </c>
      <c r="B1120" s="4" t="s">
        <v>680</v>
      </c>
      <c r="C1120" s="4" t="s">
        <v>604</v>
      </c>
      <c r="D1120" s="4"/>
      <c r="E1120" s="4"/>
      <c r="F1120" s="37">
        <f>F1121</f>
        <v>6916196.46</v>
      </c>
      <c r="G1120" s="37"/>
    </row>
    <row r="1121" spans="1:7" ht="31.5">
      <c r="A1121" s="3" t="s">
        <v>59</v>
      </c>
      <c r="B1121" s="4" t="s">
        <v>680</v>
      </c>
      <c r="C1121" s="4" t="s">
        <v>604</v>
      </c>
      <c r="D1121" s="4" t="s">
        <v>917</v>
      </c>
      <c r="E1121" s="4"/>
      <c r="F1121" s="37">
        <f>F1122</f>
        <v>6916196.46</v>
      </c>
      <c r="G1121" s="37"/>
    </row>
    <row r="1122" spans="1:7" ht="111" customHeight="1">
      <c r="A1122" s="59" t="s">
        <v>599</v>
      </c>
      <c r="B1122" s="4" t="s">
        <v>680</v>
      </c>
      <c r="C1122" s="4" t="s">
        <v>604</v>
      </c>
      <c r="D1122" s="4" t="s">
        <v>917</v>
      </c>
      <c r="E1122" s="4" t="s">
        <v>50</v>
      </c>
      <c r="F1122" s="37">
        <f>прил6!F84</f>
        <v>6916196.46</v>
      </c>
      <c r="G1122" s="37"/>
    </row>
    <row r="1123" spans="1:7" ht="94.5">
      <c r="A1123" s="21" t="s">
        <v>587</v>
      </c>
      <c r="B1123" s="4" t="s">
        <v>681</v>
      </c>
      <c r="C1123" s="4"/>
      <c r="D1123" s="4"/>
      <c r="E1123" s="4"/>
      <c r="F1123" s="37">
        <f>F1124</f>
        <v>105363.54</v>
      </c>
      <c r="G1123" s="37"/>
    </row>
    <row r="1124" spans="1:7" ht="110.25">
      <c r="A1124" s="21" t="s">
        <v>506</v>
      </c>
      <c r="B1124" s="4" t="s">
        <v>681</v>
      </c>
      <c r="C1124" s="4" t="s">
        <v>604</v>
      </c>
      <c r="D1124" s="4"/>
      <c r="E1124" s="4"/>
      <c r="F1124" s="37">
        <f>F1125</f>
        <v>105363.54</v>
      </c>
      <c r="G1124" s="37"/>
    </row>
    <row r="1125" spans="1:7" ht="31.5">
      <c r="A1125" s="3" t="s">
        <v>59</v>
      </c>
      <c r="B1125" s="4" t="s">
        <v>681</v>
      </c>
      <c r="C1125" s="4" t="s">
        <v>604</v>
      </c>
      <c r="D1125" s="4" t="s">
        <v>917</v>
      </c>
      <c r="E1125" s="4"/>
      <c r="F1125" s="37">
        <f>F1126</f>
        <v>105363.54</v>
      </c>
      <c r="G1125" s="37"/>
    </row>
    <row r="1126" spans="1:7" ht="112.5" customHeight="1">
      <c r="A1126" s="59" t="s">
        <v>599</v>
      </c>
      <c r="B1126" s="4" t="s">
        <v>681</v>
      </c>
      <c r="C1126" s="4" t="s">
        <v>604</v>
      </c>
      <c r="D1126" s="4" t="s">
        <v>917</v>
      </c>
      <c r="E1126" s="4" t="s">
        <v>50</v>
      </c>
      <c r="F1126" s="37">
        <f>прил6!F86</f>
        <v>105363.54</v>
      </c>
      <c r="G1126" s="37"/>
    </row>
    <row r="1127" spans="1:7" ht="48" customHeight="1">
      <c r="A1127" s="27" t="s">
        <v>523</v>
      </c>
      <c r="B1127" s="4" t="s">
        <v>1165</v>
      </c>
      <c r="C1127" s="4"/>
      <c r="D1127" s="4"/>
      <c r="E1127" s="4"/>
      <c r="F1127" s="37">
        <f>F1128</f>
        <v>12836.5</v>
      </c>
      <c r="G1127" s="37"/>
    </row>
    <row r="1128" spans="1:7" ht="42.75" customHeight="1">
      <c r="A1128" s="3" t="s">
        <v>565</v>
      </c>
      <c r="B1128" s="4" t="s">
        <v>1165</v>
      </c>
      <c r="C1128" s="4" t="s">
        <v>566</v>
      </c>
      <c r="D1128" s="4"/>
      <c r="E1128" s="4"/>
      <c r="F1128" s="37">
        <f>F1129</f>
        <v>12836.5</v>
      </c>
      <c r="G1128" s="37"/>
    </row>
    <row r="1129" spans="1:7" ht="18" customHeight="1">
      <c r="A1129" s="3" t="s">
        <v>59</v>
      </c>
      <c r="B1129" s="4" t="s">
        <v>1165</v>
      </c>
      <c r="C1129" s="4" t="s">
        <v>566</v>
      </c>
      <c r="D1129" s="4" t="s">
        <v>917</v>
      </c>
      <c r="E1129" s="4"/>
      <c r="F1129" s="37">
        <f>F1130</f>
        <v>12836.5</v>
      </c>
      <c r="G1129" s="37"/>
    </row>
    <row r="1130" spans="1:7" ht="40.5" customHeight="1">
      <c r="A1130" s="3" t="s">
        <v>741</v>
      </c>
      <c r="B1130" s="4" t="s">
        <v>1165</v>
      </c>
      <c r="C1130" s="4" t="s">
        <v>566</v>
      </c>
      <c r="D1130" s="4" t="s">
        <v>917</v>
      </c>
      <c r="E1130" s="4" t="s">
        <v>602</v>
      </c>
      <c r="F1130" s="37">
        <f>прил6!F174</f>
        <v>12836.5</v>
      </c>
      <c r="G1130" s="37"/>
    </row>
    <row r="1131" spans="1:7" ht="31.5">
      <c r="A1131" s="3" t="s">
        <v>122</v>
      </c>
      <c r="B1131" s="4" t="s">
        <v>664</v>
      </c>
      <c r="C1131" s="4"/>
      <c r="D1131" s="4"/>
      <c r="E1131" s="4"/>
      <c r="F1131" s="37">
        <f>F1132</f>
        <v>7486865</v>
      </c>
      <c r="G1131" s="37"/>
    </row>
    <row r="1132" spans="1:7" ht="47.25">
      <c r="A1132" s="3" t="s">
        <v>665</v>
      </c>
      <c r="B1132" s="4" t="s">
        <v>666</v>
      </c>
      <c r="C1132" s="4"/>
      <c r="D1132" s="4"/>
      <c r="E1132" s="4"/>
      <c r="F1132" s="37">
        <f>F1133+F1140</f>
        <v>7486865</v>
      </c>
      <c r="G1132" s="37"/>
    </row>
    <row r="1133" spans="1:7" ht="94.5">
      <c r="A1133" s="3" t="s">
        <v>749</v>
      </c>
      <c r="B1133" s="4" t="s">
        <v>667</v>
      </c>
      <c r="C1133" s="4"/>
      <c r="D1133" s="4"/>
      <c r="E1133" s="4"/>
      <c r="F1133" s="37">
        <f>F1134+F1137</f>
        <v>7364819</v>
      </c>
      <c r="G1133" s="37"/>
    </row>
    <row r="1134" spans="1:7" ht="110.25">
      <c r="A1134" s="3" t="s">
        <v>92</v>
      </c>
      <c r="B1134" s="4" t="s">
        <v>667</v>
      </c>
      <c r="C1134" s="4" t="s">
        <v>604</v>
      </c>
      <c r="D1134" s="4"/>
      <c r="E1134" s="4"/>
      <c r="F1134" s="37">
        <f>F1135</f>
        <v>6006619.18</v>
      </c>
      <c r="G1134" s="37"/>
    </row>
    <row r="1135" spans="1:7" ht="31.5">
      <c r="A1135" s="3" t="s">
        <v>59</v>
      </c>
      <c r="B1135" s="4" t="s">
        <v>667</v>
      </c>
      <c r="C1135" s="4" t="s">
        <v>604</v>
      </c>
      <c r="D1135" s="4" t="s">
        <v>917</v>
      </c>
      <c r="E1135" s="4"/>
      <c r="F1135" s="37">
        <f>F1136</f>
        <v>6006619.18</v>
      </c>
      <c r="G1135" s="37"/>
    </row>
    <row r="1136" spans="1:7" ht="31.5">
      <c r="A1136" s="3" t="s">
        <v>741</v>
      </c>
      <c r="B1136" s="4" t="s">
        <v>667</v>
      </c>
      <c r="C1136" s="4" t="s">
        <v>604</v>
      </c>
      <c r="D1136" s="4" t="s">
        <v>917</v>
      </c>
      <c r="E1136" s="4" t="s">
        <v>602</v>
      </c>
      <c r="F1136" s="37">
        <f>прил6!F178</f>
        <v>6006619.18</v>
      </c>
      <c r="G1136" s="37"/>
    </row>
    <row r="1137" spans="1:7" ht="47.25">
      <c r="A1137" s="3" t="s">
        <v>701</v>
      </c>
      <c r="B1137" s="4" t="s">
        <v>667</v>
      </c>
      <c r="C1137" s="4" t="s">
        <v>605</v>
      </c>
      <c r="D1137" s="4"/>
      <c r="E1137" s="4"/>
      <c r="F1137" s="37">
        <f>F1138</f>
        <v>1358199.82</v>
      </c>
      <c r="G1137" s="37"/>
    </row>
    <row r="1138" spans="1:7" ht="31.5">
      <c r="A1138" s="3" t="s">
        <v>59</v>
      </c>
      <c r="B1138" s="4" t="s">
        <v>667</v>
      </c>
      <c r="C1138" s="4" t="s">
        <v>605</v>
      </c>
      <c r="D1138" s="4" t="s">
        <v>917</v>
      </c>
      <c r="E1138" s="4"/>
      <c r="F1138" s="37">
        <f>F1139</f>
        <v>1358199.82</v>
      </c>
      <c r="G1138" s="37"/>
    </row>
    <row r="1139" spans="1:7" ht="31.5">
      <c r="A1139" s="3" t="s">
        <v>741</v>
      </c>
      <c r="B1139" s="4" t="s">
        <v>667</v>
      </c>
      <c r="C1139" s="4" t="s">
        <v>605</v>
      </c>
      <c r="D1139" s="4" t="s">
        <v>917</v>
      </c>
      <c r="E1139" s="4" t="s">
        <v>602</v>
      </c>
      <c r="F1139" s="37">
        <f>прил6!F179</f>
        <v>1358199.82</v>
      </c>
      <c r="G1139" s="37"/>
    </row>
    <row r="1140" spans="1:7" ht="94.5">
      <c r="A1140" s="3" t="s">
        <v>587</v>
      </c>
      <c r="B1140" s="4" t="s">
        <v>668</v>
      </c>
      <c r="C1140" s="4"/>
      <c r="D1140" s="4"/>
      <c r="E1140" s="4"/>
      <c r="F1140" s="37">
        <f>F1141</f>
        <v>122046</v>
      </c>
      <c r="G1140" s="37"/>
    </row>
    <row r="1141" spans="1:7" ht="110.25">
      <c r="A1141" s="3" t="s">
        <v>506</v>
      </c>
      <c r="B1141" s="4" t="s">
        <v>668</v>
      </c>
      <c r="C1141" s="4" t="s">
        <v>604</v>
      </c>
      <c r="D1141" s="4"/>
      <c r="E1141" s="4"/>
      <c r="F1141" s="37">
        <f>F1142</f>
        <v>122046</v>
      </c>
      <c r="G1141" s="37"/>
    </row>
    <row r="1142" spans="1:7" ht="31.5">
      <c r="A1142" s="3" t="s">
        <v>59</v>
      </c>
      <c r="B1142" s="4" t="s">
        <v>668</v>
      </c>
      <c r="C1142" s="4" t="s">
        <v>604</v>
      </c>
      <c r="D1142" s="4" t="s">
        <v>917</v>
      </c>
      <c r="E1142" s="4"/>
      <c r="F1142" s="37">
        <f>F1143</f>
        <v>122046</v>
      </c>
      <c r="G1142" s="37"/>
    </row>
    <row r="1143" spans="1:7" ht="31.5">
      <c r="A1143" s="3" t="s">
        <v>741</v>
      </c>
      <c r="B1143" s="4" t="s">
        <v>668</v>
      </c>
      <c r="C1143" s="4" t="s">
        <v>604</v>
      </c>
      <c r="D1143" s="4" t="s">
        <v>917</v>
      </c>
      <c r="E1143" s="4" t="s">
        <v>602</v>
      </c>
      <c r="F1143" s="37">
        <f>прил6!F181</f>
        <v>122046</v>
      </c>
      <c r="G1143" s="37"/>
    </row>
    <row r="1144" spans="1:7" ht="78.75">
      <c r="A1144" s="3" t="s">
        <v>2</v>
      </c>
      <c r="B1144" s="4" t="s">
        <v>454</v>
      </c>
      <c r="C1144" s="4"/>
      <c r="D1144" s="4"/>
      <c r="E1144" s="4"/>
      <c r="F1144" s="37">
        <f>F1145+F1160+F1165+F1182+F1173</f>
        <v>25513582.930000003</v>
      </c>
      <c r="G1144" s="37"/>
    </row>
    <row r="1145" spans="1:7" ht="157.5">
      <c r="A1145" s="3" t="s">
        <v>522</v>
      </c>
      <c r="B1145" s="4" t="s">
        <v>455</v>
      </c>
      <c r="C1145" s="4"/>
      <c r="D1145" s="4"/>
      <c r="E1145" s="4"/>
      <c r="F1145" s="37">
        <f>F1146+F1156</f>
        <v>17293300.830000002</v>
      </c>
      <c r="G1145" s="37"/>
    </row>
    <row r="1146" spans="1:7" ht="94.5">
      <c r="A1146" s="3" t="s">
        <v>749</v>
      </c>
      <c r="B1146" s="4" t="s">
        <v>456</v>
      </c>
      <c r="C1146" s="4"/>
      <c r="D1146" s="4"/>
      <c r="E1146" s="4"/>
      <c r="F1146" s="37">
        <f>F1147+F1150+F1153</f>
        <v>17109230.490000002</v>
      </c>
      <c r="G1146" s="37"/>
    </row>
    <row r="1147" spans="1:7" ht="110.25">
      <c r="A1147" s="3" t="s">
        <v>92</v>
      </c>
      <c r="B1147" s="4" t="s">
        <v>456</v>
      </c>
      <c r="C1147" s="4" t="s">
        <v>604</v>
      </c>
      <c r="D1147" s="4"/>
      <c r="E1147" s="4"/>
      <c r="F1147" s="37">
        <f>F1148</f>
        <v>16211031.040000001</v>
      </c>
      <c r="G1147" s="37"/>
    </row>
    <row r="1148" spans="1:7" ht="31.5">
      <c r="A1148" s="3" t="s">
        <v>59</v>
      </c>
      <c r="B1148" s="4" t="s">
        <v>456</v>
      </c>
      <c r="C1148" s="4" t="s">
        <v>604</v>
      </c>
      <c r="D1148" s="4" t="s">
        <v>917</v>
      </c>
      <c r="E1148" s="4"/>
      <c r="F1148" s="37">
        <f>F1149</f>
        <v>16211031.040000001</v>
      </c>
      <c r="G1148" s="37"/>
    </row>
    <row r="1149" spans="1:7" ht="31.5">
      <c r="A1149" s="3" t="s">
        <v>741</v>
      </c>
      <c r="B1149" s="4" t="s">
        <v>456</v>
      </c>
      <c r="C1149" s="4" t="s">
        <v>604</v>
      </c>
      <c r="D1149" s="4" t="s">
        <v>917</v>
      </c>
      <c r="E1149" s="4" t="s">
        <v>602</v>
      </c>
      <c r="F1149" s="37">
        <f>прил6!F185</f>
        <v>16211031.040000001</v>
      </c>
      <c r="G1149" s="37"/>
    </row>
    <row r="1150" spans="1:7" ht="47.25">
      <c r="A1150" s="3" t="s">
        <v>93</v>
      </c>
      <c r="B1150" s="4" t="s">
        <v>456</v>
      </c>
      <c r="C1150" s="4" t="s">
        <v>605</v>
      </c>
      <c r="D1150" s="4"/>
      <c r="E1150" s="4"/>
      <c r="F1150" s="37">
        <f>F1151</f>
        <v>897399.45</v>
      </c>
      <c r="G1150" s="37"/>
    </row>
    <row r="1151" spans="1:7" ht="31.5">
      <c r="A1151" s="3" t="s">
        <v>59</v>
      </c>
      <c r="B1151" s="4" t="s">
        <v>456</v>
      </c>
      <c r="C1151" s="4" t="s">
        <v>605</v>
      </c>
      <c r="D1151" s="4" t="s">
        <v>917</v>
      </c>
      <c r="E1151" s="4"/>
      <c r="F1151" s="37">
        <f>F1152</f>
        <v>897399.45</v>
      </c>
      <c r="G1151" s="37"/>
    </row>
    <row r="1152" spans="1:7" ht="31.5">
      <c r="A1152" s="3" t="s">
        <v>741</v>
      </c>
      <c r="B1152" s="4" t="s">
        <v>456</v>
      </c>
      <c r="C1152" s="4" t="s">
        <v>605</v>
      </c>
      <c r="D1152" s="4" t="s">
        <v>917</v>
      </c>
      <c r="E1152" s="4" t="s">
        <v>602</v>
      </c>
      <c r="F1152" s="37">
        <f>прил6!F186</f>
        <v>897399.45</v>
      </c>
      <c r="G1152" s="37"/>
    </row>
    <row r="1153" spans="1:7" ht="31.5">
      <c r="A1153" s="3" t="s">
        <v>1040</v>
      </c>
      <c r="B1153" s="4" t="s">
        <v>456</v>
      </c>
      <c r="C1153" s="4" t="s">
        <v>608</v>
      </c>
      <c r="D1153" s="4"/>
      <c r="E1153" s="4"/>
      <c r="F1153" s="37">
        <f>F1154</f>
        <v>800</v>
      </c>
      <c r="G1153" s="37"/>
    </row>
    <row r="1154" spans="1:7" ht="31.5">
      <c r="A1154" s="3" t="s">
        <v>59</v>
      </c>
      <c r="B1154" s="4" t="s">
        <v>456</v>
      </c>
      <c r="C1154" s="4" t="s">
        <v>608</v>
      </c>
      <c r="D1154" s="4" t="s">
        <v>917</v>
      </c>
      <c r="E1154" s="4"/>
      <c r="F1154" s="37">
        <f>F1155</f>
        <v>800</v>
      </c>
      <c r="G1154" s="37"/>
    </row>
    <row r="1155" spans="1:7" ht="31.5">
      <c r="A1155" s="3" t="s">
        <v>741</v>
      </c>
      <c r="B1155" s="4" t="s">
        <v>456</v>
      </c>
      <c r="C1155" s="4" t="s">
        <v>608</v>
      </c>
      <c r="D1155" s="4" t="s">
        <v>917</v>
      </c>
      <c r="E1155" s="4" t="s">
        <v>602</v>
      </c>
      <c r="F1155" s="37">
        <f>прил6!F187</f>
        <v>800</v>
      </c>
      <c r="G1155" s="37"/>
    </row>
    <row r="1156" spans="1:7" ht="94.5">
      <c r="A1156" s="3" t="s">
        <v>587</v>
      </c>
      <c r="B1156" s="4" t="s">
        <v>457</v>
      </c>
      <c r="C1156" s="4"/>
      <c r="D1156" s="4"/>
      <c r="E1156" s="4"/>
      <c r="F1156" s="37">
        <f>F1157</f>
        <v>184070.34</v>
      </c>
      <c r="G1156" s="37"/>
    </row>
    <row r="1157" spans="1:7" ht="110.25">
      <c r="A1157" s="3" t="s">
        <v>506</v>
      </c>
      <c r="B1157" s="4" t="s">
        <v>457</v>
      </c>
      <c r="C1157" s="4" t="s">
        <v>604</v>
      </c>
      <c r="D1157" s="4"/>
      <c r="E1157" s="4"/>
      <c r="F1157" s="37">
        <f>F1158</f>
        <v>184070.34</v>
      </c>
      <c r="G1157" s="37"/>
    </row>
    <row r="1158" spans="1:7" ht="31.5">
      <c r="A1158" s="3" t="s">
        <v>59</v>
      </c>
      <c r="B1158" s="4" t="s">
        <v>457</v>
      </c>
      <c r="C1158" s="4" t="s">
        <v>604</v>
      </c>
      <c r="D1158" s="4" t="s">
        <v>917</v>
      </c>
      <c r="E1158" s="4"/>
      <c r="F1158" s="37">
        <f>F1159</f>
        <v>184070.34</v>
      </c>
      <c r="G1158" s="37"/>
    </row>
    <row r="1159" spans="1:7" ht="31.5">
      <c r="A1159" s="3" t="s">
        <v>741</v>
      </c>
      <c r="B1159" s="4" t="s">
        <v>457</v>
      </c>
      <c r="C1159" s="4" t="s">
        <v>604</v>
      </c>
      <c r="D1159" s="4" t="s">
        <v>917</v>
      </c>
      <c r="E1159" s="4" t="s">
        <v>602</v>
      </c>
      <c r="F1159" s="37">
        <f>прил6!F189</f>
        <v>184070.34</v>
      </c>
      <c r="G1159" s="37"/>
    </row>
    <row r="1160" spans="1:7" ht="78.75">
      <c r="A1160" s="3" t="s">
        <v>226</v>
      </c>
      <c r="B1160" s="4" t="s">
        <v>227</v>
      </c>
      <c r="C1160" s="4"/>
      <c r="D1160" s="4"/>
      <c r="E1160" s="4"/>
      <c r="F1160" s="37">
        <f>F1161</f>
        <v>85408</v>
      </c>
      <c r="G1160" s="37"/>
    </row>
    <row r="1161" spans="1:7" ht="94.5">
      <c r="A1161" s="3" t="s">
        <v>749</v>
      </c>
      <c r="B1161" s="4" t="s">
        <v>228</v>
      </c>
      <c r="C1161" s="4"/>
      <c r="D1161" s="4"/>
      <c r="E1161" s="4"/>
      <c r="F1161" s="37">
        <f>F1162</f>
        <v>85408</v>
      </c>
      <c r="G1161" s="37"/>
    </row>
    <row r="1162" spans="1:7" ht="47.25">
      <c r="A1162" s="3" t="s">
        <v>93</v>
      </c>
      <c r="B1162" s="4" t="s">
        <v>228</v>
      </c>
      <c r="C1162" s="4" t="s">
        <v>605</v>
      </c>
      <c r="D1162" s="4"/>
      <c r="E1162" s="4"/>
      <c r="F1162" s="37">
        <f>F1163</f>
        <v>85408</v>
      </c>
      <c r="G1162" s="37"/>
    </row>
    <row r="1163" spans="1:7" ht="31.5">
      <c r="A1163" s="3" t="s">
        <v>59</v>
      </c>
      <c r="B1163" s="4" t="s">
        <v>228</v>
      </c>
      <c r="C1163" s="4" t="s">
        <v>605</v>
      </c>
      <c r="D1163" s="4" t="s">
        <v>917</v>
      </c>
      <c r="E1163" s="4"/>
      <c r="F1163" s="37">
        <f>F1164</f>
        <v>85408</v>
      </c>
      <c r="G1163" s="37"/>
    </row>
    <row r="1164" spans="1:7" ht="31.5">
      <c r="A1164" s="3" t="s">
        <v>741</v>
      </c>
      <c r="B1164" s="4" t="s">
        <v>228</v>
      </c>
      <c r="C1164" s="4" t="s">
        <v>605</v>
      </c>
      <c r="D1164" s="4" t="s">
        <v>917</v>
      </c>
      <c r="E1164" s="4" t="s">
        <v>602</v>
      </c>
      <c r="F1164" s="37">
        <f>прил6!F192</f>
        <v>85408</v>
      </c>
      <c r="G1164" s="37"/>
    </row>
    <row r="1165" spans="1:7" ht="63">
      <c r="A1165" s="3" t="s">
        <v>229</v>
      </c>
      <c r="B1165" s="4" t="s">
        <v>230</v>
      </c>
      <c r="C1165" s="4"/>
      <c r="D1165" s="4"/>
      <c r="E1165" s="4"/>
      <c r="F1165" s="37">
        <f>F1166+F1178</f>
        <v>5519208.64</v>
      </c>
      <c r="G1165" s="37"/>
    </row>
    <row r="1166" spans="1:7" ht="94.5">
      <c r="A1166" s="3" t="s">
        <v>749</v>
      </c>
      <c r="B1166" s="4" t="s">
        <v>231</v>
      </c>
      <c r="C1166" s="4"/>
      <c r="D1166" s="4"/>
      <c r="E1166" s="4"/>
      <c r="F1166" s="37">
        <f>F1167+F1170</f>
        <v>5395536.5</v>
      </c>
      <c r="G1166" s="37"/>
    </row>
    <row r="1167" spans="1:7" ht="110.25">
      <c r="A1167" s="3" t="s">
        <v>92</v>
      </c>
      <c r="B1167" s="4" t="s">
        <v>231</v>
      </c>
      <c r="C1167" s="4" t="s">
        <v>604</v>
      </c>
      <c r="D1167" s="4"/>
      <c r="E1167" s="4"/>
      <c r="F1167" s="37">
        <f>F1168</f>
        <v>4976321.25</v>
      </c>
      <c r="G1167" s="37"/>
    </row>
    <row r="1168" spans="1:7" ht="31.5">
      <c r="A1168" s="3" t="s">
        <v>59</v>
      </c>
      <c r="B1168" s="4" t="s">
        <v>231</v>
      </c>
      <c r="C1168" s="4" t="s">
        <v>604</v>
      </c>
      <c r="D1168" s="4" t="s">
        <v>917</v>
      </c>
      <c r="E1168" s="4"/>
      <c r="F1168" s="29">
        <f>F1169</f>
        <v>4976321.25</v>
      </c>
      <c r="G1168" s="29"/>
    </row>
    <row r="1169" spans="1:7" ht="31.5">
      <c r="A1169" s="3" t="s">
        <v>741</v>
      </c>
      <c r="B1169" s="4" t="s">
        <v>231</v>
      </c>
      <c r="C1169" s="4" t="s">
        <v>604</v>
      </c>
      <c r="D1169" s="4" t="s">
        <v>917</v>
      </c>
      <c r="E1169" s="4" t="s">
        <v>602</v>
      </c>
      <c r="F1169" s="29">
        <f>прил6!F195</f>
        <v>4976321.25</v>
      </c>
      <c r="G1169" s="29"/>
    </row>
    <row r="1170" spans="1:7" ht="47.25">
      <c r="A1170" s="3" t="s">
        <v>93</v>
      </c>
      <c r="B1170" s="4" t="s">
        <v>231</v>
      </c>
      <c r="C1170" s="4" t="s">
        <v>605</v>
      </c>
      <c r="D1170" s="4"/>
      <c r="E1170" s="4"/>
      <c r="F1170" s="29">
        <f>F1171</f>
        <v>419215.25</v>
      </c>
      <c r="G1170" s="29"/>
    </row>
    <row r="1171" spans="1:7" ht="31.5">
      <c r="A1171" s="3" t="s">
        <v>59</v>
      </c>
      <c r="B1171" s="4" t="s">
        <v>231</v>
      </c>
      <c r="C1171" s="4" t="s">
        <v>605</v>
      </c>
      <c r="D1171" s="4" t="s">
        <v>917</v>
      </c>
      <c r="E1171" s="4"/>
      <c r="F1171" s="29">
        <f>F1172</f>
        <v>419215.25</v>
      </c>
      <c r="G1171" s="29"/>
    </row>
    <row r="1172" spans="1:7" ht="31.5">
      <c r="A1172" s="3" t="s">
        <v>741</v>
      </c>
      <c r="B1172" s="4" t="s">
        <v>231</v>
      </c>
      <c r="C1172" s="4" t="s">
        <v>605</v>
      </c>
      <c r="D1172" s="4" t="s">
        <v>917</v>
      </c>
      <c r="E1172" s="4" t="s">
        <v>602</v>
      </c>
      <c r="F1172" s="29">
        <f>прил6!F196</f>
        <v>419215.25</v>
      </c>
      <c r="G1172" s="29"/>
    </row>
    <row r="1173" spans="1:7" ht="94.5">
      <c r="A1173" s="3" t="s">
        <v>270</v>
      </c>
      <c r="B1173" s="4" t="s">
        <v>271</v>
      </c>
      <c r="C1173" s="4"/>
      <c r="D1173" s="4"/>
      <c r="E1173" s="4"/>
      <c r="F1173" s="29">
        <f>F1174</f>
        <v>340380</v>
      </c>
      <c r="G1173" s="29"/>
    </row>
    <row r="1174" spans="1:7" ht="31.5">
      <c r="A1174" s="3" t="s">
        <v>523</v>
      </c>
      <c r="B1174" s="4" t="s">
        <v>272</v>
      </c>
      <c r="C1174" s="4"/>
      <c r="D1174" s="4"/>
      <c r="E1174" s="4"/>
      <c r="F1174" s="29">
        <f>F1175</f>
        <v>340380</v>
      </c>
      <c r="G1174" s="29"/>
    </row>
    <row r="1175" spans="1:7" ht="31.5">
      <c r="A1175" s="3" t="s">
        <v>565</v>
      </c>
      <c r="B1175" s="4" t="s">
        <v>272</v>
      </c>
      <c r="C1175" s="4" t="s">
        <v>566</v>
      </c>
      <c r="D1175" s="4"/>
      <c r="E1175" s="4"/>
      <c r="F1175" s="29">
        <f>F1176</f>
        <v>340380</v>
      </c>
      <c r="G1175" s="29"/>
    </row>
    <row r="1176" spans="1:7" ht="31.5">
      <c r="A1176" s="3" t="s">
        <v>59</v>
      </c>
      <c r="B1176" s="4" t="s">
        <v>272</v>
      </c>
      <c r="C1176" s="4" t="s">
        <v>566</v>
      </c>
      <c r="D1176" s="4" t="s">
        <v>917</v>
      </c>
      <c r="E1176" s="4"/>
      <c r="F1176" s="29">
        <f>F1177</f>
        <v>340380</v>
      </c>
      <c r="G1176" s="29"/>
    </row>
    <row r="1177" spans="1:7" ht="31.5">
      <c r="A1177" s="3" t="s">
        <v>741</v>
      </c>
      <c r="B1177" s="4" t="s">
        <v>272</v>
      </c>
      <c r="C1177" s="4" t="s">
        <v>566</v>
      </c>
      <c r="D1177" s="4" t="s">
        <v>917</v>
      </c>
      <c r="E1177" s="4" t="s">
        <v>602</v>
      </c>
      <c r="F1177" s="29">
        <f>прил6!F201</f>
        <v>340380</v>
      </c>
      <c r="G1177" s="29"/>
    </row>
    <row r="1178" spans="1:7" ht="94.5">
      <c r="A1178" s="3" t="s">
        <v>587</v>
      </c>
      <c r="B1178" s="4" t="s">
        <v>232</v>
      </c>
      <c r="C1178" s="4"/>
      <c r="D1178" s="4"/>
      <c r="E1178" s="4"/>
      <c r="F1178" s="29">
        <f>F1179</f>
        <v>123672.14</v>
      </c>
      <c r="G1178" s="29"/>
    </row>
    <row r="1179" spans="1:7" ht="110.25">
      <c r="A1179" s="3" t="s">
        <v>506</v>
      </c>
      <c r="B1179" s="4" t="s">
        <v>232</v>
      </c>
      <c r="C1179" s="4" t="s">
        <v>604</v>
      </c>
      <c r="D1179" s="4"/>
      <c r="E1179" s="4"/>
      <c r="F1179" s="29">
        <f>F1180</f>
        <v>123672.14</v>
      </c>
      <c r="G1179" s="29"/>
    </row>
    <row r="1180" spans="1:7" ht="31.5">
      <c r="A1180" s="3" t="s">
        <v>59</v>
      </c>
      <c r="B1180" s="4" t="s">
        <v>232</v>
      </c>
      <c r="C1180" s="4" t="s">
        <v>604</v>
      </c>
      <c r="D1180" s="4" t="s">
        <v>917</v>
      </c>
      <c r="E1180" s="4"/>
      <c r="F1180" s="29">
        <f>F1181</f>
        <v>123672.14</v>
      </c>
      <c r="G1180" s="29"/>
    </row>
    <row r="1181" spans="1:7" ht="31.5">
      <c r="A1181" s="3" t="s">
        <v>741</v>
      </c>
      <c r="B1181" s="4" t="s">
        <v>232</v>
      </c>
      <c r="C1181" s="4" t="s">
        <v>604</v>
      </c>
      <c r="D1181" s="4" t="s">
        <v>917</v>
      </c>
      <c r="E1181" s="4" t="s">
        <v>602</v>
      </c>
      <c r="F1181" s="29">
        <f>прил6!F198</f>
        <v>123672.14</v>
      </c>
      <c r="G1181" s="29"/>
    </row>
    <row r="1182" spans="1:7" ht="94.5">
      <c r="A1182" s="3" t="s">
        <v>233</v>
      </c>
      <c r="B1182" s="4" t="s">
        <v>234</v>
      </c>
      <c r="C1182" s="4"/>
      <c r="D1182" s="4"/>
      <c r="E1182" s="4"/>
      <c r="F1182" s="29">
        <f>F1183+F1190</f>
        <v>2275285.4600000004</v>
      </c>
      <c r="G1182" s="29"/>
    </row>
    <row r="1183" spans="1:7" ht="94.5">
      <c r="A1183" s="3" t="s">
        <v>749</v>
      </c>
      <c r="B1183" s="4" t="s">
        <v>235</v>
      </c>
      <c r="C1183" s="4"/>
      <c r="D1183" s="4"/>
      <c r="E1183" s="4"/>
      <c r="F1183" s="29">
        <f>F1184+F1187</f>
        <v>2198175.8600000003</v>
      </c>
      <c r="G1183" s="29"/>
    </row>
    <row r="1184" spans="1:7" ht="132.75" customHeight="1">
      <c r="A1184" s="3" t="s">
        <v>92</v>
      </c>
      <c r="B1184" s="4" t="s">
        <v>235</v>
      </c>
      <c r="C1184" s="4" t="s">
        <v>604</v>
      </c>
      <c r="D1184" s="4"/>
      <c r="E1184" s="4"/>
      <c r="F1184" s="29">
        <f>F1185</f>
        <v>1980789.86</v>
      </c>
      <c r="G1184" s="29"/>
    </row>
    <row r="1185" spans="1:7" ht="31.5">
      <c r="A1185" s="3" t="s">
        <v>59</v>
      </c>
      <c r="B1185" s="4" t="s">
        <v>235</v>
      </c>
      <c r="C1185" s="4" t="s">
        <v>604</v>
      </c>
      <c r="D1185" s="4" t="s">
        <v>917</v>
      </c>
      <c r="E1185" s="4"/>
      <c r="F1185" s="29">
        <f>F1186</f>
        <v>1980789.86</v>
      </c>
      <c r="G1185" s="29"/>
    </row>
    <row r="1186" spans="1:7" ht="41.25" customHeight="1">
      <c r="A1186" s="3" t="s">
        <v>741</v>
      </c>
      <c r="B1186" s="4" t="s">
        <v>235</v>
      </c>
      <c r="C1186" s="4" t="s">
        <v>604</v>
      </c>
      <c r="D1186" s="4" t="s">
        <v>917</v>
      </c>
      <c r="E1186" s="4" t="s">
        <v>602</v>
      </c>
      <c r="F1186" s="29">
        <f>прил6!F204</f>
        <v>1980789.86</v>
      </c>
      <c r="G1186" s="29"/>
    </row>
    <row r="1187" spans="1:7" ht="47.25">
      <c r="A1187" s="3" t="s">
        <v>93</v>
      </c>
      <c r="B1187" s="4" t="s">
        <v>235</v>
      </c>
      <c r="C1187" s="4" t="s">
        <v>605</v>
      </c>
      <c r="D1187" s="4"/>
      <c r="E1187" s="4"/>
      <c r="F1187" s="29">
        <f>F1188</f>
        <v>217386</v>
      </c>
      <c r="G1187" s="29"/>
    </row>
    <row r="1188" spans="1:7" ht="31.5">
      <c r="A1188" s="3" t="s">
        <v>59</v>
      </c>
      <c r="B1188" s="4" t="s">
        <v>235</v>
      </c>
      <c r="C1188" s="4" t="s">
        <v>605</v>
      </c>
      <c r="D1188" s="4" t="s">
        <v>917</v>
      </c>
      <c r="E1188" s="4"/>
      <c r="F1188" s="29">
        <f>F1189</f>
        <v>217386</v>
      </c>
      <c r="G1188" s="29"/>
    </row>
    <row r="1189" spans="1:7" ht="31.5">
      <c r="A1189" s="3" t="s">
        <v>741</v>
      </c>
      <c r="B1189" s="4" t="s">
        <v>235</v>
      </c>
      <c r="C1189" s="4" t="s">
        <v>605</v>
      </c>
      <c r="D1189" s="4" t="s">
        <v>917</v>
      </c>
      <c r="E1189" s="4" t="s">
        <v>602</v>
      </c>
      <c r="F1189" s="29">
        <f>прил6!F205</f>
        <v>217386</v>
      </c>
      <c r="G1189" s="29"/>
    </row>
    <row r="1190" spans="1:7" ht="94.5">
      <c r="A1190" s="3" t="s">
        <v>587</v>
      </c>
      <c r="B1190" s="4" t="s">
        <v>236</v>
      </c>
      <c r="C1190" s="4"/>
      <c r="D1190" s="4"/>
      <c r="E1190" s="4"/>
      <c r="F1190" s="29">
        <f>F1191</f>
        <v>77109.6</v>
      </c>
      <c r="G1190" s="29"/>
    </row>
    <row r="1191" spans="1:7" ht="110.25">
      <c r="A1191" s="3" t="s">
        <v>506</v>
      </c>
      <c r="B1191" s="4" t="s">
        <v>236</v>
      </c>
      <c r="C1191" s="4" t="s">
        <v>604</v>
      </c>
      <c r="D1191" s="4"/>
      <c r="E1191" s="4"/>
      <c r="F1191" s="29">
        <f>F1192</f>
        <v>77109.6</v>
      </c>
      <c r="G1191" s="29"/>
    </row>
    <row r="1192" spans="1:7" ht="31.5">
      <c r="A1192" s="3" t="s">
        <v>59</v>
      </c>
      <c r="B1192" s="4" t="s">
        <v>236</v>
      </c>
      <c r="C1192" s="4" t="s">
        <v>604</v>
      </c>
      <c r="D1192" s="4" t="s">
        <v>917</v>
      </c>
      <c r="E1192" s="4"/>
      <c r="F1192" s="29">
        <f>F1193</f>
        <v>77109.6</v>
      </c>
      <c r="G1192" s="29"/>
    </row>
    <row r="1193" spans="1:7" ht="31.5">
      <c r="A1193" s="3" t="s">
        <v>741</v>
      </c>
      <c r="B1193" s="4" t="s">
        <v>236</v>
      </c>
      <c r="C1193" s="4" t="s">
        <v>604</v>
      </c>
      <c r="D1193" s="4" t="s">
        <v>917</v>
      </c>
      <c r="E1193" s="4" t="s">
        <v>602</v>
      </c>
      <c r="F1193" s="29">
        <f>прил6!F207</f>
        <v>77109.6</v>
      </c>
      <c r="G1193" s="29"/>
    </row>
    <row r="1194" spans="1:7" ht="47.25">
      <c r="A1194" s="3" t="s">
        <v>123</v>
      </c>
      <c r="B1194" s="4" t="s">
        <v>706</v>
      </c>
      <c r="C1194" s="4"/>
      <c r="D1194" s="4"/>
      <c r="E1194" s="4"/>
      <c r="F1194" s="29">
        <f>F1195+F1210+F1225</f>
        <v>31927408.35</v>
      </c>
      <c r="G1194" s="29"/>
    </row>
    <row r="1195" spans="1:7" ht="47.25">
      <c r="A1195" s="3" t="s">
        <v>669</v>
      </c>
      <c r="B1195" s="4" t="s">
        <v>670</v>
      </c>
      <c r="C1195" s="4"/>
      <c r="D1195" s="4"/>
      <c r="E1195" s="4"/>
      <c r="F1195" s="29">
        <f>F1196+F1206</f>
        <v>9299204.16</v>
      </c>
      <c r="G1195" s="29"/>
    </row>
    <row r="1196" spans="1:7" ht="94.5">
      <c r="A1196" s="3" t="s">
        <v>749</v>
      </c>
      <c r="B1196" s="4" t="s">
        <v>671</v>
      </c>
      <c r="C1196" s="4"/>
      <c r="D1196" s="4"/>
      <c r="E1196" s="4"/>
      <c r="F1196" s="29">
        <f>F1197+F1200+F1203</f>
        <v>9216704.16</v>
      </c>
      <c r="G1196" s="29"/>
    </row>
    <row r="1197" spans="1:7" ht="110.25">
      <c r="A1197" s="3" t="s">
        <v>92</v>
      </c>
      <c r="B1197" s="4" t="s">
        <v>671</v>
      </c>
      <c r="C1197" s="4" t="s">
        <v>604</v>
      </c>
      <c r="D1197" s="4"/>
      <c r="E1197" s="4"/>
      <c r="F1197" s="29">
        <f>F1198</f>
        <v>6334496.89</v>
      </c>
      <c r="G1197" s="29"/>
    </row>
    <row r="1198" spans="1:7" ht="31.5">
      <c r="A1198" s="3" t="s">
        <v>59</v>
      </c>
      <c r="B1198" s="4" t="s">
        <v>671</v>
      </c>
      <c r="C1198" s="4" t="s">
        <v>604</v>
      </c>
      <c r="D1198" s="4" t="s">
        <v>917</v>
      </c>
      <c r="E1198" s="4"/>
      <c r="F1198" s="29">
        <f>F1199</f>
        <v>6334496.89</v>
      </c>
      <c r="G1198" s="29"/>
    </row>
    <row r="1199" spans="1:7" ht="31.5">
      <c r="A1199" s="3" t="s">
        <v>741</v>
      </c>
      <c r="B1199" s="4" t="s">
        <v>671</v>
      </c>
      <c r="C1199" s="4" t="s">
        <v>604</v>
      </c>
      <c r="D1199" s="4" t="s">
        <v>917</v>
      </c>
      <c r="E1199" s="4" t="s">
        <v>602</v>
      </c>
      <c r="F1199" s="29">
        <f>прил6!F211</f>
        <v>6334496.89</v>
      </c>
      <c r="G1199" s="33"/>
    </row>
    <row r="1200" spans="1:7" ht="47.25">
      <c r="A1200" s="3" t="s">
        <v>701</v>
      </c>
      <c r="B1200" s="4" t="s">
        <v>671</v>
      </c>
      <c r="C1200" s="4" t="s">
        <v>605</v>
      </c>
      <c r="D1200" s="4"/>
      <c r="E1200" s="4"/>
      <c r="F1200" s="29">
        <f>F1201</f>
        <v>2838408.27</v>
      </c>
      <c r="G1200" s="33"/>
    </row>
    <row r="1201" spans="1:7" ht="31.5">
      <c r="A1201" s="3" t="s">
        <v>59</v>
      </c>
      <c r="B1201" s="4" t="s">
        <v>671</v>
      </c>
      <c r="C1201" s="4" t="s">
        <v>605</v>
      </c>
      <c r="D1201" s="4" t="s">
        <v>917</v>
      </c>
      <c r="E1201" s="4"/>
      <c r="F1201" s="29">
        <f>F1202</f>
        <v>2838408.27</v>
      </c>
      <c r="G1201" s="33"/>
    </row>
    <row r="1202" spans="1:7" ht="31.5">
      <c r="A1202" s="3" t="s">
        <v>741</v>
      </c>
      <c r="B1202" s="4" t="s">
        <v>671</v>
      </c>
      <c r="C1202" s="4" t="s">
        <v>605</v>
      </c>
      <c r="D1202" s="4" t="s">
        <v>917</v>
      </c>
      <c r="E1202" s="4" t="s">
        <v>602</v>
      </c>
      <c r="F1202" s="29">
        <f>прил6!F212</f>
        <v>2838408.27</v>
      </c>
      <c r="G1202" s="33"/>
    </row>
    <row r="1203" spans="1:7" ht="27" customHeight="1">
      <c r="A1203" s="3" t="s">
        <v>1040</v>
      </c>
      <c r="B1203" s="4" t="s">
        <v>671</v>
      </c>
      <c r="C1203" s="4" t="s">
        <v>608</v>
      </c>
      <c r="D1203" s="4"/>
      <c r="E1203" s="4"/>
      <c r="F1203" s="37">
        <f>F1204</f>
        <v>43799</v>
      </c>
      <c r="G1203" s="37"/>
    </row>
    <row r="1204" spans="1:7" ht="31.5">
      <c r="A1204" s="3" t="s">
        <v>59</v>
      </c>
      <c r="B1204" s="4" t="s">
        <v>671</v>
      </c>
      <c r="C1204" s="4" t="s">
        <v>608</v>
      </c>
      <c r="D1204" s="4" t="s">
        <v>917</v>
      </c>
      <c r="E1204" s="4"/>
      <c r="F1204" s="37">
        <f>F1205</f>
        <v>43799</v>
      </c>
      <c r="G1204" s="37"/>
    </row>
    <row r="1205" spans="1:7" ht="31.5">
      <c r="A1205" s="3" t="s">
        <v>741</v>
      </c>
      <c r="B1205" s="4" t="s">
        <v>671</v>
      </c>
      <c r="C1205" s="4" t="s">
        <v>608</v>
      </c>
      <c r="D1205" s="4" t="s">
        <v>917</v>
      </c>
      <c r="E1205" s="4" t="s">
        <v>602</v>
      </c>
      <c r="F1205" s="37">
        <f>прил6!F213</f>
        <v>43799</v>
      </c>
      <c r="G1205" s="37"/>
    </row>
    <row r="1206" spans="1:7" ht="94.5">
      <c r="A1206" s="3" t="s">
        <v>587</v>
      </c>
      <c r="B1206" s="4" t="s">
        <v>672</v>
      </c>
      <c r="C1206" s="4"/>
      <c r="D1206" s="4"/>
      <c r="E1206" s="4"/>
      <c r="F1206" s="37">
        <f>F1207</f>
        <v>82500</v>
      </c>
      <c r="G1206" s="37"/>
    </row>
    <row r="1207" spans="1:7" ht="110.25">
      <c r="A1207" s="3" t="s">
        <v>506</v>
      </c>
      <c r="B1207" s="4" t="s">
        <v>672</v>
      </c>
      <c r="C1207" s="4" t="s">
        <v>604</v>
      </c>
      <c r="D1207" s="4"/>
      <c r="E1207" s="4"/>
      <c r="F1207" s="37">
        <f>F1208</f>
        <v>82500</v>
      </c>
      <c r="G1207" s="37"/>
    </row>
    <row r="1208" spans="1:7" ht="31.5">
      <c r="A1208" s="3" t="s">
        <v>59</v>
      </c>
      <c r="B1208" s="4" t="s">
        <v>672</v>
      </c>
      <c r="C1208" s="4" t="s">
        <v>604</v>
      </c>
      <c r="D1208" s="4" t="s">
        <v>917</v>
      </c>
      <c r="E1208" s="4"/>
      <c r="F1208" s="37">
        <f>F1209</f>
        <v>82500</v>
      </c>
      <c r="G1208" s="37"/>
    </row>
    <row r="1209" spans="1:7" ht="31.5">
      <c r="A1209" s="3" t="s">
        <v>741</v>
      </c>
      <c r="B1209" s="4" t="s">
        <v>672</v>
      </c>
      <c r="C1209" s="4" t="s">
        <v>604</v>
      </c>
      <c r="D1209" s="4" t="s">
        <v>917</v>
      </c>
      <c r="E1209" s="4" t="s">
        <v>602</v>
      </c>
      <c r="F1209" s="37">
        <f>прил6!F215</f>
        <v>82500</v>
      </c>
      <c r="G1209" s="37"/>
    </row>
    <row r="1210" spans="1:7" ht="78.75">
      <c r="A1210" s="3" t="s">
        <v>212</v>
      </c>
      <c r="B1210" s="4" t="s">
        <v>213</v>
      </c>
      <c r="C1210" s="4"/>
      <c r="D1210" s="4"/>
      <c r="E1210" s="4"/>
      <c r="F1210" s="37">
        <f>F1211+F1221</f>
        <v>19447859.740000002</v>
      </c>
      <c r="G1210" s="37"/>
    </row>
    <row r="1211" spans="1:7" ht="94.5">
      <c r="A1211" s="3" t="s">
        <v>749</v>
      </c>
      <c r="B1211" s="4" t="s">
        <v>214</v>
      </c>
      <c r="C1211" s="4"/>
      <c r="D1211" s="4"/>
      <c r="E1211" s="4"/>
      <c r="F1211" s="37">
        <f>F1212+F1215+F1218</f>
        <v>19280359.740000002</v>
      </c>
      <c r="G1211" s="37"/>
    </row>
    <row r="1212" spans="1:7" ht="110.25">
      <c r="A1212" s="3" t="s">
        <v>92</v>
      </c>
      <c r="B1212" s="4" t="s">
        <v>214</v>
      </c>
      <c r="C1212" s="4" t="s">
        <v>604</v>
      </c>
      <c r="D1212" s="4"/>
      <c r="E1212" s="4"/>
      <c r="F1212" s="37">
        <f>F1213</f>
        <v>9947183.17</v>
      </c>
      <c r="G1212" s="37"/>
    </row>
    <row r="1213" spans="1:7" ht="31.5">
      <c r="A1213" s="3" t="s">
        <v>59</v>
      </c>
      <c r="B1213" s="4" t="s">
        <v>214</v>
      </c>
      <c r="C1213" s="4" t="s">
        <v>604</v>
      </c>
      <c r="D1213" s="4" t="s">
        <v>917</v>
      </c>
      <c r="E1213" s="4"/>
      <c r="F1213" s="37">
        <f>F1214</f>
        <v>9947183.17</v>
      </c>
      <c r="G1213" s="37"/>
    </row>
    <row r="1214" spans="1:7" ht="31.5">
      <c r="A1214" s="3" t="s">
        <v>741</v>
      </c>
      <c r="B1214" s="4" t="s">
        <v>214</v>
      </c>
      <c r="C1214" s="4" t="s">
        <v>604</v>
      </c>
      <c r="D1214" s="4" t="s">
        <v>917</v>
      </c>
      <c r="E1214" s="4" t="s">
        <v>602</v>
      </c>
      <c r="F1214" s="37">
        <f>прил6!F218</f>
        <v>9947183.17</v>
      </c>
      <c r="G1214" s="37"/>
    </row>
    <row r="1215" spans="1:7" ht="47.25">
      <c r="A1215" s="3" t="s">
        <v>701</v>
      </c>
      <c r="B1215" s="4" t="s">
        <v>214</v>
      </c>
      <c r="C1215" s="4" t="s">
        <v>605</v>
      </c>
      <c r="D1215" s="4"/>
      <c r="E1215" s="4"/>
      <c r="F1215" s="37">
        <f>F1216</f>
        <v>9304188.57</v>
      </c>
      <c r="G1215" s="37"/>
    </row>
    <row r="1216" spans="1:7" ht="31.5">
      <c r="A1216" s="3" t="s">
        <v>59</v>
      </c>
      <c r="B1216" s="4" t="s">
        <v>214</v>
      </c>
      <c r="C1216" s="4" t="s">
        <v>605</v>
      </c>
      <c r="D1216" s="4" t="s">
        <v>917</v>
      </c>
      <c r="E1216" s="4"/>
      <c r="F1216" s="37">
        <f>F1217</f>
        <v>9304188.57</v>
      </c>
      <c r="G1216" s="37"/>
    </row>
    <row r="1217" spans="1:7" ht="31.5">
      <c r="A1217" s="3" t="s">
        <v>741</v>
      </c>
      <c r="B1217" s="4" t="s">
        <v>214</v>
      </c>
      <c r="C1217" s="4" t="s">
        <v>605</v>
      </c>
      <c r="D1217" s="4" t="s">
        <v>917</v>
      </c>
      <c r="E1217" s="4" t="s">
        <v>602</v>
      </c>
      <c r="F1217" s="37">
        <f>прил6!F219</f>
        <v>9304188.57</v>
      </c>
      <c r="G1217" s="37"/>
    </row>
    <row r="1218" spans="1:7" ht="31.5">
      <c r="A1218" s="3" t="s">
        <v>1040</v>
      </c>
      <c r="B1218" s="4" t="s">
        <v>214</v>
      </c>
      <c r="C1218" s="4" t="s">
        <v>608</v>
      </c>
      <c r="D1218" s="4"/>
      <c r="E1218" s="4"/>
      <c r="F1218" s="37">
        <f>F1219</f>
        <v>28988</v>
      </c>
      <c r="G1218" s="37"/>
    </row>
    <row r="1219" spans="1:7" ht="31.5">
      <c r="A1219" s="3" t="s">
        <v>59</v>
      </c>
      <c r="B1219" s="4" t="s">
        <v>214</v>
      </c>
      <c r="C1219" s="4" t="s">
        <v>608</v>
      </c>
      <c r="D1219" s="4" t="s">
        <v>917</v>
      </c>
      <c r="E1219" s="4"/>
      <c r="F1219" s="37">
        <f>F1220</f>
        <v>28988</v>
      </c>
      <c r="G1219" s="37"/>
    </row>
    <row r="1220" spans="1:7" ht="31.5">
      <c r="A1220" s="3" t="s">
        <v>741</v>
      </c>
      <c r="B1220" s="4" t="s">
        <v>214</v>
      </c>
      <c r="C1220" s="4" t="s">
        <v>608</v>
      </c>
      <c r="D1220" s="4" t="s">
        <v>917</v>
      </c>
      <c r="E1220" s="4" t="s">
        <v>602</v>
      </c>
      <c r="F1220" s="37">
        <f>прил6!F220</f>
        <v>28988</v>
      </c>
      <c r="G1220" s="37"/>
    </row>
    <row r="1221" spans="1:7" ht="94.5">
      <c r="A1221" s="3" t="s">
        <v>587</v>
      </c>
      <c r="B1221" s="4" t="s">
        <v>672</v>
      </c>
      <c r="C1221" s="4"/>
      <c r="D1221" s="4"/>
      <c r="E1221" s="4"/>
      <c r="F1221" s="37">
        <f>F1222</f>
        <v>167500</v>
      </c>
      <c r="G1221" s="37"/>
    </row>
    <row r="1222" spans="1:7" ht="110.25">
      <c r="A1222" s="3" t="s">
        <v>506</v>
      </c>
      <c r="B1222" s="4" t="s">
        <v>672</v>
      </c>
      <c r="C1222" s="4" t="s">
        <v>604</v>
      </c>
      <c r="D1222" s="4"/>
      <c r="E1222" s="4"/>
      <c r="F1222" s="29">
        <f>F1223</f>
        <v>167500</v>
      </c>
      <c r="G1222" s="29"/>
    </row>
    <row r="1223" spans="1:7" ht="31.5">
      <c r="A1223" s="3" t="s">
        <v>59</v>
      </c>
      <c r="B1223" s="4" t="s">
        <v>672</v>
      </c>
      <c r="C1223" s="4" t="s">
        <v>604</v>
      </c>
      <c r="D1223" s="4" t="s">
        <v>917</v>
      </c>
      <c r="E1223" s="4"/>
      <c r="F1223" s="29">
        <f>F1224</f>
        <v>167500</v>
      </c>
      <c r="G1223" s="29"/>
    </row>
    <row r="1224" spans="1:7" ht="31.5">
      <c r="A1224" s="3" t="s">
        <v>741</v>
      </c>
      <c r="B1224" s="4" t="s">
        <v>672</v>
      </c>
      <c r="C1224" s="4" t="s">
        <v>604</v>
      </c>
      <c r="D1224" s="4" t="s">
        <v>917</v>
      </c>
      <c r="E1224" s="4" t="s">
        <v>602</v>
      </c>
      <c r="F1224" s="29">
        <f>прил6!F222</f>
        <v>167500</v>
      </c>
      <c r="G1224" s="29"/>
    </row>
    <row r="1225" spans="1:7" ht="63">
      <c r="A1225" s="3" t="s">
        <v>1099</v>
      </c>
      <c r="B1225" s="4" t="s">
        <v>215</v>
      </c>
      <c r="C1225" s="4"/>
      <c r="D1225" s="4"/>
      <c r="E1225" s="4"/>
      <c r="F1225" s="29">
        <f>F1226+F1233</f>
        <v>3180344.45</v>
      </c>
      <c r="G1225" s="29"/>
    </row>
    <row r="1226" spans="1:7" ht="94.5">
      <c r="A1226" s="3" t="s">
        <v>749</v>
      </c>
      <c r="B1226" s="4" t="s">
        <v>216</v>
      </c>
      <c r="C1226" s="4"/>
      <c r="D1226" s="4"/>
      <c r="E1226" s="4"/>
      <c r="F1226" s="29">
        <f>F1227+F1230</f>
        <v>2188020.31</v>
      </c>
      <c r="G1226" s="29"/>
    </row>
    <row r="1227" spans="1:7" ht="110.25">
      <c r="A1227" s="3" t="s">
        <v>92</v>
      </c>
      <c r="B1227" s="4" t="s">
        <v>216</v>
      </c>
      <c r="C1227" s="4" t="s">
        <v>604</v>
      </c>
      <c r="D1227" s="4"/>
      <c r="E1227" s="4"/>
      <c r="F1227" s="29">
        <f>F1228</f>
        <v>1346590.31</v>
      </c>
      <c r="G1227" s="29"/>
    </row>
    <row r="1228" spans="1:7" ht="31.5">
      <c r="A1228" s="3" t="s">
        <v>59</v>
      </c>
      <c r="B1228" s="4" t="s">
        <v>216</v>
      </c>
      <c r="C1228" s="4" t="s">
        <v>604</v>
      </c>
      <c r="D1228" s="4" t="s">
        <v>917</v>
      </c>
      <c r="E1228" s="4"/>
      <c r="F1228" s="29">
        <f>F1229</f>
        <v>1346590.31</v>
      </c>
      <c r="G1228" s="29"/>
    </row>
    <row r="1229" spans="1:7" ht="31.5">
      <c r="A1229" s="3" t="s">
        <v>741</v>
      </c>
      <c r="B1229" s="4" t="s">
        <v>216</v>
      </c>
      <c r="C1229" s="4" t="s">
        <v>604</v>
      </c>
      <c r="D1229" s="4" t="s">
        <v>917</v>
      </c>
      <c r="E1229" s="4" t="s">
        <v>602</v>
      </c>
      <c r="F1229" s="29">
        <f>прил6!F225</f>
        <v>1346590.31</v>
      </c>
      <c r="G1229" s="29"/>
    </row>
    <row r="1230" spans="1:7" ht="47.25">
      <c r="A1230" s="3" t="s">
        <v>701</v>
      </c>
      <c r="B1230" s="4" t="s">
        <v>216</v>
      </c>
      <c r="C1230" s="4" t="s">
        <v>605</v>
      </c>
      <c r="D1230" s="4"/>
      <c r="E1230" s="4"/>
      <c r="F1230" s="29">
        <f>F1231</f>
        <v>841430</v>
      </c>
      <c r="G1230" s="29"/>
    </row>
    <row r="1231" spans="1:7" ht="29.25" customHeight="1">
      <c r="A1231" s="3" t="s">
        <v>59</v>
      </c>
      <c r="B1231" s="4" t="s">
        <v>216</v>
      </c>
      <c r="C1231" s="4" t="s">
        <v>605</v>
      </c>
      <c r="D1231" s="4" t="s">
        <v>917</v>
      </c>
      <c r="E1231" s="4"/>
      <c r="F1231" s="29">
        <f>F1232</f>
        <v>841430</v>
      </c>
      <c r="G1231" s="29"/>
    </row>
    <row r="1232" spans="1:7" ht="31.5">
      <c r="A1232" s="3" t="s">
        <v>741</v>
      </c>
      <c r="B1232" s="4" t="s">
        <v>216</v>
      </c>
      <c r="C1232" s="4" t="s">
        <v>605</v>
      </c>
      <c r="D1232" s="4" t="s">
        <v>917</v>
      </c>
      <c r="E1232" s="4" t="s">
        <v>602</v>
      </c>
      <c r="F1232" s="29">
        <f>прил6!F226</f>
        <v>841430</v>
      </c>
      <c r="G1232" s="29"/>
    </row>
    <row r="1233" spans="1:7" ht="31.5">
      <c r="A1233" s="3" t="s">
        <v>523</v>
      </c>
      <c r="B1233" s="4" t="s">
        <v>1100</v>
      </c>
      <c r="C1233" s="60"/>
      <c r="D1233" s="4"/>
      <c r="E1233" s="4"/>
      <c r="F1233" s="29">
        <f>F1234</f>
        <v>992324.14</v>
      </c>
      <c r="G1233" s="29"/>
    </row>
    <row r="1234" spans="1:7" ht="47.25">
      <c r="A1234" s="3" t="s">
        <v>701</v>
      </c>
      <c r="B1234" s="4" t="s">
        <v>1100</v>
      </c>
      <c r="C1234" s="60">
        <v>200</v>
      </c>
      <c r="D1234" s="4"/>
      <c r="E1234" s="4"/>
      <c r="F1234" s="29">
        <f>F1235</f>
        <v>992324.14</v>
      </c>
      <c r="G1234" s="29"/>
    </row>
    <row r="1235" spans="1:7" ht="31.5">
      <c r="A1235" s="3" t="s">
        <v>59</v>
      </c>
      <c r="B1235" s="4" t="s">
        <v>1100</v>
      </c>
      <c r="C1235" s="4" t="s">
        <v>605</v>
      </c>
      <c r="D1235" s="4" t="s">
        <v>917</v>
      </c>
      <c r="E1235" s="4"/>
      <c r="F1235" s="29">
        <f>F1236</f>
        <v>992324.14</v>
      </c>
      <c r="G1235" s="29"/>
    </row>
    <row r="1236" spans="1:7" ht="31.5">
      <c r="A1236" s="3" t="s">
        <v>741</v>
      </c>
      <c r="B1236" s="4" t="s">
        <v>1100</v>
      </c>
      <c r="C1236" s="4" t="s">
        <v>605</v>
      </c>
      <c r="D1236" s="4" t="s">
        <v>917</v>
      </c>
      <c r="E1236" s="4" t="s">
        <v>602</v>
      </c>
      <c r="F1236" s="29">
        <f>прил6!F228</f>
        <v>992324.14</v>
      </c>
      <c r="G1236" s="29"/>
    </row>
    <row r="1237" spans="1:7" ht="94.5">
      <c r="A1237" s="3" t="s">
        <v>124</v>
      </c>
      <c r="B1237" s="4" t="s">
        <v>778</v>
      </c>
      <c r="C1237" s="4"/>
      <c r="D1237" s="4"/>
      <c r="E1237" s="4"/>
      <c r="F1237" s="29">
        <f>F1238+F1249+F1261</f>
        <v>9331481.66</v>
      </c>
      <c r="G1237" s="29"/>
    </row>
    <row r="1238" spans="1:7" ht="94.5">
      <c r="A1238" s="3" t="s">
        <v>779</v>
      </c>
      <c r="B1238" s="4" t="s">
        <v>780</v>
      </c>
      <c r="C1238" s="4"/>
      <c r="D1238" s="4"/>
      <c r="E1238" s="4"/>
      <c r="F1238" s="29">
        <f>F1239</f>
        <v>3028677.29</v>
      </c>
      <c r="G1238" s="29"/>
    </row>
    <row r="1239" spans="1:7" ht="94.5">
      <c r="A1239" s="3" t="s">
        <v>749</v>
      </c>
      <c r="B1239" s="4" t="s">
        <v>781</v>
      </c>
      <c r="C1239" s="4"/>
      <c r="D1239" s="4"/>
      <c r="E1239" s="4"/>
      <c r="F1239" s="29">
        <f>F1240+F1243+F1246</f>
        <v>3028677.29</v>
      </c>
      <c r="G1239" s="29"/>
    </row>
    <row r="1240" spans="1:7" ht="110.25">
      <c r="A1240" s="3" t="s">
        <v>92</v>
      </c>
      <c r="B1240" s="4" t="s">
        <v>781</v>
      </c>
      <c r="C1240" s="4" t="s">
        <v>604</v>
      </c>
      <c r="D1240" s="4"/>
      <c r="E1240" s="4"/>
      <c r="F1240" s="29">
        <f>F1241</f>
        <v>2780492.29</v>
      </c>
      <c r="G1240" s="29"/>
    </row>
    <row r="1241" spans="1:7" ht="31.5">
      <c r="A1241" s="3" t="s">
        <v>61</v>
      </c>
      <c r="B1241" s="4" t="s">
        <v>781</v>
      </c>
      <c r="C1241" s="4" t="s">
        <v>604</v>
      </c>
      <c r="D1241" s="4" t="s">
        <v>50</v>
      </c>
      <c r="E1241" s="4"/>
      <c r="F1241" s="29">
        <f>F1242</f>
        <v>2780492.29</v>
      </c>
      <c r="G1241" s="29"/>
    </row>
    <row r="1242" spans="1:7" ht="31.5">
      <c r="A1242" s="3" t="s">
        <v>63</v>
      </c>
      <c r="B1242" s="4" t="s">
        <v>781</v>
      </c>
      <c r="C1242" s="4" t="s">
        <v>604</v>
      </c>
      <c r="D1242" s="4" t="s">
        <v>50</v>
      </c>
      <c r="E1242" s="4" t="s">
        <v>600</v>
      </c>
      <c r="F1242" s="29">
        <f>прил6!F374</f>
        <v>2780492.29</v>
      </c>
      <c r="G1242" s="29"/>
    </row>
    <row r="1243" spans="1:7" ht="47.25">
      <c r="A1243" s="3" t="s">
        <v>701</v>
      </c>
      <c r="B1243" s="4" t="s">
        <v>781</v>
      </c>
      <c r="C1243" s="4" t="s">
        <v>605</v>
      </c>
      <c r="D1243" s="4"/>
      <c r="E1243" s="4"/>
      <c r="F1243" s="29">
        <f>F1244</f>
        <v>128185</v>
      </c>
      <c r="G1243" s="29"/>
    </row>
    <row r="1244" spans="1:7" ht="31.5">
      <c r="A1244" s="3" t="s">
        <v>61</v>
      </c>
      <c r="B1244" s="4" t="s">
        <v>781</v>
      </c>
      <c r="C1244" s="4" t="s">
        <v>605</v>
      </c>
      <c r="D1244" s="4" t="s">
        <v>50</v>
      </c>
      <c r="E1244" s="4"/>
      <c r="F1244" s="29">
        <f>F1245</f>
        <v>128185</v>
      </c>
      <c r="G1244" s="29"/>
    </row>
    <row r="1245" spans="1:7" ht="31.5">
      <c r="A1245" s="3" t="s">
        <v>63</v>
      </c>
      <c r="B1245" s="4" t="s">
        <v>781</v>
      </c>
      <c r="C1245" s="4" t="s">
        <v>605</v>
      </c>
      <c r="D1245" s="4" t="s">
        <v>50</v>
      </c>
      <c r="E1245" s="4" t="s">
        <v>600</v>
      </c>
      <c r="F1245" s="29">
        <f>прил6!F375</f>
        <v>128185</v>
      </c>
      <c r="G1245" s="29"/>
    </row>
    <row r="1246" spans="1:7" ht="31.5">
      <c r="A1246" s="3" t="s">
        <v>1040</v>
      </c>
      <c r="B1246" s="4" t="s">
        <v>781</v>
      </c>
      <c r="C1246" s="4" t="s">
        <v>608</v>
      </c>
      <c r="D1246" s="4"/>
      <c r="E1246" s="4"/>
      <c r="F1246" s="29">
        <f>F1247</f>
        <v>120000</v>
      </c>
      <c r="G1246" s="29"/>
    </row>
    <row r="1247" spans="1:7" ht="31.5">
      <c r="A1247" s="3" t="s">
        <v>61</v>
      </c>
      <c r="B1247" s="4" t="s">
        <v>781</v>
      </c>
      <c r="C1247" s="4" t="s">
        <v>608</v>
      </c>
      <c r="D1247" s="4" t="s">
        <v>50</v>
      </c>
      <c r="E1247" s="4"/>
      <c r="F1247" s="29">
        <f>F1248</f>
        <v>120000</v>
      </c>
      <c r="G1247" s="29"/>
    </row>
    <row r="1248" spans="1:7" ht="31.5">
      <c r="A1248" s="3" t="s">
        <v>63</v>
      </c>
      <c r="B1248" s="4" t="s">
        <v>781</v>
      </c>
      <c r="C1248" s="4" t="s">
        <v>608</v>
      </c>
      <c r="D1248" s="4" t="s">
        <v>50</v>
      </c>
      <c r="E1248" s="4" t="s">
        <v>600</v>
      </c>
      <c r="F1248" s="29">
        <f>прил6!F376</f>
        <v>120000</v>
      </c>
      <c r="G1248" s="29"/>
    </row>
    <row r="1249" spans="1:7" ht="141.75">
      <c r="A1249" s="3" t="s">
        <v>782</v>
      </c>
      <c r="B1249" s="4" t="s">
        <v>783</v>
      </c>
      <c r="C1249" s="4"/>
      <c r="D1249" s="4"/>
      <c r="E1249" s="4"/>
      <c r="F1249" s="29">
        <f>F1250+F1257</f>
        <v>3198858.23</v>
      </c>
      <c r="G1249" s="29"/>
    </row>
    <row r="1250" spans="1:7" ht="94.5">
      <c r="A1250" s="3" t="s">
        <v>749</v>
      </c>
      <c r="B1250" s="4" t="s">
        <v>784</v>
      </c>
      <c r="C1250" s="4"/>
      <c r="D1250" s="4"/>
      <c r="E1250" s="4"/>
      <c r="F1250" s="29">
        <f>F1251+F1254</f>
        <v>3075352.41</v>
      </c>
      <c r="G1250" s="29"/>
    </row>
    <row r="1251" spans="1:7" ht="110.25">
      <c r="A1251" s="3" t="s">
        <v>92</v>
      </c>
      <c r="B1251" s="4" t="s">
        <v>784</v>
      </c>
      <c r="C1251" s="4" t="s">
        <v>604</v>
      </c>
      <c r="D1251" s="4"/>
      <c r="E1251" s="4"/>
      <c r="F1251" s="29">
        <f>F1252</f>
        <v>2983967.83</v>
      </c>
      <c r="G1251" s="29"/>
    </row>
    <row r="1252" spans="1:7" ht="31.5">
      <c r="A1252" s="3" t="s">
        <v>61</v>
      </c>
      <c r="B1252" s="4" t="s">
        <v>784</v>
      </c>
      <c r="C1252" s="4" t="s">
        <v>604</v>
      </c>
      <c r="D1252" s="4" t="s">
        <v>50</v>
      </c>
      <c r="E1252" s="4"/>
      <c r="F1252" s="29">
        <f>F1253</f>
        <v>2983967.83</v>
      </c>
      <c r="G1252" s="29"/>
    </row>
    <row r="1253" spans="1:7" ht="31.5">
      <c r="A1253" s="3" t="s">
        <v>63</v>
      </c>
      <c r="B1253" s="4" t="s">
        <v>784</v>
      </c>
      <c r="C1253" s="4" t="s">
        <v>604</v>
      </c>
      <c r="D1253" s="4" t="s">
        <v>50</v>
      </c>
      <c r="E1253" s="4" t="s">
        <v>600</v>
      </c>
      <c r="F1253" s="29">
        <f>прил6!F379</f>
        <v>2983967.83</v>
      </c>
      <c r="G1253" s="29"/>
    </row>
    <row r="1254" spans="1:7" ht="47.25">
      <c r="A1254" s="3" t="s">
        <v>701</v>
      </c>
      <c r="B1254" s="4" t="s">
        <v>784</v>
      </c>
      <c r="C1254" s="4" t="s">
        <v>605</v>
      </c>
      <c r="D1254" s="4"/>
      <c r="E1254" s="4"/>
      <c r="F1254" s="29">
        <f>F1255</f>
        <v>91384.58</v>
      </c>
      <c r="G1254" s="29"/>
    </row>
    <row r="1255" spans="1:7" ht="31.5">
      <c r="A1255" s="3" t="s">
        <v>61</v>
      </c>
      <c r="B1255" s="4" t="s">
        <v>784</v>
      </c>
      <c r="C1255" s="4" t="s">
        <v>605</v>
      </c>
      <c r="D1255" s="4" t="s">
        <v>50</v>
      </c>
      <c r="E1255" s="4"/>
      <c r="F1255" s="29">
        <f>F1256</f>
        <v>91384.58</v>
      </c>
      <c r="G1255" s="29"/>
    </row>
    <row r="1256" spans="1:7" ht="31.5">
      <c r="A1256" s="3" t="s">
        <v>63</v>
      </c>
      <c r="B1256" s="4" t="s">
        <v>784</v>
      </c>
      <c r="C1256" s="4" t="s">
        <v>605</v>
      </c>
      <c r="D1256" s="4" t="s">
        <v>50</v>
      </c>
      <c r="E1256" s="4" t="s">
        <v>600</v>
      </c>
      <c r="F1256" s="29">
        <f>прил6!F380</f>
        <v>91384.58</v>
      </c>
      <c r="G1256" s="29"/>
    </row>
    <row r="1257" spans="1:7" ht="94.5">
      <c r="A1257" s="3" t="s">
        <v>587</v>
      </c>
      <c r="B1257" s="4" t="s">
        <v>785</v>
      </c>
      <c r="C1257" s="4"/>
      <c r="D1257" s="4"/>
      <c r="E1257" s="4"/>
      <c r="F1257" s="29">
        <f>F1258</f>
        <v>123505.82</v>
      </c>
      <c r="G1257" s="29"/>
    </row>
    <row r="1258" spans="1:7" ht="110.25">
      <c r="A1258" s="3" t="s">
        <v>506</v>
      </c>
      <c r="B1258" s="4" t="s">
        <v>785</v>
      </c>
      <c r="C1258" s="4" t="s">
        <v>604</v>
      </c>
      <c r="D1258" s="4"/>
      <c r="E1258" s="4"/>
      <c r="F1258" s="29">
        <f>F1259</f>
        <v>123505.82</v>
      </c>
      <c r="G1258" s="29"/>
    </row>
    <row r="1259" spans="1:7" ht="31.5">
      <c r="A1259" s="3" t="s">
        <v>61</v>
      </c>
      <c r="B1259" s="4" t="s">
        <v>785</v>
      </c>
      <c r="C1259" s="4" t="s">
        <v>604</v>
      </c>
      <c r="D1259" s="4" t="s">
        <v>50</v>
      </c>
      <c r="E1259" s="4"/>
      <c r="F1259" s="29">
        <f>F1260</f>
        <v>123505.82</v>
      </c>
      <c r="G1259" s="29"/>
    </row>
    <row r="1260" spans="1:7" ht="31.5">
      <c r="A1260" s="3" t="s">
        <v>63</v>
      </c>
      <c r="B1260" s="4" t="s">
        <v>785</v>
      </c>
      <c r="C1260" s="4" t="s">
        <v>604</v>
      </c>
      <c r="D1260" s="4" t="s">
        <v>50</v>
      </c>
      <c r="E1260" s="4" t="s">
        <v>600</v>
      </c>
      <c r="F1260" s="29">
        <f>прил6!F382</f>
        <v>123505.82</v>
      </c>
      <c r="G1260" s="29"/>
    </row>
    <row r="1261" spans="1:7" ht="141.75">
      <c r="A1261" s="3" t="s">
        <v>786</v>
      </c>
      <c r="B1261" s="4" t="s">
        <v>787</v>
      </c>
      <c r="C1261" s="4"/>
      <c r="D1261" s="4"/>
      <c r="E1261" s="4"/>
      <c r="F1261" s="29">
        <f>F1262</f>
        <v>3103946.14</v>
      </c>
      <c r="G1261" s="29"/>
    </row>
    <row r="1262" spans="1:7" ht="94.5">
      <c r="A1262" s="3" t="s">
        <v>749</v>
      </c>
      <c r="B1262" s="4" t="s">
        <v>788</v>
      </c>
      <c r="C1262" s="4"/>
      <c r="D1262" s="4"/>
      <c r="E1262" s="4"/>
      <c r="F1262" s="29">
        <f>F1263+F1266+F1269</f>
        <v>3103946.14</v>
      </c>
      <c r="G1262" s="29"/>
    </row>
    <row r="1263" spans="1:7" ht="110.25">
      <c r="A1263" s="3" t="s">
        <v>92</v>
      </c>
      <c r="B1263" s="4" t="s">
        <v>788</v>
      </c>
      <c r="C1263" s="4" t="s">
        <v>604</v>
      </c>
      <c r="D1263" s="4"/>
      <c r="E1263" s="4"/>
      <c r="F1263" s="29">
        <f>F1264</f>
        <v>2974801.15</v>
      </c>
      <c r="G1263" s="29"/>
    </row>
    <row r="1264" spans="1:7" ht="31.5">
      <c r="A1264" s="3" t="s">
        <v>61</v>
      </c>
      <c r="B1264" s="4" t="s">
        <v>788</v>
      </c>
      <c r="C1264" s="4" t="s">
        <v>604</v>
      </c>
      <c r="D1264" s="4" t="s">
        <v>50</v>
      </c>
      <c r="E1264" s="4"/>
      <c r="F1264" s="29">
        <f>F1265</f>
        <v>2974801.15</v>
      </c>
      <c r="G1264" s="29"/>
    </row>
    <row r="1265" spans="1:7" ht="31.5">
      <c r="A1265" s="3" t="s">
        <v>63</v>
      </c>
      <c r="B1265" s="4" t="s">
        <v>788</v>
      </c>
      <c r="C1265" s="4" t="s">
        <v>604</v>
      </c>
      <c r="D1265" s="4" t="s">
        <v>50</v>
      </c>
      <c r="E1265" s="4" t="s">
        <v>600</v>
      </c>
      <c r="F1265" s="29">
        <f>прил6!F385</f>
        <v>2974801.15</v>
      </c>
      <c r="G1265" s="29"/>
    </row>
    <row r="1266" spans="1:7" ht="47.25">
      <c r="A1266" s="3" t="s">
        <v>701</v>
      </c>
      <c r="B1266" s="4" t="s">
        <v>788</v>
      </c>
      <c r="C1266" s="4" t="s">
        <v>605</v>
      </c>
      <c r="D1266" s="4"/>
      <c r="E1266" s="4"/>
      <c r="F1266" s="29">
        <f>F1267</f>
        <v>119678.5</v>
      </c>
      <c r="G1266" s="29"/>
    </row>
    <row r="1267" spans="1:7" ht="31.5">
      <c r="A1267" s="3" t="s">
        <v>61</v>
      </c>
      <c r="B1267" s="4" t="s">
        <v>788</v>
      </c>
      <c r="C1267" s="4" t="s">
        <v>605</v>
      </c>
      <c r="D1267" s="4" t="s">
        <v>50</v>
      </c>
      <c r="E1267" s="4"/>
      <c r="F1267" s="29">
        <f>F1268</f>
        <v>119678.5</v>
      </c>
      <c r="G1267" s="29"/>
    </row>
    <row r="1268" spans="1:7" ht="31.5">
      <c r="A1268" s="3" t="s">
        <v>63</v>
      </c>
      <c r="B1268" s="4" t="s">
        <v>788</v>
      </c>
      <c r="C1268" s="4" t="s">
        <v>605</v>
      </c>
      <c r="D1268" s="4" t="s">
        <v>50</v>
      </c>
      <c r="E1268" s="4" t="s">
        <v>600</v>
      </c>
      <c r="F1268" s="29">
        <f>прил6!F386</f>
        <v>119678.5</v>
      </c>
      <c r="G1268" s="29"/>
    </row>
    <row r="1269" spans="1:7" ht="31.5">
      <c r="A1269" s="3" t="s">
        <v>1040</v>
      </c>
      <c r="B1269" s="4" t="s">
        <v>788</v>
      </c>
      <c r="C1269" s="4" t="s">
        <v>608</v>
      </c>
      <c r="D1269" s="4"/>
      <c r="E1269" s="4"/>
      <c r="F1269" s="29">
        <f>F1270</f>
        <v>9466.49</v>
      </c>
      <c r="G1269" s="29"/>
    </row>
    <row r="1270" spans="1:7" ht="31.5">
      <c r="A1270" s="3" t="s">
        <v>61</v>
      </c>
      <c r="B1270" s="4" t="s">
        <v>788</v>
      </c>
      <c r="C1270" s="4" t="s">
        <v>608</v>
      </c>
      <c r="D1270" s="4" t="s">
        <v>50</v>
      </c>
      <c r="E1270" s="4"/>
      <c r="F1270" s="29">
        <f>F1271</f>
        <v>9466.49</v>
      </c>
      <c r="G1270" s="29"/>
    </row>
    <row r="1271" spans="1:7" ht="31.5">
      <c r="A1271" s="3" t="s">
        <v>63</v>
      </c>
      <c r="B1271" s="4" t="s">
        <v>788</v>
      </c>
      <c r="C1271" s="4" t="s">
        <v>608</v>
      </c>
      <c r="D1271" s="4" t="s">
        <v>50</v>
      </c>
      <c r="E1271" s="4" t="s">
        <v>600</v>
      </c>
      <c r="F1271" s="29">
        <f>прил6!F387</f>
        <v>9466.49</v>
      </c>
      <c r="G1271" s="29"/>
    </row>
    <row r="1272" spans="1:7" ht="47.25">
      <c r="A1272" s="3" t="s">
        <v>133</v>
      </c>
      <c r="B1272" s="4" t="s">
        <v>708</v>
      </c>
      <c r="C1272" s="60"/>
      <c r="D1272" s="4"/>
      <c r="E1272" s="4"/>
      <c r="F1272" s="29">
        <f>F1273+F1281+F1290</f>
        <v>2092685.4400000002</v>
      </c>
      <c r="G1272" s="29"/>
    </row>
    <row r="1273" spans="1:7" ht="78.75">
      <c r="A1273" s="3" t="s">
        <v>711</v>
      </c>
      <c r="B1273" s="4" t="s">
        <v>673</v>
      </c>
      <c r="C1273" s="60"/>
      <c r="D1273" s="4"/>
      <c r="E1273" s="4"/>
      <c r="F1273" s="29">
        <f>F1274</f>
        <v>883265.1100000001</v>
      </c>
      <c r="G1273" s="29"/>
    </row>
    <row r="1274" spans="1:7" ht="50.25" customHeight="1">
      <c r="A1274" s="3" t="s">
        <v>590</v>
      </c>
      <c r="B1274" s="4" t="s">
        <v>1111</v>
      </c>
      <c r="C1274" s="60"/>
      <c r="D1274" s="4"/>
      <c r="E1274" s="4"/>
      <c r="F1274" s="29">
        <f>F1275+F1278</f>
        <v>883265.1100000001</v>
      </c>
      <c r="G1274" s="29"/>
    </row>
    <row r="1275" spans="1:7" ht="110.25">
      <c r="A1275" s="3" t="s">
        <v>506</v>
      </c>
      <c r="B1275" s="4" t="s">
        <v>1111</v>
      </c>
      <c r="C1275" s="60">
        <v>100</v>
      </c>
      <c r="D1275" s="4"/>
      <c r="E1275" s="4"/>
      <c r="F1275" s="29">
        <f>F1276</f>
        <v>345084.95</v>
      </c>
      <c r="G1275" s="29"/>
    </row>
    <row r="1276" spans="1:7" ht="31.5">
      <c r="A1276" s="3" t="s">
        <v>59</v>
      </c>
      <c r="B1276" s="4" t="s">
        <v>1111</v>
      </c>
      <c r="C1276" s="4" t="s">
        <v>604</v>
      </c>
      <c r="D1276" s="4" t="s">
        <v>917</v>
      </c>
      <c r="E1276" s="4"/>
      <c r="F1276" s="29">
        <f>F1277</f>
        <v>345084.95</v>
      </c>
      <c r="G1276" s="29"/>
    </row>
    <row r="1277" spans="1:7" ht="31.5">
      <c r="A1277" s="3" t="s">
        <v>741</v>
      </c>
      <c r="B1277" s="4" t="s">
        <v>1111</v>
      </c>
      <c r="C1277" s="4" t="s">
        <v>604</v>
      </c>
      <c r="D1277" s="4" t="s">
        <v>917</v>
      </c>
      <c r="E1277" s="4" t="s">
        <v>602</v>
      </c>
      <c r="F1277" s="29">
        <f>прил6!F232</f>
        <v>345084.95</v>
      </c>
      <c r="G1277" s="29"/>
    </row>
    <row r="1278" spans="1:7" ht="47.25">
      <c r="A1278" s="3" t="s">
        <v>701</v>
      </c>
      <c r="B1278" s="4" t="s">
        <v>1111</v>
      </c>
      <c r="C1278" s="4" t="s">
        <v>605</v>
      </c>
      <c r="D1278" s="4"/>
      <c r="E1278" s="4"/>
      <c r="F1278" s="29">
        <f>F1279</f>
        <v>538180.16</v>
      </c>
      <c r="G1278" s="33"/>
    </row>
    <row r="1279" spans="1:7" ht="31.5">
      <c r="A1279" s="3" t="s">
        <v>59</v>
      </c>
      <c r="B1279" s="4" t="s">
        <v>1111</v>
      </c>
      <c r="C1279" s="4" t="s">
        <v>605</v>
      </c>
      <c r="D1279" s="4" t="s">
        <v>917</v>
      </c>
      <c r="E1279" s="4"/>
      <c r="F1279" s="29">
        <f>F1280</f>
        <v>538180.16</v>
      </c>
      <c r="G1279" s="29"/>
    </row>
    <row r="1280" spans="1:7" ht="31.5">
      <c r="A1280" s="3" t="s">
        <v>741</v>
      </c>
      <c r="B1280" s="4" t="s">
        <v>1111</v>
      </c>
      <c r="C1280" s="4" t="s">
        <v>605</v>
      </c>
      <c r="D1280" s="4" t="s">
        <v>917</v>
      </c>
      <c r="E1280" s="4" t="s">
        <v>602</v>
      </c>
      <c r="F1280" s="29">
        <f>прил6!F233</f>
        <v>538180.16</v>
      </c>
      <c r="G1280" s="29"/>
    </row>
    <row r="1281" spans="1:7" ht="31.5">
      <c r="A1281" s="3" t="s">
        <v>217</v>
      </c>
      <c r="B1281" s="4" t="s">
        <v>218</v>
      </c>
      <c r="C1281" s="60"/>
      <c r="D1281" s="4"/>
      <c r="E1281" s="4"/>
      <c r="F1281" s="29">
        <f>F1282</f>
        <v>279325.5</v>
      </c>
      <c r="G1281" s="29"/>
    </row>
    <row r="1282" spans="1:7" ht="51.75" customHeight="1">
      <c r="A1282" s="3" t="s">
        <v>590</v>
      </c>
      <c r="B1282" s="4" t="s">
        <v>1112</v>
      </c>
      <c r="C1282" s="60"/>
      <c r="D1282" s="4"/>
      <c r="E1282" s="4"/>
      <c r="F1282" s="29">
        <f>F1283</f>
        <v>279325.5</v>
      </c>
      <c r="G1282" s="29"/>
    </row>
    <row r="1283" spans="1:7" ht="47.25">
      <c r="A1283" s="3" t="s">
        <v>701</v>
      </c>
      <c r="B1283" s="4" t="s">
        <v>1112</v>
      </c>
      <c r="C1283" s="60">
        <v>200</v>
      </c>
      <c r="D1283" s="4"/>
      <c r="E1283" s="4"/>
      <c r="F1283" s="29">
        <f>F1288</f>
        <v>279325.5</v>
      </c>
      <c r="G1283" s="33"/>
    </row>
    <row r="1284" spans="1:7" ht="15" hidden="1">
      <c r="A1284" s="3"/>
      <c r="B1284" s="4" t="s">
        <v>1112</v>
      </c>
      <c r="C1284" s="4"/>
      <c r="D1284" s="4"/>
      <c r="E1284" s="4"/>
      <c r="F1284" s="29"/>
      <c r="G1284" s="33"/>
    </row>
    <row r="1285" spans="1:7" ht="15" hidden="1">
      <c r="A1285" s="3"/>
      <c r="B1285" s="4" t="s">
        <v>1112</v>
      </c>
      <c r="C1285" s="4"/>
      <c r="D1285" s="4"/>
      <c r="E1285" s="4"/>
      <c r="F1285" s="29"/>
      <c r="G1285" s="33"/>
    </row>
    <row r="1286" spans="1:7" ht="15" hidden="1">
      <c r="A1286" s="3"/>
      <c r="B1286" s="4" t="s">
        <v>1112</v>
      </c>
      <c r="C1286" s="4"/>
      <c r="D1286" s="4"/>
      <c r="E1286" s="4"/>
      <c r="F1286" s="29"/>
      <c r="G1286" s="33"/>
    </row>
    <row r="1287" spans="1:7" ht="15" hidden="1">
      <c r="A1287" s="3"/>
      <c r="B1287" s="4" t="s">
        <v>1112</v>
      </c>
      <c r="C1287" s="4"/>
      <c r="D1287" s="4"/>
      <c r="E1287" s="4"/>
      <c r="F1287" s="29"/>
      <c r="G1287" s="33"/>
    </row>
    <row r="1288" spans="1:7" ht="31.5">
      <c r="A1288" s="3" t="s">
        <v>59</v>
      </c>
      <c r="B1288" s="4" t="s">
        <v>1112</v>
      </c>
      <c r="C1288" s="4" t="s">
        <v>605</v>
      </c>
      <c r="D1288" s="4" t="s">
        <v>917</v>
      </c>
      <c r="E1288" s="4"/>
      <c r="F1288" s="29">
        <f>F1289</f>
        <v>279325.5</v>
      </c>
      <c r="G1288" s="33"/>
    </row>
    <row r="1289" spans="1:7" ht="31.5">
      <c r="A1289" s="3" t="s">
        <v>741</v>
      </c>
      <c r="B1289" s="4" t="s">
        <v>1112</v>
      </c>
      <c r="C1289" s="4" t="s">
        <v>605</v>
      </c>
      <c r="D1289" s="4" t="s">
        <v>917</v>
      </c>
      <c r="E1289" s="4" t="s">
        <v>602</v>
      </c>
      <c r="F1289" s="29">
        <f>прил6!F236</f>
        <v>279325.5</v>
      </c>
      <c r="G1289" s="33"/>
    </row>
    <row r="1290" spans="1:7" ht="63">
      <c r="A1290" s="3" t="s">
        <v>219</v>
      </c>
      <c r="B1290" s="4" t="s">
        <v>220</v>
      </c>
      <c r="C1290" s="60"/>
      <c r="D1290" s="4"/>
      <c r="E1290" s="4"/>
      <c r="F1290" s="29">
        <f>F1291</f>
        <v>930094.8300000001</v>
      </c>
      <c r="G1290" s="33"/>
    </row>
    <row r="1291" spans="1:7" ht="59.25" customHeight="1">
      <c r="A1291" s="3" t="s">
        <v>590</v>
      </c>
      <c r="B1291" s="4" t="s">
        <v>1110</v>
      </c>
      <c r="C1291" s="60"/>
      <c r="D1291" s="4"/>
      <c r="E1291" s="4"/>
      <c r="F1291" s="29">
        <f>F1292+F1295</f>
        <v>930094.8300000001</v>
      </c>
      <c r="G1291" s="33"/>
    </row>
    <row r="1292" spans="1:7" ht="110.25">
      <c r="A1292" s="3" t="s">
        <v>506</v>
      </c>
      <c r="B1292" s="4" t="s">
        <v>1110</v>
      </c>
      <c r="C1292" s="60">
        <v>100</v>
      </c>
      <c r="D1292" s="4"/>
      <c r="E1292" s="4"/>
      <c r="F1292" s="29">
        <f>F1293</f>
        <v>611830.3300000001</v>
      </c>
      <c r="G1292" s="33"/>
    </row>
    <row r="1293" spans="1:7" ht="31.5">
      <c r="A1293" s="3" t="s">
        <v>59</v>
      </c>
      <c r="B1293" s="4" t="s">
        <v>1110</v>
      </c>
      <c r="C1293" s="4" t="s">
        <v>604</v>
      </c>
      <c r="D1293" s="4" t="s">
        <v>917</v>
      </c>
      <c r="E1293" s="4"/>
      <c r="F1293" s="29">
        <f>F1294</f>
        <v>611830.3300000001</v>
      </c>
      <c r="G1293" s="33"/>
    </row>
    <row r="1294" spans="1:7" ht="31.5">
      <c r="A1294" s="3" t="s">
        <v>741</v>
      </c>
      <c r="B1294" s="4" t="s">
        <v>1110</v>
      </c>
      <c r="C1294" s="4" t="s">
        <v>604</v>
      </c>
      <c r="D1294" s="4" t="s">
        <v>917</v>
      </c>
      <c r="E1294" s="4" t="s">
        <v>602</v>
      </c>
      <c r="F1294" s="29">
        <f>прил6!F239</f>
        <v>611830.3300000001</v>
      </c>
      <c r="G1294" s="33"/>
    </row>
    <row r="1295" spans="1:7" ht="47.25">
      <c r="A1295" s="3" t="s">
        <v>701</v>
      </c>
      <c r="B1295" s="4" t="s">
        <v>1110</v>
      </c>
      <c r="C1295" s="4" t="s">
        <v>605</v>
      </c>
      <c r="D1295" s="4"/>
      <c r="E1295" s="4"/>
      <c r="F1295" s="29">
        <f>F1296</f>
        <v>318264.5</v>
      </c>
      <c r="G1295" s="33"/>
    </row>
    <row r="1296" spans="1:7" ht="31.5">
      <c r="A1296" s="3" t="s">
        <v>59</v>
      </c>
      <c r="B1296" s="4" t="s">
        <v>1110</v>
      </c>
      <c r="C1296" s="4" t="s">
        <v>605</v>
      </c>
      <c r="D1296" s="4" t="s">
        <v>917</v>
      </c>
      <c r="E1296" s="4"/>
      <c r="F1296" s="29">
        <f>F1297</f>
        <v>318264.5</v>
      </c>
      <c r="G1296" s="29"/>
    </row>
    <row r="1297" spans="1:7" ht="31.5">
      <c r="A1297" s="3" t="s">
        <v>741</v>
      </c>
      <c r="B1297" s="4" t="s">
        <v>1110</v>
      </c>
      <c r="C1297" s="4" t="s">
        <v>605</v>
      </c>
      <c r="D1297" s="4" t="s">
        <v>917</v>
      </c>
      <c r="E1297" s="4" t="s">
        <v>602</v>
      </c>
      <c r="F1297" s="29">
        <f>прил6!F240</f>
        <v>318264.5</v>
      </c>
      <c r="G1297" s="29"/>
    </row>
    <row r="1298" spans="1:7" ht="27" customHeight="1">
      <c r="A1298" s="39" t="s">
        <v>91</v>
      </c>
      <c r="B1298" s="5" t="s">
        <v>734</v>
      </c>
      <c r="C1298" s="5"/>
      <c r="D1298" s="5"/>
      <c r="E1298" s="5"/>
      <c r="F1298" s="28">
        <f>F1299+F1303+F1307+F1311+F1319+F1324+F1334+F1342+F1346+F1350+F1315+F1354+F1338+F1330</f>
        <v>24433248.009999998</v>
      </c>
      <c r="G1298" s="28">
        <f>G1299+G1303+G1307+G1311+G1319+G1324+G1334+G1342+G1346+G1350</f>
        <v>38000</v>
      </c>
    </row>
    <row r="1299" spans="1:7" ht="113.25" customHeight="1">
      <c r="A1299" s="3" t="s">
        <v>749</v>
      </c>
      <c r="B1299" s="4" t="s">
        <v>548</v>
      </c>
      <c r="C1299" s="4"/>
      <c r="D1299" s="2"/>
      <c r="E1299" s="2"/>
      <c r="F1299" s="29">
        <f>F1300</f>
        <v>2981422.8</v>
      </c>
      <c r="G1299" s="33"/>
    </row>
    <row r="1300" spans="1:7" ht="64.5" customHeight="1">
      <c r="A1300" s="3" t="s">
        <v>525</v>
      </c>
      <c r="B1300" s="4" t="s">
        <v>548</v>
      </c>
      <c r="C1300" s="4" t="s">
        <v>609</v>
      </c>
      <c r="D1300" s="2"/>
      <c r="E1300" s="2"/>
      <c r="F1300" s="29">
        <f>F1301</f>
        <v>2981422.8</v>
      </c>
      <c r="G1300" s="33"/>
    </row>
    <row r="1301" spans="1:7" ht="37.5" customHeight="1">
      <c r="A1301" s="27" t="s">
        <v>49</v>
      </c>
      <c r="B1301" s="4" t="s">
        <v>548</v>
      </c>
      <c r="C1301" s="4" t="s">
        <v>609</v>
      </c>
      <c r="D1301" s="4" t="s">
        <v>42</v>
      </c>
      <c r="E1301" s="4"/>
      <c r="F1301" s="29">
        <f>F1302</f>
        <v>2981422.8</v>
      </c>
      <c r="G1301" s="33"/>
    </row>
    <row r="1302" spans="1:7" ht="58.5" customHeight="1">
      <c r="A1302" s="27" t="s">
        <v>739</v>
      </c>
      <c r="B1302" s="4" t="s">
        <v>548</v>
      </c>
      <c r="C1302" s="4" t="s">
        <v>609</v>
      </c>
      <c r="D1302" s="4" t="s">
        <v>42</v>
      </c>
      <c r="E1302" s="4" t="s">
        <v>42</v>
      </c>
      <c r="F1302" s="29">
        <f>прил6!F469</f>
        <v>2981422.8</v>
      </c>
      <c r="G1302" s="33"/>
    </row>
    <row r="1303" spans="1:7" ht="47.25">
      <c r="A1303" s="3" t="s">
        <v>586</v>
      </c>
      <c r="B1303" s="4" t="s">
        <v>735</v>
      </c>
      <c r="C1303" s="4"/>
      <c r="D1303" s="2"/>
      <c r="E1303" s="2"/>
      <c r="F1303" s="29">
        <f>F1304</f>
        <v>2268855.47</v>
      </c>
      <c r="G1303" s="33"/>
    </row>
    <row r="1304" spans="1:7" ht="110.25">
      <c r="A1304" s="3" t="s">
        <v>92</v>
      </c>
      <c r="B1304" s="4" t="s">
        <v>735</v>
      </c>
      <c r="C1304" s="4" t="s">
        <v>604</v>
      </c>
      <c r="D1304" s="4"/>
      <c r="E1304" s="4"/>
      <c r="F1304" s="29">
        <f>F1305</f>
        <v>2268855.47</v>
      </c>
      <c r="G1304" s="29"/>
    </row>
    <row r="1305" spans="1:7" ht="31.5">
      <c r="A1305" s="3" t="s">
        <v>59</v>
      </c>
      <c r="B1305" s="4" t="s">
        <v>735</v>
      </c>
      <c r="C1305" s="4" t="s">
        <v>604</v>
      </c>
      <c r="D1305" s="4" t="s">
        <v>917</v>
      </c>
      <c r="E1305" s="4"/>
      <c r="F1305" s="29">
        <f>F1306</f>
        <v>2268855.47</v>
      </c>
      <c r="G1305" s="29"/>
    </row>
    <row r="1306" spans="1:7" ht="63">
      <c r="A1306" s="3" t="s">
        <v>814</v>
      </c>
      <c r="B1306" s="4" t="s">
        <v>735</v>
      </c>
      <c r="C1306" s="4" t="s">
        <v>604</v>
      </c>
      <c r="D1306" s="4" t="s">
        <v>917</v>
      </c>
      <c r="E1306" s="4" t="s">
        <v>45</v>
      </c>
      <c r="F1306" s="29">
        <f>прил6!F13</f>
        <v>2268855.47</v>
      </c>
      <c r="G1306" s="29"/>
    </row>
    <row r="1307" spans="1:7" ht="63">
      <c r="A1307" s="3" t="s">
        <v>588</v>
      </c>
      <c r="B1307" s="4" t="s">
        <v>703</v>
      </c>
      <c r="C1307" s="4"/>
      <c r="D1307" s="4"/>
      <c r="E1307" s="4"/>
      <c r="F1307" s="29">
        <f>F1308</f>
        <v>1656638.54</v>
      </c>
      <c r="G1307" s="29"/>
    </row>
    <row r="1308" spans="1:7" ht="110.25">
      <c r="A1308" s="3" t="s">
        <v>92</v>
      </c>
      <c r="B1308" s="4" t="s">
        <v>703</v>
      </c>
      <c r="C1308" s="4" t="s">
        <v>604</v>
      </c>
      <c r="D1308" s="4"/>
      <c r="E1308" s="4"/>
      <c r="F1308" s="29">
        <f>F1309</f>
        <v>1656638.54</v>
      </c>
      <c r="G1308" s="29"/>
    </row>
    <row r="1309" spans="1:7" ht="31.5">
      <c r="A1309" s="3" t="s">
        <v>59</v>
      </c>
      <c r="B1309" s="4" t="s">
        <v>703</v>
      </c>
      <c r="C1309" s="4" t="s">
        <v>604</v>
      </c>
      <c r="D1309" s="4" t="s">
        <v>917</v>
      </c>
      <c r="E1309" s="4"/>
      <c r="F1309" s="29">
        <f>F1310</f>
        <v>1656638.54</v>
      </c>
      <c r="G1309" s="29"/>
    </row>
    <row r="1310" spans="1:7" ht="78.75">
      <c r="A1310" s="3" t="s">
        <v>610</v>
      </c>
      <c r="B1310" s="4" t="s">
        <v>703</v>
      </c>
      <c r="C1310" s="4" t="s">
        <v>604</v>
      </c>
      <c r="D1310" s="4" t="s">
        <v>917</v>
      </c>
      <c r="E1310" s="4" t="s">
        <v>47</v>
      </c>
      <c r="F1310" s="29">
        <f>прил6!F19</f>
        <v>1656638.54</v>
      </c>
      <c r="G1310" s="29"/>
    </row>
    <row r="1311" spans="1:7" ht="78.75">
      <c r="A1311" s="27" t="s">
        <v>592</v>
      </c>
      <c r="B1311" s="4" t="s">
        <v>748</v>
      </c>
      <c r="C1311" s="4"/>
      <c r="D1311" s="4"/>
      <c r="E1311" s="4"/>
      <c r="F1311" s="29">
        <f>F1312</f>
        <v>1270273.59</v>
      </c>
      <c r="G1311" s="29"/>
    </row>
    <row r="1312" spans="1:7" ht="110.25">
      <c r="A1312" s="27" t="s">
        <v>506</v>
      </c>
      <c r="B1312" s="4" t="s">
        <v>748</v>
      </c>
      <c r="C1312" s="4" t="s">
        <v>604</v>
      </c>
      <c r="D1312" s="4"/>
      <c r="E1312" s="4"/>
      <c r="F1312" s="29">
        <f>F1313</f>
        <v>1270273.59</v>
      </c>
      <c r="G1312" s="29"/>
    </row>
    <row r="1313" spans="1:7" ht="31.5">
      <c r="A1313" s="3" t="s">
        <v>59</v>
      </c>
      <c r="B1313" s="4" t="s">
        <v>748</v>
      </c>
      <c r="C1313" s="4" t="s">
        <v>604</v>
      </c>
      <c r="D1313" s="4" t="s">
        <v>917</v>
      </c>
      <c r="E1313" s="4"/>
      <c r="F1313" s="29">
        <f>F1314</f>
        <v>1270273.59</v>
      </c>
      <c r="G1313" s="29"/>
    </row>
    <row r="1314" spans="1:7" ht="81.75" customHeight="1">
      <c r="A1314" s="3" t="s">
        <v>119</v>
      </c>
      <c r="B1314" s="4" t="s">
        <v>748</v>
      </c>
      <c r="C1314" s="4" t="s">
        <v>604</v>
      </c>
      <c r="D1314" s="4" t="s">
        <v>917</v>
      </c>
      <c r="E1314" s="4" t="s">
        <v>41</v>
      </c>
      <c r="F1314" s="29">
        <f>прил6!F98</f>
        <v>1270273.59</v>
      </c>
      <c r="G1314" s="29"/>
    </row>
    <row r="1315" spans="1:7" ht="63.75" customHeight="1">
      <c r="A1315" s="3" t="s">
        <v>1069</v>
      </c>
      <c r="B1315" s="4" t="s">
        <v>1070</v>
      </c>
      <c r="C1315" s="4"/>
      <c r="D1315" s="4"/>
      <c r="E1315" s="4"/>
      <c r="F1315" s="29">
        <f>F1316</f>
        <v>562092</v>
      </c>
      <c r="G1315" s="29"/>
    </row>
    <row r="1316" spans="1:7" ht="63" customHeight="1">
      <c r="A1316" s="3" t="s">
        <v>701</v>
      </c>
      <c r="B1316" s="4" t="s">
        <v>1070</v>
      </c>
      <c r="C1316" s="4" t="s">
        <v>605</v>
      </c>
      <c r="D1316" s="4"/>
      <c r="E1316" s="4"/>
      <c r="F1316" s="29">
        <f>F1317</f>
        <v>562092</v>
      </c>
      <c r="G1316" s="29"/>
    </row>
    <row r="1317" spans="1:7" ht="24" customHeight="1">
      <c r="A1317" s="3" t="s">
        <v>59</v>
      </c>
      <c r="B1317" s="4" t="s">
        <v>1070</v>
      </c>
      <c r="C1317" s="4" t="s">
        <v>605</v>
      </c>
      <c r="D1317" s="4" t="s">
        <v>917</v>
      </c>
      <c r="E1317" s="4"/>
      <c r="F1317" s="29">
        <f>F1318</f>
        <v>562092</v>
      </c>
      <c r="G1317" s="29"/>
    </row>
    <row r="1318" spans="1:7" ht="38.25" customHeight="1">
      <c r="A1318" s="3" t="s">
        <v>1068</v>
      </c>
      <c r="B1318" s="4" t="s">
        <v>1070</v>
      </c>
      <c r="C1318" s="4" t="s">
        <v>605</v>
      </c>
      <c r="D1318" s="4" t="s">
        <v>917</v>
      </c>
      <c r="E1318" s="4" t="s">
        <v>43</v>
      </c>
      <c r="F1318" s="29">
        <f>прил6!F94</f>
        <v>562092</v>
      </c>
      <c r="G1318" s="29"/>
    </row>
    <row r="1319" spans="1:7" ht="47.25">
      <c r="A1319" s="3" t="s">
        <v>589</v>
      </c>
      <c r="B1319" s="4" t="s">
        <v>704</v>
      </c>
      <c r="C1319" s="4"/>
      <c r="D1319" s="4"/>
      <c r="E1319" s="4"/>
      <c r="F1319" s="29">
        <f>F1320</f>
        <v>4922262.66</v>
      </c>
      <c r="G1319" s="29"/>
    </row>
    <row r="1320" spans="1:7" ht="110.25">
      <c r="A1320" s="3" t="s">
        <v>92</v>
      </c>
      <c r="B1320" s="4" t="s">
        <v>704</v>
      </c>
      <c r="C1320" s="4" t="s">
        <v>604</v>
      </c>
      <c r="D1320" s="4"/>
      <c r="E1320" s="4"/>
      <c r="F1320" s="29">
        <f>F1321</f>
        <v>4922262.66</v>
      </c>
      <c r="G1320" s="29"/>
    </row>
    <row r="1321" spans="1:7" ht="31.5">
      <c r="A1321" s="3" t="s">
        <v>59</v>
      </c>
      <c r="B1321" s="4" t="s">
        <v>704</v>
      </c>
      <c r="C1321" s="4" t="s">
        <v>604</v>
      </c>
      <c r="D1321" s="4" t="s">
        <v>917</v>
      </c>
      <c r="E1321" s="4"/>
      <c r="F1321" s="29">
        <f>F1322+F1323</f>
        <v>4922262.66</v>
      </c>
      <c r="G1321" s="29"/>
    </row>
    <row r="1322" spans="1:7" ht="78.75">
      <c r="A1322" s="3" t="s">
        <v>610</v>
      </c>
      <c r="B1322" s="4" t="s">
        <v>704</v>
      </c>
      <c r="C1322" s="4" t="s">
        <v>604</v>
      </c>
      <c r="D1322" s="4" t="s">
        <v>917</v>
      </c>
      <c r="E1322" s="4" t="s">
        <v>47</v>
      </c>
      <c r="F1322" s="29">
        <f>прил6!F21</f>
        <v>2987578</v>
      </c>
      <c r="G1322" s="29"/>
    </row>
    <row r="1323" spans="1:7" ht="78.75">
      <c r="A1323" s="3" t="s">
        <v>119</v>
      </c>
      <c r="B1323" s="4" t="s">
        <v>704</v>
      </c>
      <c r="C1323" s="4" t="s">
        <v>604</v>
      </c>
      <c r="D1323" s="4" t="s">
        <v>917</v>
      </c>
      <c r="E1323" s="4" t="s">
        <v>41</v>
      </c>
      <c r="F1323" s="29">
        <f>прил6!F100</f>
        <v>1934684.66</v>
      </c>
      <c r="G1323" s="29"/>
    </row>
    <row r="1324" spans="1:7" ht="94.5">
      <c r="A1324" s="3" t="s">
        <v>587</v>
      </c>
      <c r="B1324" s="4" t="s">
        <v>702</v>
      </c>
      <c r="C1324" s="4"/>
      <c r="D1324" s="4"/>
      <c r="E1324" s="4"/>
      <c r="F1324" s="29">
        <f>F1325</f>
        <v>51319.73999999999</v>
      </c>
      <c r="G1324" s="29"/>
    </row>
    <row r="1325" spans="1:7" ht="110.25">
      <c r="A1325" s="3" t="s">
        <v>92</v>
      </c>
      <c r="B1325" s="4" t="s">
        <v>702</v>
      </c>
      <c r="C1325" s="4" t="s">
        <v>604</v>
      </c>
      <c r="D1325" s="4"/>
      <c r="E1325" s="4"/>
      <c r="F1325" s="29">
        <f>F1326</f>
        <v>51319.73999999999</v>
      </c>
      <c r="G1325" s="29"/>
    </row>
    <row r="1326" spans="1:7" ht="30" customHeight="1">
      <c r="A1326" s="3" t="s">
        <v>59</v>
      </c>
      <c r="B1326" s="4" t="s">
        <v>702</v>
      </c>
      <c r="C1326" s="4" t="s">
        <v>604</v>
      </c>
      <c r="D1326" s="4" t="s">
        <v>917</v>
      </c>
      <c r="E1326" s="4"/>
      <c r="F1326" s="29">
        <f>F1327+F1328+F1329</f>
        <v>51319.73999999999</v>
      </c>
      <c r="G1326" s="29"/>
    </row>
    <row r="1327" spans="1:7" ht="61.5" hidden="1">
      <c r="A1327" s="3" t="s">
        <v>814</v>
      </c>
      <c r="B1327" s="4" t="s">
        <v>702</v>
      </c>
      <c r="C1327" s="4" t="s">
        <v>604</v>
      </c>
      <c r="D1327" s="4" t="s">
        <v>917</v>
      </c>
      <c r="E1327" s="4" t="s">
        <v>45</v>
      </c>
      <c r="F1327" s="29">
        <f>прил6!F15</f>
        <v>0</v>
      </c>
      <c r="G1327" s="29"/>
    </row>
    <row r="1328" spans="1:7" ht="78.75">
      <c r="A1328" s="3" t="s">
        <v>610</v>
      </c>
      <c r="B1328" s="4" t="s">
        <v>702</v>
      </c>
      <c r="C1328" s="4" t="s">
        <v>604</v>
      </c>
      <c r="D1328" s="4" t="s">
        <v>917</v>
      </c>
      <c r="E1328" s="4" t="s">
        <v>47</v>
      </c>
      <c r="F1328" s="29">
        <f>прил6!F23</f>
        <v>125.98999999999069</v>
      </c>
      <c r="G1328" s="29"/>
    </row>
    <row r="1329" spans="1:7" ht="78.75">
      <c r="A1329" s="3" t="s">
        <v>119</v>
      </c>
      <c r="B1329" s="4" t="s">
        <v>702</v>
      </c>
      <c r="C1329" s="4" t="s">
        <v>604</v>
      </c>
      <c r="D1329" s="4" t="s">
        <v>917</v>
      </c>
      <c r="E1329" s="4" t="s">
        <v>41</v>
      </c>
      <c r="F1329" s="29">
        <f>прил6!F102</f>
        <v>51193.75</v>
      </c>
      <c r="G1329" s="29"/>
    </row>
    <row r="1330" spans="1:7" ht="47.25">
      <c r="A1330" s="3" t="s">
        <v>756</v>
      </c>
      <c r="B1330" s="4" t="s">
        <v>1130</v>
      </c>
      <c r="C1330" s="4"/>
      <c r="D1330" s="4"/>
      <c r="E1330" s="4"/>
      <c r="F1330" s="29">
        <f>F1331</f>
        <v>369269</v>
      </c>
      <c r="G1330" s="29"/>
    </row>
    <row r="1331" spans="1:7" ht="47.25">
      <c r="A1331" s="3" t="s">
        <v>701</v>
      </c>
      <c r="B1331" s="4" t="s">
        <v>1130</v>
      </c>
      <c r="C1331" s="4" t="s">
        <v>605</v>
      </c>
      <c r="D1331" s="4"/>
      <c r="E1331" s="4"/>
      <c r="F1331" s="29">
        <f>F1332</f>
        <v>369269</v>
      </c>
      <c r="G1331" s="29"/>
    </row>
    <row r="1332" spans="1:7" ht="31.5">
      <c r="A1332" s="3" t="s">
        <v>59</v>
      </c>
      <c r="B1332" s="4" t="s">
        <v>1130</v>
      </c>
      <c r="C1332" s="4" t="s">
        <v>605</v>
      </c>
      <c r="D1332" s="4" t="s">
        <v>917</v>
      </c>
      <c r="E1332" s="4"/>
      <c r="F1332" s="29">
        <f>F1333</f>
        <v>369269</v>
      </c>
      <c r="G1332" s="29"/>
    </row>
    <row r="1333" spans="1:7" ht="31.5">
      <c r="A1333" s="3" t="s">
        <v>741</v>
      </c>
      <c r="B1333" s="4" t="s">
        <v>1130</v>
      </c>
      <c r="C1333" s="4" t="s">
        <v>605</v>
      </c>
      <c r="D1333" s="4" t="s">
        <v>917</v>
      </c>
      <c r="E1333" s="4" t="s">
        <v>602</v>
      </c>
      <c r="F1333" s="29">
        <f>прил6!F243</f>
        <v>369269</v>
      </c>
      <c r="G1333" s="29"/>
    </row>
    <row r="1334" spans="1:7" ht="31.5">
      <c r="A1334" s="3" t="s">
        <v>747</v>
      </c>
      <c r="B1334" s="4" t="s">
        <v>674</v>
      </c>
      <c r="C1334" s="4"/>
      <c r="D1334" s="4"/>
      <c r="E1334" s="4"/>
      <c r="F1334" s="29">
        <f>F1335</f>
        <v>664798</v>
      </c>
      <c r="G1334" s="29"/>
    </row>
    <row r="1335" spans="1:7" ht="31.5">
      <c r="A1335" s="3" t="s">
        <v>1040</v>
      </c>
      <c r="B1335" s="4" t="s">
        <v>674</v>
      </c>
      <c r="C1335" s="4" t="s">
        <v>608</v>
      </c>
      <c r="D1335" s="4"/>
      <c r="E1335" s="4"/>
      <c r="F1335" s="29">
        <f>F1336</f>
        <v>664798</v>
      </c>
      <c r="G1335" s="29"/>
    </row>
    <row r="1336" spans="1:7" ht="31.5">
      <c r="A1336" s="3" t="s">
        <v>59</v>
      </c>
      <c r="B1336" s="4" t="s">
        <v>674</v>
      </c>
      <c r="C1336" s="4" t="s">
        <v>608</v>
      </c>
      <c r="D1336" s="4" t="s">
        <v>917</v>
      </c>
      <c r="E1336" s="4"/>
      <c r="F1336" s="29">
        <f>F1337</f>
        <v>664798</v>
      </c>
      <c r="G1336" s="29"/>
    </row>
    <row r="1337" spans="1:7" ht="31.5">
      <c r="A1337" s="3" t="s">
        <v>741</v>
      </c>
      <c r="B1337" s="4" t="s">
        <v>674</v>
      </c>
      <c r="C1337" s="4" t="s">
        <v>608</v>
      </c>
      <c r="D1337" s="4" t="s">
        <v>917</v>
      </c>
      <c r="E1337" s="4" t="s">
        <v>602</v>
      </c>
      <c r="F1337" s="29">
        <f>прил6!F245</f>
        <v>664798</v>
      </c>
      <c r="G1337" s="29"/>
    </row>
    <row r="1338" spans="1:7" ht="31.5">
      <c r="A1338" s="3" t="s">
        <v>273</v>
      </c>
      <c r="B1338" s="4" t="s">
        <v>274</v>
      </c>
      <c r="C1338" s="4"/>
      <c r="D1338" s="4"/>
      <c r="E1338" s="4"/>
      <c r="F1338" s="29">
        <f>F1339</f>
        <v>600000</v>
      </c>
      <c r="G1338" s="29"/>
    </row>
    <row r="1339" spans="1:7" ht="31.5">
      <c r="A1339" s="3" t="s">
        <v>1040</v>
      </c>
      <c r="B1339" s="4" t="s">
        <v>274</v>
      </c>
      <c r="C1339" s="4" t="s">
        <v>608</v>
      </c>
      <c r="D1339" s="4"/>
      <c r="E1339" s="4"/>
      <c r="F1339" s="29">
        <f>F1340</f>
        <v>600000</v>
      </c>
      <c r="G1339" s="29"/>
    </row>
    <row r="1340" spans="1:7" ht="31.5">
      <c r="A1340" s="3" t="s">
        <v>59</v>
      </c>
      <c r="B1340" s="4" t="s">
        <v>274</v>
      </c>
      <c r="C1340" s="4" t="s">
        <v>608</v>
      </c>
      <c r="D1340" s="4" t="s">
        <v>917</v>
      </c>
      <c r="E1340" s="4"/>
      <c r="F1340" s="29">
        <f>F1341</f>
        <v>600000</v>
      </c>
      <c r="G1340" s="29"/>
    </row>
    <row r="1341" spans="1:7" ht="31.5">
      <c r="A1341" s="3" t="s">
        <v>741</v>
      </c>
      <c r="B1341" s="4" t="s">
        <v>274</v>
      </c>
      <c r="C1341" s="4" t="s">
        <v>608</v>
      </c>
      <c r="D1341" s="4" t="s">
        <v>917</v>
      </c>
      <c r="E1341" s="4" t="s">
        <v>602</v>
      </c>
      <c r="F1341" s="29">
        <f>прил6!F247</f>
        <v>600000</v>
      </c>
      <c r="G1341" s="29"/>
    </row>
    <row r="1342" spans="1:7" ht="31.5">
      <c r="A1342" s="3" t="s">
        <v>98</v>
      </c>
      <c r="B1342" s="4" t="s">
        <v>1050</v>
      </c>
      <c r="C1342" s="4"/>
      <c r="D1342" s="4"/>
      <c r="E1342" s="4"/>
      <c r="F1342" s="29">
        <f>F1343</f>
        <v>500000</v>
      </c>
      <c r="G1342" s="29"/>
    </row>
    <row r="1343" spans="1:7" ht="31.5">
      <c r="A1343" s="3" t="s">
        <v>1040</v>
      </c>
      <c r="B1343" s="4" t="s">
        <v>1050</v>
      </c>
      <c r="C1343" s="4" t="s">
        <v>608</v>
      </c>
      <c r="D1343" s="4"/>
      <c r="E1343" s="4"/>
      <c r="F1343" s="29">
        <f>F1344</f>
        <v>500000</v>
      </c>
      <c r="G1343" s="29"/>
    </row>
    <row r="1344" spans="1:7" ht="31.5">
      <c r="A1344" s="3" t="s">
        <v>59</v>
      </c>
      <c r="B1344" s="4" t="s">
        <v>1050</v>
      </c>
      <c r="C1344" s="4" t="s">
        <v>608</v>
      </c>
      <c r="D1344" s="4" t="s">
        <v>917</v>
      </c>
      <c r="E1344" s="4"/>
      <c r="F1344" s="29">
        <f>F1345</f>
        <v>500000</v>
      </c>
      <c r="G1344" s="29"/>
    </row>
    <row r="1345" spans="1:7" ht="31.5">
      <c r="A1345" s="3" t="s">
        <v>740</v>
      </c>
      <c r="B1345" s="4" t="s">
        <v>1050</v>
      </c>
      <c r="C1345" s="4" t="s">
        <v>608</v>
      </c>
      <c r="D1345" s="4" t="s">
        <v>917</v>
      </c>
      <c r="E1345" s="4" t="s">
        <v>144</v>
      </c>
      <c r="F1345" s="29">
        <f>прил6!F106</f>
        <v>500000</v>
      </c>
      <c r="G1345" s="29"/>
    </row>
    <row r="1346" spans="1:7" ht="94.5">
      <c r="A1346" s="3" t="s">
        <v>101</v>
      </c>
      <c r="B1346" s="4" t="s">
        <v>203</v>
      </c>
      <c r="C1346" s="4"/>
      <c r="D1346" s="4"/>
      <c r="E1346" s="4"/>
      <c r="F1346" s="29">
        <f>F1347</f>
        <v>38000</v>
      </c>
      <c r="G1346" s="29">
        <f>F1346</f>
        <v>38000</v>
      </c>
    </row>
    <row r="1347" spans="1:7" ht="47.25">
      <c r="A1347" s="3" t="s">
        <v>701</v>
      </c>
      <c r="B1347" s="4" t="s">
        <v>203</v>
      </c>
      <c r="C1347" s="4" t="s">
        <v>605</v>
      </c>
      <c r="D1347" s="4"/>
      <c r="E1347" s="4"/>
      <c r="F1347" s="29">
        <f>F1348</f>
        <v>38000</v>
      </c>
      <c r="G1347" s="29">
        <f>F1347</f>
        <v>38000</v>
      </c>
    </row>
    <row r="1348" spans="1:7" ht="26.25" customHeight="1">
      <c r="A1348" s="3" t="s">
        <v>59</v>
      </c>
      <c r="B1348" s="4" t="s">
        <v>203</v>
      </c>
      <c r="C1348" s="4" t="s">
        <v>605</v>
      </c>
      <c r="D1348" s="4" t="s">
        <v>917</v>
      </c>
      <c r="E1348" s="4"/>
      <c r="F1348" s="29">
        <f>F1349</f>
        <v>38000</v>
      </c>
      <c r="G1348" s="29">
        <f>F1348</f>
        <v>38000</v>
      </c>
    </row>
    <row r="1349" spans="1:7" ht="31.5">
      <c r="A1349" s="3" t="s">
        <v>766</v>
      </c>
      <c r="B1349" s="4" t="s">
        <v>203</v>
      </c>
      <c r="C1349" s="4" t="s">
        <v>605</v>
      </c>
      <c r="D1349" s="4" t="s">
        <v>917</v>
      </c>
      <c r="E1349" s="4" t="s">
        <v>42</v>
      </c>
      <c r="F1349" s="29">
        <f>прил6!F90</f>
        <v>38000</v>
      </c>
      <c r="G1349" s="29">
        <f>F1349</f>
        <v>38000</v>
      </c>
    </row>
    <row r="1350" spans="1:7" ht="126">
      <c r="A1350" s="3" t="s">
        <v>134</v>
      </c>
      <c r="B1350" s="4" t="s">
        <v>321</v>
      </c>
      <c r="C1350" s="4"/>
      <c r="D1350" s="4"/>
      <c r="E1350" s="4"/>
      <c r="F1350" s="29">
        <f>F1351</f>
        <v>7615670.9</v>
      </c>
      <c r="G1350" s="29"/>
    </row>
    <row r="1351" spans="1:7" ht="31.5">
      <c r="A1351" s="3" t="s">
        <v>565</v>
      </c>
      <c r="B1351" s="4" t="s">
        <v>321</v>
      </c>
      <c r="C1351" s="4" t="s">
        <v>566</v>
      </c>
      <c r="D1351" s="4"/>
      <c r="E1351" s="4"/>
      <c r="F1351" s="29">
        <f>F1352</f>
        <v>7615670.9</v>
      </c>
      <c r="G1351" s="29"/>
    </row>
    <row r="1352" spans="1:7" ht="31.5">
      <c r="A1352" s="3" t="s">
        <v>54</v>
      </c>
      <c r="B1352" s="4" t="s">
        <v>321</v>
      </c>
      <c r="C1352" s="4" t="s">
        <v>566</v>
      </c>
      <c r="D1352" s="4" t="s">
        <v>48</v>
      </c>
      <c r="E1352" s="4"/>
      <c r="F1352" s="29">
        <f>F1353</f>
        <v>7615670.9</v>
      </c>
      <c r="G1352" s="29"/>
    </row>
    <row r="1353" spans="1:7" ht="31.5">
      <c r="A1353" s="3" t="s">
        <v>744</v>
      </c>
      <c r="B1353" s="4" t="s">
        <v>321</v>
      </c>
      <c r="C1353" s="4" t="s">
        <v>566</v>
      </c>
      <c r="D1353" s="4" t="s">
        <v>48</v>
      </c>
      <c r="E1353" s="4" t="s">
        <v>917</v>
      </c>
      <c r="F1353" s="29">
        <f>прил6!F743</f>
        <v>7615670.9</v>
      </c>
      <c r="G1353" s="29"/>
    </row>
    <row r="1354" spans="1:7" ht="33.75" customHeight="1">
      <c r="A1354" s="3" t="s">
        <v>920</v>
      </c>
      <c r="B1354" s="4" t="s">
        <v>921</v>
      </c>
      <c r="C1354" s="4"/>
      <c r="D1354" s="4"/>
      <c r="E1354" s="4"/>
      <c r="F1354" s="29">
        <f>F1358+F1355</f>
        <v>932645.31</v>
      </c>
      <c r="G1354" s="29"/>
    </row>
    <row r="1355" spans="1:7" ht="53.25" customHeight="1">
      <c r="A1355" s="3" t="s">
        <v>701</v>
      </c>
      <c r="B1355" s="4" t="s">
        <v>921</v>
      </c>
      <c r="C1355" s="4" t="s">
        <v>605</v>
      </c>
      <c r="D1355" s="4"/>
      <c r="E1355" s="4"/>
      <c r="F1355" s="29">
        <f>F1356</f>
        <v>686316.8</v>
      </c>
      <c r="G1355" s="29"/>
    </row>
    <row r="1356" spans="1:7" ht="33.75" customHeight="1">
      <c r="A1356" s="3" t="s">
        <v>59</v>
      </c>
      <c r="B1356" s="4" t="s">
        <v>921</v>
      </c>
      <c r="C1356" s="4" t="s">
        <v>605</v>
      </c>
      <c r="D1356" s="4" t="s">
        <v>917</v>
      </c>
      <c r="E1356" s="4"/>
      <c r="F1356" s="29">
        <f>F1357</f>
        <v>686316.8</v>
      </c>
      <c r="G1356" s="29"/>
    </row>
    <row r="1357" spans="1:7" ht="33.75" customHeight="1">
      <c r="A1357" s="3" t="s">
        <v>741</v>
      </c>
      <c r="B1357" s="4" t="s">
        <v>921</v>
      </c>
      <c r="C1357" s="4" t="s">
        <v>605</v>
      </c>
      <c r="D1357" s="4" t="s">
        <v>917</v>
      </c>
      <c r="E1357" s="4" t="s">
        <v>602</v>
      </c>
      <c r="F1357" s="29">
        <f>прил6!F249</f>
        <v>686316.8</v>
      </c>
      <c r="G1357" s="29"/>
    </row>
    <row r="1358" spans="1:7" ht="31.5">
      <c r="A1358" s="3" t="s">
        <v>1040</v>
      </c>
      <c r="B1358" s="4" t="s">
        <v>921</v>
      </c>
      <c r="C1358" s="4" t="s">
        <v>608</v>
      </c>
      <c r="D1358" s="4"/>
      <c r="E1358" s="4"/>
      <c r="F1358" s="29">
        <f>F1359</f>
        <v>246328.51</v>
      </c>
      <c r="G1358" s="29"/>
    </row>
    <row r="1359" spans="1:7" ht="31.5">
      <c r="A1359" s="3" t="s">
        <v>59</v>
      </c>
      <c r="B1359" s="4" t="s">
        <v>921</v>
      </c>
      <c r="C1359" s="4" t="s">
        <v>608</v>
      </c>
      <c r="D1359" s="4" t="s">
        <v>917</v>
      </c>
      <c r="E1359" s="4"/>
      <c r="F1359" s="29">
        <f>F1360</f>
        <v>246328.51</v>
      </c>
      <c r="G1359" s="29"/>
    </row>
    <row r="1360" spans="1:7" ht="31.5">
      <c r="A1360" s="3" t="s">
        <v>741</v>
      </c>
      <c r="B1360" s="4" t="s">
        <v>921</v>
      </c>
      <c r="C1360" s="4" t="s">
        <v>608</v>
      </c>
      <c r="D1360" s="4" t="s">
        <v>917</v>
      </c>
      <c r="E1360" s="4" t="s">
        <v>602</v>
      </c>
      <c r="F1360" s="29">
        <f>прил6!F250</f>
        <v>246328.51</v>
      </c>
      <c r="G1360" s="29"/>
    </row>
    <row r="1361" spans="1:7" ht="15.75">
      <c r="A1361" s="53" t="s">
        <v>531</v>
      </c>
      <c r="B1361" s="55"/>
      <c r="C1361" s="55"/>
      <c r="D1361" s="55"/>
      <c r="E1361" s="55"/>
      <c r="F1361" s="57">
        <f>F9+F332+F360+F421+F581+F736+F790+F810+F837+F880+F900+F999+F1298+F1021</f>
        <v>2171749099.17</v>
      </c>
      <c r="G1361" s="57">
        <f>G9+G332+G360+G421+G581+G736+G790+G810+G837+G880+G900+G999+G1298+G1021</f>
        <v>778306432.7900001</v>
      </c>
    </row>
    <row r="1362" spans="1:7" ht="16.5" customHeight="1">
      <c r="A1362" s="17"/>
      <c r="B1362" s="18"/>
      <c r="C1362" s="18"/>
      <c r="D1362" s="18"/>
      <c r="E1362" s="18"/>
      <c r="F1362" s="44"/>
      <c r="G1362" s="44"/>
    </row>
    <row r="1363" spans="1:7" ht="15" hidden="1">
      <c r="A1363" s="17"/>
      <c r="B1363" s="18"/>
      <c r="C1363" s="18"/>
      <c r="D1363" s="18"/>
      <c r="E1363" s="18"/>
      <c r="F1363" s="44"/>
      <c r="G1363" s="44"/>
    </row>
    <row r="1364" spans="1:7" ht="15" hidden="1">
      <c r="A1364" s="17"/>
      <c r="B1364" s="18"/>
      <c r="C1364" s="18"/>
      <c r="D1364" s="288"/>
      <c r="E1364" s="288"/>
      <c r="F1364" s="44">
        <f>прил7!G1065</f>
        <v>2171749099.17</v>
      </c>
      <c r="G1364" s="44">
        <f>прил7!H1065</f>
        <v>778306432.79</v>
      </c>
    </row>
    <row r="1365" spans="1:7" ht="15" hidden="1">
      <c r="A1365" s="17"/>
      <c r="B1365" s="18"/>
      <c r="C1365" s="18"/>
      <c r="D1365" s="18"/>
      <c r="E1365" s="18"/>
      <c r="F1365" s="44"/>
      <c r="G1365" s="44"/>
    </row>
    <row r="1366" spans="1:7" ht="15" hidden="1">
      <c r="A1366" s="17"/>
      <c r="B1366" s="18"/>
      <c r="C1366" s="18"/>
      <c r="D1366" s="18"/>
      <c r="E1366" s="18"/>
      <c r="F1366" s="44">
        <f>F1361-F1364</f>
        <v>0</v>
      </c>
      <c r="G1366" s="44">
        <f>G1361-G1364</f>
        <v>0</v>
      </c>
    </row>
    <row r="1367" spans="1:7" ht="15" hidden="1">
      <c r="A1367" s="17"/>
      <c r="B1367" s="18"/>
      <c r="C1367" s="18"/>
      <c r="D1367" s="18"/>
      <c r="E1367" s="18"/>
      <c r="F1367" s="44"/>
      <c r="G1367" s="44"/>
    </row>
    <row r="1368" spans="1:7" ht="15" hidden="1">
      <c r="A1368" s="17"/>
      <c r="B1368" s="18"/>
      <c r="C1368" s="18"/>
      <c r="D1368" s="18"/>
      <c r="E1368" s="18"/>
      <c r="F1368" s="44">
        <f>прил7!G1067</f>
        <v>2150432763.17</v>
      </c>
      <c r="G1368" s="44">
        <f>прил7!H1067</f>
        <v>756990096.79</v>
      </c>
    </row>
    <row r="1369" spans="1:7" ht="15" hidden="1">
      <c r="A1369" s="17"/>
      <c r="B1369" s="18"/>
      <c r="C1369" s="18"/>
      <c r="D1369" s="18"/>
      <c r="E1369" s="18"/>
      <c r="F1369" s="44"/>
      <c r="G1369" s="44"/>
    </row>
    <row r="1370" spans="1:7" ht="15" hidden="1">
      <c r="A1370" s="17"/>
      <c r="B1370" s="18"/>
      <c r="C1370" s="18"/>
      <c r="D1370" s="18"/>
      <c r="E1370" s="18"/>
      <c r="F1370" s="44">
        <f>F1361-F1368</f>
        <v>21316336</v>
      </c>
      <c r="G1370" s="44">
        <f>G1361-G1368</f>
        <v>21316336.00000012</v>
      </c>
    </row>
    <row r="1371" spans="1:7" ht="15" hidden="1">
      <c r="A1371" s="17"/>
      <c r="B1371" s="18"/>
      <c r="C1371" s="18"/>
      <c r="D1371" s="18"/>
      <c r="E1371" s="18"/>
      <c r="F1371" s="44"/>
      <c r="G1371" s="44"/>
    </row>
    <row r="1372" spans="1:7" ht="15" hidden="1">
      <c r="A1372" s="17"/>
      <c r="B1372" s="18"/>
      <c r="C1372" s="18"/>
      <c r="D1372" s="18"/>
      <c r="E1372" s="18"/>
      <c r="F1372" s="44">
        <f>18902160+1214000+685600+158000+50000-144100</f>
        <v>20865660</v>
      </c>
      <c r="G1372" s="44">
        <f>18902160+1214000+685600+158000+50000-144100</f>
        <v>20865660</v>
      </c>
    </row>
    <row r="1373" spans="1:7" ht="15" hidden="1">
      <c r="A1373" s="17"/>
      <c r="B1373" s="18"/>
      <c r="C1373" s="18"/>
      <c r="D1373" s="18"/>
      <c r="E1373" s="18"/>
      <c r="F1373" s="44"/>
      <c r="G1373" s="44"/>
    </row>
    <row r="1374" spans="1:7" ht="15" hidden="1">
      <c r="A1374" s="17"/>
      <c r="B1374" s="18"/>
      <c r="C1374" s="18"/>
      <c r="D1374" s="18"/>
      <c r="E1374" s="18"/>
      <c r="F1374" s="44">
        <f>F1370-F1372</f>
        <v>450676</v>
      </c>
      <c r="G1374" s="44">
        <f>G1370-G1372</f>
        <v>450676.0000001192</v>
      </c>
    </row>
    <row r="1375" spans="1:7" ht="15" hidden="1">
      <c r="A1375" s="17"/>
      <c r="B1375" s="18"/>
      <c r="C1375" s="18"/>
      <c r="D1375" s="18"/>
      <c r="E1375" s="18"/>
      <c r="F1375" s="44"/>
      <c r="G1375" s="44"/>
    </row>
    <row r="1376" spans="1:7" ht="15" hidden="1">
      <c r="A1376" s="17"/>
      <c r="B1376" s="18"/>
      <c r="C1376" s="18"/>
      <c r="D1376" s="18"/>
      <c r="E1376" s="18"/>
      <c r="F1376" s="44"/>
      <c r="G1376" s="44"/>
    </row>
    <row r="1377" spans="1:7" ht="15.75">
      <c r="A1377" s="17"/>
      <c r="B1377" s="18"/>
      <c r="C1377" s="18"/>
      <c r="D1377" s="18"/>
      <c r="E1377" s="18"/>
      <c r="F1377" s="44">
        <f>прил7!G1078</f>
        <v>2171298423.17</v>
      </c>
      <c r="G1377" s="44">
        <f>прил7!H1078</f>
        <v>777855756.79</v>
      </c>
    </row>
    <row r="1378" spans="1:7" ht="15.75">
      <c r="A1378" s="17"/>
      <c r="B1378" s="18"/>
      <c r="C1378" s="18"/>
      <c r="D1378" s="18"/>
      <c r="E1378" s="18"/>
      <c r="F1378" s="44"/>
      <c r="G1378" s="44"/>
    </row>
    <row r="1379" spans="1:7" ht="15.75">
      <c r="A1379" s="17"/>
      <c r="B1379" s="18"/>
      <c r="C1379" s="18"/>
      <c r="D1379" s="18"/>
      <c r="E1379" s="18"/>
      <c r="F1379" s="44">
        <f>F1377-F1361</f>
        <v>-450676</v>
      </c>
      <c r="G1379" s="44">
        <f>G1377-G1361</f>
        <v>-450676.0000001192</v>
      </c>
    </row>
    <row r="1380" spans="1:7" ht="15.75">
      <c r="A1380" s="17"/>
      <c r="B1380" s="18"/>
      <c r="C1380" s="18"/>
      <c r="D1380" s="18"/>
      <c r="E1380" s="18"/>
      <c r="F1380" s="44"/>
      <c r="G1380" s="44"/>
    </row>
    <row r="1381" spans="1:7" ht="15.75">
      <c r="A1381" s="17"/>
      <c r="B1381" s="18"/>
      <c r="C1381" s="18"/>
      <c r="D1381" s="18"/>
      <c r="E1381" s="18"/>
      <c r="F1381" s="44"/>
      <c r="G1381" s="44"/>
    </row>
    <row r="1382" spans="1:7" ht="15.75">
      <c r="A1382" s="17"/>
      <c r="B1382" s="18"/>
      <c r="C1382" s="18"/>
      <c r="D1382" s="18"/>
      <c r="E1382" s="18"/>
      <c r="F1382" s="44"/>
      <c r="G1382" s="44"/>
    </row>
    <row r="1383" spans="1:7" ht="15.75">
      <c r="A1383" s="17"/>
      <c r="B1383" s="18"/>
      <c r="C1383" s="18"/>
      <c r="D1383" s="18"/>
      <c r="E1383" s="18"/>
      <c r="F1383" s="44"/>
      <c r="G1383" s="44"/>
    </row>
    <row r="1384" spans="1:7" ht="15.75">
      <c r="A1384" s="17"/>
      <c r="B1384" s="18"/>
      <c r="C1384" s="18"/>
      <c r="D1384" s="18"/>
      <c r="E1384" s="18"/>
      <c r="F1384" s="44"/>
      <c r="G1384" s="44"/>
    </row>
    <row r="1385" spans="1:7" ht="15.75">
      <c r="A1385" s="17"/>
      <c r="B1385" s="18"/>
      <c r="C1385" s="18"/>
      <c r="D1385" s="18"/>
      <c r="E1385" s="18"/>
      <c r="F1385" s="44"/>
      <c r="G1385" s="44"/>
    </row>
    <row r="1386" spans="1:7" ht="15.75">
      <c r="A1386" s="17"/>
      <c r="B1386" s="18"/>
      <c r="C1386" s="18"/>
      <c r="D1386" s="18"/>
      <c r="E1386" s="18"/>
      <c r="F1386" s="44"/>
      <c r="G1386" s="44"/>
    </row>
    <row r="1387" spans="1:7" ht="15.75">
      <c r="A1387" s="17"/>
      <c r="B1387" s="18"/>
      <c r="C1387" s="18"/>
      <c r="D1387" s="18"/>
      <c r="E1387" s="18"/>
      <c r="F1387" s="44"/>
      <c r="G1387" s="44"/>
    </row>
    <row r="1388" spans="1:7" ht="15.75">
      <c r="A1388" s="17"/>
      <c r="B1388" s="18"/>
      <c r="C1388" s="18"/>
      <c r="D1388" s="18"/>
      <c r="E1388" s="18"/>
      <c r="F1388" s="44"/>
      <c r="G1388" s="44"/>
    </row>
    <row r="1389" spans="1:7" ht="15.75">
      <c r="A1389" s="17"/>
      <c r="B1389" s="18"/>
      <c r="C1389" s="18"/>
      <c r="D1389" s="18"/>
      <c r="E1389" s="18"/>
      <c r="F1389" s="44"/>
      <c r="G1389" s="44"/>
    </row>
    <row r="1390" spans="1:7" ht="15.75">
      <c r="A1390" s="17"/>
      <c r="B1390" s="18"/>
      <c r="C1390" s="18"/>
      <c r="D1390" s="18"/>
      <c r="E1390" s="18"/>
      <c r="F1390" s="44"/>
      <c r="G1390" s="44"/>
    </row>
    <row r="1391" spans="1:7" ht="15.75">
      <c r="A1391" s="17"/>
      <c r="B1391" s="18"/>
      <c r="C1391" s="18"/>
      <c r="D1391" s="18"/>
      <c r="E1391" s="18"/>
      <c r="F1391" s="44"/>
      <c r="G1391" s="44"/>
    </row>
    <row r="1392" spans="1:7" ht="15.75">
      <c r="A1392" s="17"/>
      <c r="B1392" s="18"/>
      <c r="C1392" s="18"/>
      <c r="D1392" s="18"/>
      <c r="E1392" s="18"/>
      <c r="F1392" s="44"/>
      <c r="G1392" s="44"/>
    </row>
    <row r="1393" spans="1:7" ht="15.75">
      <c r="A1393" s="17"/>
      <c r="B1393" s="18"/>
      <c r="C1393" s="18"/>
      <c r="D1393" s="18"/>
      <c r="E1393" s="18"/>
      <c r="F1393" s="44"/>
      <c r="G1393" s="44"/>
    </row>
    <row r="1394" spans="1:7" ht="15.75">
      <c r="A1394" s="17"/>
      <c r="B1394" s="18"/>
      <c r="C1394" s="18"/>
      <c r="D1394" s="18"/>
      <c r="E1394" s="18"/>
      <c r="F1394" s="44"/>
      <c r="G1394" s="44"/>
    </row>
    <row r="1395" spans="1:7" ht="15.75">
      <c r="A1395" s="17"/>
      <c r="B1395" s="18"/>
      <c r="C1395" s="18"/>
      <c r="D1395" s="18"/>
      <c r="E1395" s="18"/>
      <c r="F1395" s="44"/>
      <c r="G1395" s="44"/>
    </row>
    <row r="1396" spans="1:7" ht="15.75">
      <c r="A1396" s="17"/>
      <c r="B1396" s="18"/>
      <c r="C1396" s="18"/>
      <c r="D1396" s="18"/>
      <c r="E1396" s="18"/>
      <c r="F1396" s="44"/>
      <c r="G1396" s="44"/>
    </row>
    <row r="1397" spans="1:7" ht="15.75">
      <c r="A1397" s="17"/>
      <c r="B1397" s="18"/>
      <c r="C1397" s="18"/>
      <c r="D1397" s="18"/>
      <c r="E1397" s="18"/>
      <c r="F1397" s="44"/>
      <c r="G1397" s="44"/>
    </row>
    <row r="1398" spans="1:7" ht="15.75">
      <c r="A1398" s="17"/>
      <c r="B1398" s="18"/>
      <c r="C1398" s="18"/>
      <c r="D1398" s="18"/>
      <c r="E1398" s="18"/>
      <c r="F1398" s="44"/>
      <c r="G1398" s="44"/>
    </row>
    <row r="1399" spans="1:7" ht="15.75">
      <c r="A1399" s="17"/>
      <c r="B1399" s="18"/>
      <c r="C1399" s="18"/>
      <c r="D1399" s="18"/>
      <c r="E1399" s="18"/>
      <c r="F1399" s="44"/>
      <c r="G1399" s="44"/>
    </row>
    <row r="1400" spans="1:7" ht="15.75">
      <c r="A1400" s="17"/>
      <c r="B1400" s="18"/>
      <c r="C1400" s="18"/>
      <c r="D1400" s="18"/>
      <c r="E1400" s="18"/>
      <c r="F1400" s="44"/>
      <c r="G1400" s="44"/>
    </row>
    <row r="1401" spans="1:7" ht="15.75">
      <c r="A1401" s="17"/>
      <c r="B1401" s="18"/>
      <c r="C1401" s="18"/>
      <c r="D1401" s="18"/>
      <c r="E1401" s="18"/>
      <c r="F1401" s="44"/>
      <c r="G1401" s="44"/>
    </row>
    <row r="1402" spans="1:7" ht="15.75">
      <c r="A1402" s="17"/>
      <c r="B1402" s="18"/>
      <c r="C1402" s="18"/>
      <c r="D1402" s="18"/>
      <c r="E1402" s="18"/>
      <c r="F1402" s="44"/>
      <c r="G1402" s="44"/>
    </row>
    <row r="1403" spans="1:7" ht="15.75">
      <c r="A1403" s="17"/>
      <c r="B1403" s="18"/>
      <c r="C1403" s="18"/>
      <c r="D1403" s="18"/>
      <c r="E1403" s="18"/>
      <c r="F1403" s="44"/>
      <c r="G1403" s="44"/>
    </row>
    <row r="1404" spans="1:7" ht="15.75">
      <c r="A1404" s="17"/>
      <c r="B1404" s="18"/>
      <c r="C1404" s="18"/>
      <c r="D1404" s="18"/>
      <c r="E1404" s="18"/>
      <c r="F1404" s="44"/>
      <c r="G1404" s="44"/>
    </row>
    <row r="1405" spans="1:7" ht="15.75">
      <c r="A1405" s="17"/>
      <c r="B1405" s="18"/>
      <c r="C1405" s="18"/>
      <c r="D1405" s="18"/>
      <c r="E1405" s="18"/>
      <c r="F1405" s="44"/>
      <c r="G1405" s="44"/>
    </row>
    <row r="1406" spans="1:7" ht="15.75">
      <c r="A1406" s="17"/>
      <c r="B1406" s="18"/>
      <c r="C1406" s="18"/>
      <c r="D1406" s="18"/>
      <c r="E1406" s="18"/>
      <c r="F1406" s="44"/>
      <c r="G1406" s="44"/>
    </row>
    <row r="1407" spans="1:7" ht="15.75">
      <c r="A1407" s="17"/>
      <c r="B1407" s="18"/>
      <c r="C1407" s="18"/>
      <c r="D1407" s="18"/>
      <c r="E1407" s="18"/>
      <c r="F1407" s="44"/>
      <c r="G1407" s="44"/>
    </row>
    <row r="1408" spans="1:7" ht="15.75">
      <c r="A1408" s="17"/>
      <c r="B1408" s="18"/>
      <c r="C1408" s="18"/>
      <c r="D1408" s="18"/>
      <c r="E1408" s="18"/>
      <c r="F1408" s="44"/>
      <c r="G1408" s="44"/>
    </row>
    <row r="1409" spans="1:7" ht="15.75">
      <c r="A1409" s="17"/>
      <c r="B1409" s="18"/>
      <c r="C1409" s="18"/>
      <c r="D1409" s="18"/>
      <c r="E1409" s="18"/>
      <c r="F1409" s="44"/>
      <c r="G1409" s="44"/>
    </row>
    <row r="1410" spans="1:7" ht="15">
      <c r="A1410" s="17"/>
      <c r="B1410" s="18"/>
      <c r="C1410" s="18"/>
      <c r="D1410" s="18"/>
      <c r="E1410" s="18"/>
      <c r="F1410" s="44"/>
      <c r="G1410" s="44"/>
    </row>
    <row r="1411" spans="1:7" ht="15">
      <c r="A1411" s="17"/>
      <c r="B1411" s="18"/>
      <c r="C1411" s="18"/>
      <c r="D1411" s="18"/>
      <c r="E1411" s="18"/>
      <c r="F1411" s="44"/>
      <c r="G1411" s="44"/>
    </row>
    <row r="1412" spans="1:7" ht="15">
      <c r="A1412" s="17"/>
      <c r="B1412" s="18"/>
      <c r="C1412" s="18"/>
      <c r="D1412" s="18"/>
      <c r="E1412" s="18"/>
      <c r="F1412" s="44"/>
      <c r="G1412" s="44"/>
    </row>
    <row r="1413" spans="1:7" ht="15">
      <c r="A1413" s="17"/>
      <c r="B1413" s="18"/>
      <c r="C1413" s="18"/>
      <c r="D1413" s="18"/>
      <c r="E1413" s="18"/>
      <c r="F1413" s="44"/>
      <c r="G1413" s="44"/>
    </row>
    <row r="1414" spans="1:7" ht="15">
      <c r="A1414" s="17"/>
      <c r="B1414" s="18"/>
      <c r="C1414" s="18"/>
      <c r="D1414" s="18"/>
      <c r="E1414" s="18"/>
      <c r="F1414" s="44"/>
      <c r="G1414" s="44"/>
    </row>
    <row r="1415" spans="1:7" ht="15">
      <c r="A1415" s="17"/>
      <c r="B1415" s="18"/>
      <c r="C1415" s="18"/>
      <c r="D1415" s="18"/>
      <c r="E1415" s="18"/>
      <c r="F1415" s="44"/>
      <c r="G1415" s="44"/>
    </row>
    <row r="1416" spans="1:7" ht="15">
      <c r="A1416" s="17"/>
      <c r="B1416" s="18"/>
      <c r="C1416" s="18"/>
      <c r="D1416" s="18"/>
      <c r="E1416" s="18"/>
      <c r="F1416" s="44"/>
      <c r="G1416" s="44"/>
    </row>
    <row r="1417" spans="1:7" ht="15">
      <c r="A1417" s="17"/>
      <c r="B1417" s="18"/>
      <c r="C1417" s="18"/>
      <c r="D1417" s="18"/>
      <c r="E1417" s="18"/>
      <c r="F1417" s="44"/>
      <c r="G1417" s="44"/>
    </row>
    <row r="1418" spans="1:7" ht="15">
      <c r="A1418" s="17"/>
      <c r="B1418" s="18"/>
      <c r="C1418" s="18"/>
      <c r="D1418" s="18"/>
      <c r="E1418" s="18"/>
      <c r="F1418" s="44"/>
      <c r="G1418" s="44"/>
    </row>
    <row r="1419" spans="1:7" ht="15">
      <c r="A1419" s="17"/>
      <c r="B1419" s="18"/>
      <c r="C1419" s="18"/>
      <c r="D1419" s="18"/>
      <c r="E1419" s="18"/>
      <c r="F1419" s="44"/>
      <c r="G1419" s="44"/>
    </row>
    <row r="1420" spans="1:7" ht="15">
      <c r="A1420" s="17"/>
      <c r="B1420" s="18"/>
      <c r="C1420" s="18"/>
      <c r="D1420" s="18"/>
      <c r="E1420" s="18"/>
      <c r="F1420" s="44"/>
      <c r="G1420" s="44"/>
    </row>
    <row r="1421" spans="1:7" ht="15">
      <c r="A1421" s="17"/>
      <c r="B1421" s="18"/>
      <c r="C1421" s="18"/>
      <c r="D1421" s="18"/>
      <c r="E1421" s="18"/>
      <c r="F1421" s="44"/>
      <c r="G1421" s="44"/>
    </row>
    <row r="1422" spans="1:7" ht="15">
      <c r="A1422" s="17"/>
      <c r="B1422" s="18"/>
      <c r="C1422" s="18"/>
      <c r="D1422" s="18"/>
      <c r="E1422" s="18"/>
      <c r="F1422" s="44"/>
      <c r="G1422" s="44"/>
    </row>
    <row r="1423" spans="1:7" ht="15">
      <c r="A1423" s="17"/>
      <c r="B1423" s="18"/>
      <c r="C1423" s="18"/>
      <c r="D1423" s="18"/>
      <c r="E1423" s="18"/>
      <c r="F1423" s="44"/>
      <c r="G1423" s="44"/>
    </row>
    <row r="1424" spans="1:7" ht="15">
      <c r="A1424" s="17"/>
      <c r="B1424" s="18"/>
      <c r="C1424" s="18"/>
      <c r="D1424" s="18"/>
      <c r="E1424" s="18"/>
      <c r="F1424" s="44"/>
      <c r="G1424" s="44"/>
    </row>
    <row r="1425" spans="1:7" ht="15">
      <c r="A1425" s="17"/>
      <c r="B1425" s="18"/>
      <c r="C1425" s="18"/>
      <c r="D1425" s="18"/>
      <c r="E1425" s="18"/>
      <c r="F1425" s="44"/>
      <c r="G1425" s="44"/>
    </row>
    <row r="1426" spans="1:7" ht="15">
      <c r="A1426" s="17"/>
      <c r="B1426" s="18"/>
      <c r="C1426" s="18"/>
      <c r="D1426" s="18"/>
      <c r="E1426" s="18"/>
      <c r="F1426" s="44"/>
      <c r="G1426" s="44"/>
    </row>
    <row r="1427" spans="1:7" ht="15">
      <c r="A1427" s="17"/>
      <c r="B1427" s="18"/>
      <c r="C1427" s="18"/>
      <c r="D1427" s="18"/>
      <c r="E1427" s="18"/>
      <c r="F1427" s="44"/>
      <c r="G1427" s="44"/>
    </row>
    <row r="1428" spans="1:7" ht="15">
      <c r="A1428" s="17"/>
      <c r="B1428" s="18"/>
      <c r="C1428" s="18"/>
      <c r="D1428" s="18"/>
      <c r="E1428" s="18"/>
      <c r="F1428" s="44"/>
      <c r="G1428" s="44"/>
    </row>
    <row r="1429" spans="1:7" ht="15">
      <c r="A1429" s="17"/>
      <c r="B1429" s="18"/>
      <c r="C1429" s="18"/>
      <c r="D1429" s="18"/>
      <c r="E1429" s="18"/>
      <c r="F1429" s="44"/>
      <c r="G1429" s="44"/>
    </row>
    <row r="1430" spans="1:7" ht="15">
      <c r="A1430" s="17"/>
      <c r="B1430" s="18"/>
      <c r="C1430" s="18"/>
      <c r="D1430" s="18"/>
      <c r="E1430" s="18"/>
      <c r="F1430" s="44"/>
      <c r="G1430" s="44"/>
    </row>
    <row r="1431" spans="1:7" ht="15">
      <c r="A1431" s="17"/>
      <c r="B1431" s="18"/>
      <c r="C1431" s="18"/>
      <c r="D1431" s="18"/>
      <c r="E1431" s="18"/>
      <c r="F1431" s="44"/>
      <c r="G1431" s="44"/>
    </row>
    <row r="1432" spans="1:7" ht="15">
      <c r="A1432" s="17"/>
      <c r="B1432" s="18"/>
      <c r="C1432" s="18"/>
      <c r="D1432" s="18"/>
      <c r="E1432" s="18"/>
      <c r="F1432" s="44"/>
      <c r="G1432" s="44"/>
    </row>
    <row r="1433" spans="1:7" ht="15">
      <c r="A1433" s="17"/>
      <c r="B1433" s="18"/>
      <c r="C1433" s="18"/>
      <c r="D1433" s="18"/>
      <c r="E1433" s="18"/>
      <c r="F1433" s="44"/>
      <c r="G1433" s="44"/>
    </row>
    <row r="1434" spans="1:7" ht="15">
      <c r="A1434" s="17"/>
      <c r="B1434" s="18"/>
      <c r="C1434" s="18"/>
      <c r="D1434" s="18"/>
      <c r="E1434" s="18"/>
      <c r="F1434" s="44"/>
      <c r="G1434" s="44"/>
    </row>
    <row r="1435" spans="1:7" ht="15">
      <c r="A1435" s="17"/>
      <c r="B1435" s="18"/>
      <c r="C1435" s="18"/>
      <c r="D1435" s="18"/>
      <c r="E1435" s="18"/>
      <c r="F1435" s="44"/>
      <c r="G1435" s="44"/>
    </row>
    <row r="1436" spans="1:7" ht="15">
      <c r="A1436" s="17"/>
      <c r="B1436" s="18"/>
      <c r="C1436" s="18"/>
      <c r="D1436" s="18"/>
      <c r="E1436" s="18"/>
      <c r="F1436" s="44"/>
      <c r="G1436" s="44"/>
    </row>
    <row r="1437" spans="1:7" ht="15">
      <c r="A1437" s="17"/>
      <c r="B1437" s="18"/>
      <c r="C1437" s="18"/>
      <c r="D1437" s="18"/>
      <c r="E1437" s="18"/>
      <c r="F1437" s="44"/>
      <c r="G1437" s="44"/>
    </row>
    <row r="1438" spans="1:7" ht="15">
      <c r="A1438" s="17"/>
      <c r="B1438" s="18"/>
      <c r="C1438" s="18"/>
      <c r="D1438" s="18"/>
      <c r="E1438" s="18"/>
      <c r="F1438" s="44"/>
      <c r="G1438" s="44"/>
    </row>
    <row r="1439" spans="1:7" ht="15">
      <c r="A1439" s="17"/>
      <c r="B1439" s="18"/>
      <c r="C1439" s="18"/>
      <c r="D1439" s="18"/>
      <c r="E1439" s="18"/>
      <c r="F1439" s="44"/>
      <c r="G1439" s="44"/>
    </row>
    <row r="1440" spans="1:7" ht="15">
      <c r="A1440" s="17"/>
      <c r="B1440" s="18"/>
      <c r="C1440" s="18"/>
      <c r="D1440" s="18"/>
      <c r="E1440" s="18"/>
      <c r="F1440" s="44"/>
      <c r="G1440" s="44"/>
    </row>
    <row r="1441" spans="1:7" ht="15">
      <c r="A1441" s="17"/>
      <c r="B1441" s="18"/>
      <c r="C1441" s="18"/>
      <c r="D1441" s="18"/>
      <c r="E1441" s="18"/>
      <c r="F1441" s="44"/>
      <c r="G1441" s="44"/>
    </row>
    <row r="1442" spans="1:7" ht="15">
      <c r="A1442" s="17"/>
      <c r="B1442" s="18"/>
      <c r="C1442" s="18"/>
      <c r="D1442" s="18"/>
      <c r="E1442" s="18"/>
      <c r="F1442" s="44"/>
      <c r="G1442" s="44"/>
    </row>
    <row r="1443" spans="1:7" ht="15">
      <c r="A1443" s="17"/>
      <c r="B1443" s="18"/>
      <c r="C1443" s="18"/>
      <c r="D1443" s="18"/>
      <c r="E1443" s="18"/>
      <c r="F1443" s="44"/>
      <c r="G1443" s="44"/>
    </row>
    <row r="1444" spans="1:7" ht="15">
      <c r="A1444" s="17"/>
      <c r="B1444" s="18"/>
      <c r="C1444" s="18"/>
      <c r="D1444" s="18"/>
      <c r="E1444" s="18"/>
      <c r="F1444" s="44"/>
      <c r="G1444" s="44"/>
    </row>
    <row r="1445" spans="1:7" ht="15">
      <c r="A1445" s="17"/>
      <c r="B1445" s="18"/>
      <c r="C1445" s="18"/>
      <c r="D1445" s="18"/>
      <c r="E1445" s="18"/>
      <c r="F1445" s="44"/>
      <c r="G1445" s="44"/>
    </row>
    <row r="1446" spans="1:7" ht="15">
      <c r="A1446" s="17"/>
      <c r="B1446" s="18"/>
      <c r="C1446" s="18"/>
      <c r="D1446" s="18"/>
      <c r="E1446" s="18"/>
      <c r="F1446" s="44"/>
      <c r="G1446" s="44"/>
    </row>
    <row r="1447" spans="1:7" ht="15">
      <c r="A1447" s="17"/>
      <c r="B1447" s="18"/>
      <c r="C1447" s="18"/>
      <c r="D1447" s="18"/>
      <c r="E1447" s="18"/>
      <c r="F1447" s="44"/>
      <c r="G1447" s="44"/>
    </row>
    <row r="1448" spans="1:7" ht="15">
      <c r="A1448" s="17"/>
      <c r="B1448" s="18"/>
      <c r="C1448" s="18"/>
      <c r="D1448" s="18"/>
      <c r="E1448" s="18"/>
      <c r="F1448" s="44"/>
      <c r="G1448" s="44"/>
    </row>
    <row r="1449" spans="1:7" ht="15">
      <c r="A1449" s="17"/>
      <c r="B1449" s="18"/>
      <c r="C1449" s="18"/>
      <c r="D1449" s="18"/>
      <c r="E1449" s="18"/>
      <c r="F1449" s="44"/>
      <c r="G1449" s="44"/>
    </row>
    <row r="1450" spans="1:7" ht="15">
      <c r="A1450" s="17"/>
      <c r="B1450" s="18"/>
      <c r="C1450" s="18"/>
      <c r="D1450" s="18"/>
      <c r="E1450" s="18"/>
      <c r="F1450" s="44"/>
      <c r="G1450" s="44"/>
    </row>
    <row r="1451" spans="1:7" ht="15">
      <c r="A1451" s="17"/>
      <c r="B1451" s="18"/>
      <c r="C1451" s="18"/>
      <c r="D1451" s="18"/>
      <c r="E1451" s="18"/>
      <c r="F1451" s="44"/>
      <c r="G1451" s="44"/>
    </row>
    <row r="1452" spans="1:7" ht="15">
      <c r="A1452" s="17"/>
      <c r="B1452" s="18"/>
      <c r="C1452" s="18"/>
      <c r="D1452" s="18"/>
      <c r="E1452" s="18"/>
      <c r="F1452" s="44"/>
      <c r="G1452" s="44"/>
    </row>
    <row r="1453" spans="1:7" ht="15">
      <c r="A1453" s="17"/>
      <c r="B1453" s="18"/>
      <c r="C1453" s="18"/>
      <c r="D1453" s="18"/>
      <c r="E1453" s="18"/>
      <c r="F1453" s="44"/>
      <c r="G1453" s="44"/>
    </row>
    <row r="1454" spans="1:7" ht="15">
      <c r="A1454" s="17"/>
      <c r="B1454" s="18"/>
      <c r="C1454" s="18"/>
      <c r="D1454" s="18"/>
      <c r="E1454" s="18"/>
      <c r="F1454" s="44"/>
      <c r="G1454" s="44"/>
    </row>
    <row r="1455" spans="1:7" ht="15">
      <c r="A1455" s="17"/>
      <c r="B1455" s="18"/>
      <c r="C1455" s="18"/>
      <c r="D1455" s="18"/>
      <c r="E1455" s="18"/>
      <c r="F1455" s="44"/>
      <c r="G1455" s="44"/>
    </row>
    <row r="1456" spans="1:7" ht="15">
      <c r="A1456" s="17"/>
      <c r="B1456" s="18"/>
      <c r="C1456" s="18"/>
      <c r="D1456" s="18"/>
      <c r="E1456" s="18"/>
      <c r="F1456" s="44"/>
      <c r="G1456" s="44"/>
    </row>
    <row r="1457" spans="1:7" ht="15">
      <c r="A1457" s="17"/>
      <c r="B1457" s="18"/>
      <c r="C1457" s="18"/>
      <c r="D1457" s="18"/>
      <c r="E1457" s="18"/>
      <c r="F1457" s="44"/>
      <c r="G1457" s="44"/>
    </row>
    <row r="1458" spans="1:7" ht="15">
      <c r="A1458" s="17"/>
      <c r="B1458" s="18"/>
      <c r="C1458" s="18"/>
      <c r="D1458" s="18"/>
      <c r="E1458" s="18"/>
      <c r="F1458" s="44"/>
      <c r="G1458" s="44"/>
    </row>
    <row r="1459" spans="1:7" ht="15">
      <c r="A1459" s="17"/>
      <c r="B1459" s="18"/>
      <c r="C1459" s="18"/>
      <c r="D1459" s="18"/>
      <c r="E1459" s="18"/>
      <c r="F1459" s="44"/>
      <c r="G1459" s="44"/>
    </row>
    <row r="1460" spans="1:7" ht="15">
      <c r="A1460" s="17"/>
      <c r="B1460" s="18"/>
      <c r="C1460" s="18"/>
      <c r="D1460" s="18"/>
      <c r="E1460" s="18"/>
      <c r="F1460" s="44"/>
      <c r="G1460" s="44"/>
    </row>
    <row r="1461" spans="1:7" ht="15">
      <c r="A1461" s="17"/>
      <c r="B1461" s="18"/>
      <c r="C1461" s="18"/>
      <c r="D1461" s="18"/>
      <c r="E1461" s="18"/>
      <c r="F1461" s="44"/>
      <c r="G1461" s="44"/>
    </row>
    <row r="1462" spans="1:7" ht="15">
      <c r="A1462" s="17"/>
      <c r="B1462" s="18"/>
      <c r="C1462" s="18"/>
      <c r="D1462" s="18"/>
      <c r="E1462" s="18"/>
      <c r="F1462" s="44"/>
      <c r="G1462" s="44"/>
    </row>
    <row r="1463" spans="1:7" ht="15">
      <c r="A1463" s="17"/>
      <c r="B1463" s="18"/>
      <c r="C1463" s="18"/>
      <c r="D1463" s="18"/>
      <c r="E1463" s="18"/>
      <c r="F1463" s="44"/>
      <c r="G1463" s="44"/>
    </row>
    <row r="1464" spans="1:7" ht="15">
      <c r="A1464" s="17"/>
      <c r="B1464" s="18"/>
      <c r="C1464" s="18"/>
      <c r="D1464" s="18"/>
      <c r="E1464" s="18"/>
      <c r="F1464" s="44"/>
      <c r="G1464" s="44"/>
    </row>
    <row r="1465" spans="1:7" ht="15">
      <c r="A1465" s="17"/>
      <c r="B1465" s="18"/>
      <c r="C1465" s="18"/>
      <c r="D1465" s="18"/>
      <c r="E1465" s="18"/>
      <c r="F1465" s="44"/>
      <c r="G1465" s="44"/>
    </row>
    <row r="1466" spans="1:7" ht="15">
      <c r="A1466" s="17"/>
      <c r="B1466" s="18"/>
      <c r="C1466" s="18"/>
      <c r="D1466" s="18"/>
      <c r="E1466" s="18"/>
      <c r="F1466" s="44"/>
      <c r="G1466" s="44"/>
    </row>
    <row r="1467" spans="1:7" ht="15">
      <c r="A1467" s="17"/>
      <c r="B1467" s="18"/>
      <c r="C1467" s="18"/>
      <c r="D1467" s="18"/>
      <c r="E1467" s="18"/>
      <c r="F1467" s="44"/>
      <c r="G1467" s="44"/>
    </row>
    <row r="1468" spans="1:7" ht="15">
      <c r="A1468" s="17"/>
      <c r="B1468" s="18"/>
      <c r="C1468" s="18"/>
      <c r="D1468" s="18"/>
      <c r="E1468" s="18"/>
      <c r="F1468" s="44"/>
      <c r="G1468" s="44"/>
    </row>
    <row r="1469" spans="1:7" ht="15">
      <c r="A1469" s="17"/>
      <c r="B1469" s="18"/>
      <c r="C1469" s="18"/>
      <c r="D1469" s="18"/>
      <c r="E1469" s="18"/>
      <c r="F1469" s="44"/>
      <c r="G1469" s="44"/>
    </row>
    <row r="1470" spans="1:7" ht="15">
      <c r="A1470" s="17"/>
      <c r="B1470" s="18"/>
      <c r="C1470" s="18"/>
      <c r="D1470" s="18"/>
      <c r="E1470" s="18"/>
      <c r="F1470" s="44"/>
      <c r="G1470" s="44"/>
    </row>
    <row r="1471" spans="1:7" ht="15">
      <c r="A1471" s="17"/>
      <c r="B1471" s="18"/>
      <c r="C1471" s="18"/>
      <c r="D1471" s="18"/>
      <c r="E1471" s="18"/>
      <c r="F1471" s="44"/>
      <c r="G1471" s="44"/>
    </row>
    <row r="1472" spans="1:7" ht="15">
      <c r="A1472" s="17"/>
      <c r="B1472" s="18"/>
      <c r="C1472" s="18"/>
      <c r="D1472" s="18"/>
      <c r="E1472" s="18"/>
      <c r="F1472" s="44"/>
      <c r="G1472" s="44"/>
    </row>
    <row r="1473" spans="1:7" ht="15">
      <c r="A1473" s="17"/>
      <c r="B1473" s="18"/>
      <c r="C1473" s="18"/>
      <c r="D1473" s="18"/>
      <c r="E1473" s="18"/>
      <c r="F1473" s="44"/>
      <c r="G1473" s="44"/>
    </row>
    <row r="1474" spans="1:7" ht="15">
      <c r="A1474" s="17"/>
      <c r="B1474" s="18"/>
      <c r="C1474" s="18"/>
      <c r="D1474" s="18"/>
      <c r="E1474" s="18"/>
      <c r="F1474" s="44"/>
      <c r="G1474" s="44"/>
    </row>
    <row r="1475" spans="1:7" ht="15">
      <c r="A1475" s="17"/>
      <c r="B1475" s="18"/>
      <c r="C1475" s="18"/>
      <c r="D1475" s="18"/>
      <c r="E1475" s="18"/>
      <c r="F1475" s="44"/>
      <c r="G1475" s="44"/>
    </row>
    <row r="1476" spans="1:7" ht="15">
      <c r="A1476" s="17"/>
      <c r="B1476" s="18"/>
      <c r="C1476" s="18"/>
      <c r="D1476" s="18"/>
      <c r="E1476" s="18"/>
      <c r="F1476" s="44"/>
      <c r="G1476" s="44"/>
    </row>
    <row r="1477" spans="1:7" ht="15">
      <c r="A1477" s="17"/>
      <c r="B1477" s="18"/>
      <c r="C1477" s="18"/>
      <c r="D1477" s="18"/>
      <c r="E1477" s="18"/>
      <c r="F1477" s="44"/>
      <c r="G1477" s="44"/>
    </row>
    <row r="1478" spans="1:7" ht="15">
      <c r="A1478" s="17"/>
      <c r="B1478" s="18"/>
      <c r="C1478" s="18"/>
      <c r="D1478" s="18"/>
      <c r="E1478" s="18"/>
      <c r="F1478" s="44"/>
      <c r="G1478" s="44"/>
    </row>
    <row r="1479" spans="1:7" ht="15">
      <c r="A1479" s="17"/>
      <c r="B1479" s="18"/>
      <c r="C1479" s="18"/>
      <c r="D1479" s="18"/>
      <c r="E1479" s="18"/>
      <c r="F1479" s="44"/>
      <c r="G1479" s="44"/>
    </row>
    <row r="1480" spans="1:7" ht="15">
      <c r="A1480" s="17"/>
      <c r="B1480" s="18"/>
      <c r="C1480" s="18"/>
      <c r="D1480" s="18"/>
      <c r="E1480" s="18"/>
      <c r="F1480" s="44"/>
      <c r="G1480" s="44"/>
    </row>
    <row r="1481" spans="1:7" ht="15">
      <c r="A1481" s="17"/>
      <c r="B1481" s="18"/>
      <c r="C1481" s="18"/>
      <c r="D1481" s="18"/>
      <c r="E1481" s="18"/>
      <c r="F1481" s="44"/>
      <c r="G1481" s="44"/>
    </row>
    <row r="1482" spans="1:7" ht="15">
      <c r="A1482" s="17"/>
      <c r="B1482" s="18"/>
      <c r="C1482" s="18"/>
      <c r="D1482" s="18"/>
      <c r="E1482" s="18"/>
      <c r="F1482" s="44"/>
      <c r="G1482" s="44"/>
    </row>
    <row r="1483" spans="1:7" ht="15">
      <c r="A1483" s="17"/>
      <c r="B1483" s="18"/>
      <c r="C1483" s="18"/>
      <c r="D1483" s="18"/>
      <c r="E1483" s="18"/>
      <c r="F1483" s="44"/>
      <c r="G1483" s="44"/>
    </row>
    <row r="1484" spans="1:7" ht="15">
      <c r="A1484" s="17"/>
      <c r="B1484" s="18"/>
      <c r="C1484" s="18"/>
      <c r="D1484" s="18"/>
      <c r="E1484" s="18"/>
      <c r="F1484" s="44"/>
      <c r="G1484" s="44"/>
    </row>
    <row r="1485" spans="1:7" ht="15">
      <c r="A1485" s="17"/>
      <c r="B1485" s="18"/>
      <c r="C1485" s="18"/>
      <c r="D1485" s="18"/>
      <c r="E1485" s="18"/>
      <c r="F1485" s="44"/>
      <c r="G1485" s="44"/>
    </row>
    <row r="1486" spans="1:7" ht="15">
      <c r="A1486" s="17"/>
      <c r="B1486" s="18"/>
      <c r="C1486" s="18"/>
      <c r="D1486" s="18"/>
      <c r="E1486" s="18"/>
      <c r="F1486" s="44"/>
      <c r="G1486" s="44"/>
    </row>
    <row r="1487" spans="1:7" ht="15">
      <c r="A1487" s="17"/>
      <c r="B1487" s="18"/>
      <c r="C1487" s="18"/>
      <c r="D1487" s="18"/>
      <c r="E1487" s="18"/>
      <c r="F1487" s="44"/>
      <c r="G1487" s="44"/>
    </row>
    <row r="1488" spans="1:7" ht="15">
      <c r="A1488" s="17"/>
      <c r="B1488" s="18"/>
      <c r="C1488" s="18"/>
      <c r="D1488" s="18"/>
      <c r="E1488" s="18"/>
      <c r="F1488" s="44"/>
      <c r="G1488" s="44"/>
    </row>
    <row r="1489" spans="1:7" ht="15">
      <c r="A1489" s="17"/>
      <c r="B1489" s="18"/>
      <c r="C1489" s="18"/>
      <c r="D1489" s="18"/>
      <c r="E1489" s="18"/>
      <c r="F1489" s="44"/>
      <c r="G1489" s="44"/>
    </row>
    <row r="1490" spans="1:7" ht="15">
      <c r="A1490" s="17"/>
      <c r="B1490" s="18"/>
      <c r="C1490" s="18"/>
      <c r="D1490" s="18"/>
      <c r="E1490" s="18"/>
      <c r="F1490" s="44"/>
      <c r="G1490" s="44"/>
    </row>
    <row r="1491" spans="1:7" ht="15">
      <c r="A1491" s="17"/>
      <c r="B1491" s="18"/>
      <c r="C1491" s="18"/>
      <c r="D1491" s="18"/>
      <c r="E1491" s="18"/>
      <c r="F1491" s="44"/>
      <c r="G1491" s="44"/>
    </row>
    <row r="1492" spans="1:7" ht="15">
      <c r="A1492" s="17"/>
      <c r="B1492" s="18"/>
      <c r="C1492" s="18"/>
      <c r="D1492" s="18"/>
      <c r="E1492" s="18"/>
      <c r="F1492" s="44"/>
      <c r="G1492" s="44"/>
    </row>
    <row r="1493" spans="1:7" ht="15">
      <c r="A1493" s="17"/>
      <c r="B1493" s="18"/>
      <c r="C1493" s="18"/>
      <c r="D1493" s="18"/>
      <c r="E1493" s="18"/>
      <c r="F1493" s="44"/>
      <c r="G1493" s="44"/>
    </row>
    <row r="1494" spans="1:7" ht="15">
      <c r="A1494" s="17"/>
      <c r="B1494" s="18"/>
      <c r="C1494" s="18"/>
      <c r="D1494" s="18"/>
      <c r="E1494" s="18"/>
      <c r="F1494" s="44"/>
      <c r="G1494" s="44"/>
    </row>
    <row r="1495" spans="1:7" ht="15">
      <c r="A1495" s="17"/>
      <c r="B1495" s="18"/>
      <c r="C1495" s="18"/>
      <c r="D1495" s="18"/>
      <c r="E1495" s="18"/>
      <c r="F1495" s="44"/>
      <c r="G1495" s="44"/>
    </row>
    <row r="1496" spans="1:7" ht="15">
      <c r="A1496" s="17"/>
      <c r="B1496" s="18"/>
      <c r="C1496" s="18"/>
      <c r="D1496" s="18"/>
      <c r="E1496" s="18"/>
      <c r="F1496" s="44"/>
      <c r="G1496" s="44"/>
    </row>
    <row r="1497" spans="1:7" ht="15">
      <c r="A1497" s="17"/>
      <c r="B1497" s="18"/>
      <c r="C1497" s="18"/>
      <c r="D1497" s="18"/>
      <c r="E1497" s="18"/>
      <c r="F1497" s="44"/>
      <c r="G1497" s="44"/>
    </row>
    <row r="1498" spans="1:7" ht="15">
      <c r="A1498" s="17"/>
      <c r="B1498" s="18"/>
      <c r="C1498" s="18"/>
      <c r="D1498" s="18"/>
      <c r="E1498" s="18"/>
      <c r="F1498" s="44"/>
      <c r="G1498" s="44"/>
    </row>
    <row r="1499" spans="1:7" ht="15">
      <c r="A1499" s="17"/>
      <c r="B1499" s="18"/>
      <c r="C1499" s="18"/>
      <c r="D1499" s="18"/>
      <c r="E1499" s="18"/>
      <c r="F1499" s="44"/>
      <c r="G1499" s="44"/>
    </row>
    <row r="1500" spans="1:7" ht="15">
      <c r="A1500" s="17"/>
      <c r="B1500" s="18"/>
      <c r="C1500" s="18"/>
      <c r="D1500" s="18"/>
      <c r="E1500" s="18"/>
      <c r="F1500" s="44"/>
      <c r="G1500" s="44"/>
    </row>
    <row r="1501" spans="1:7" ht="15">
      <c r="A1501" s="17"/>
      <c r="B1501" s="18"/>
      <c r="C1501" s="18"/>
      <c r="D1501" s="18"/>
      <c r="E1501" s="18"/>
      <c r="F1501" s="44"/>
      <c r="G1501" s="44"/>
    </row>
    <row r="1502" spans="1:7" ht="15">
      <c r="A1502" s="17"/>
      <c r="B1502" s="18"/>
      <c r="C1502" s="18"/>
      <c r="D1502" s="18"/>
      <c r="E1502" s="18"/>
      <c r="F1502" s="44"/>
      <c r="G1502" s="44"/>
    </row>
    <row r="1503" spans="1:7" ht="15">
      <c r="A1503" s="17"/>
      <c r="B1503" s="18"/>
      <c r="C1503" s="18"/>
      <c r="D1503" s="18"/>
      <c r="E1503" s="18"/>
      <c r="F1503" s="44"/>
      <c r="G1503" s="44"/>
    </row>
    <row r="1504" spans="1:7" ht="15">
      <c r="A1504" s="17"/>
      <c r="B1504" s="18"/>
      <c r="C1504" s="18"/>
      <c r="D1504" s="18"/>
      <c r="E1504" s="18"/>
      <c r="F1504" s="44"/>
      <c r="G1504" s="44"/>
    </row>
    <row r="1505" spans="1:7" ht="15">
      <c r="A1505" s="17"/>
      <c r="B1505" s="18"/>
      <c r="C1505" s="18"/>
      <c r="D1505" s="18"/>
      <c r="E1505" s="18"/>
      <c r="F1505" s="44"/>
      <c r="G1505" s="44"/>
    </row>
    <row r="1506" spans="1:7" ht="15">
      <c r="A1506" s="17"/>
      <c r="B1506" s="18"/>
      <c r="C1506" s="18"/>
      <c r="D1506" s="18"/>
      <c r="E1506" s="18"/>
      <c r="F1506" s="44"/>
      <c r="G1506" s="44"/>
    </row>
    <row r="1507" spans="1:7" ht="15">
      <c r="A1507" s="17"/>
      <c r="B1507" s="18"/>
      <c r="C1507" s="18"/>
      <c r="D1507" s="18"/>
      <c r="E1507" s="18"/>
      <c r="F1507" s="44"/>
      <c r="G1507" s="44"/>
    </row>
    <row r="1508" spans="1:7" ht="15">
      <c r="A1508" s="17"/>
      <c r="B1508" s="18"/>
      <c r="C1508" s="18"/>
      <c r="D1508" s="18"/>
      <c r="E1508" s="18"/>
      <c r="F1508" s="44"/>
      <c r="G1508" s="44"/>
    </row>
    <row r="1509" spans="1:7" ht="15">
      <c r="A1509" s="17"/>
      <c r="B1509" s="18"/>
      <c r="C1509" s="18"/>
      <c r="D1509" s="18"/>
      <c r="E1509" s="18"/>
      <c r="F1509" s="44"/>
      <c r="G1509" s="44"/>
    </row>
    <row r="1510" spans="1:7" ht="15">
      <c r="A1510" s="17"/>
      <c r="B1510" s="18"/>
      <c r="C1510" s="18"/>
      <c r="D1510" s="18"/>
      <c r="E1510" s="18"/>
      <c r="F1510" s="44"/>
      <c r="G1510" s="44"/>
    </row>
    <row r="1511" spans="1:7" ht="15">
      <c r="A1511" s="17"/>
      <c r="B1511" s="18"/>
      <c r="C1511" s="18"/>
      <c r="D1511" s="18"/>
      <c r="E1511" s="18"/>
      <c r="F1511" s="44"/>
      <c r="G1511" s="44"/>
    </row>
    <row r="1512" spans="1:7" ht="15">
      <c r="A1512" s="17"/>
      <c r="B1512" s="18"/>
      <c r="C1512" s="18"/>
      <c r="D1512" s="18"/>
      <c r="E1512" s="18"/>
      <c r="F1512" s="44"/>
      <c r="G1512" s="44"/>
    </row>
    <row r="1513" spans="1:7" ht="15">
      <c r="A1513" s="17"/>
      <c r="B1513" s="18"/>
      <c r="C1513" s="18"/>
      <c r="D1513" s="18"/>
      <c r="E1513" s="18"/>
      <c r="F1513" s="44"/>
      <c r="G1513" s="44"/>
    </row>
    <row r="1514" spans="1:7" ht="15">
      <c r="A1514" s="17"/>
      <c r="B1514" s="18"/>
      <c r="C1514" s="18"/>
      <c r="D1514" s="18"/>
      <c r="E1514" s="18"/>
      <c r="F1514" s="44"/>
      <c r="G1514" s="44"/>
    </row>
    <row r="1515" spans="1:7" ht="15">
      <c r="A1515" s="17"/>
      <c r="B1515" s="18"/>
      <c r="C1515" s="18"/>
      <c r="D1515" s="18"/>
      <c r="E1515" s="18"/>
      <c r="F1515" s="44"/>
      <c r="G1515" s="44"/>
    </row>
    <row r="1516" spans="1:7" ht="15">
      <c r="A1516" s="17"/>
      <c r="B1516" s="18"/>
      <c r="C1516" s="18"/>
      <c r="D1516" s="18"/>
      <c r="E1516" s="18"/>
      <c r="F1516" s="44"/>
      <c r="G1516" s="44"/>
    </row>
    <row r="1517" spans="1:7" ht="15">
      <c r="A1517" s="17"/>
      <c r="B1517" s="18"/>
      <c r="C1517" s="18"/>
      <c r="D1517" s="18"/>
      <c r="E1517" s="18"/>
      <c r="F1517" s="44"/>
      <c r="G1517" s="44"/>
    </row>
    <row r="1518" spans="1:7" ht="15">
      <c r="A1518" s="17"/>
      <c r="B1518" s="18"/>
      <c r="C1518" s="18"/>
      <c r="D1518" s="18"/>
      <c r="E1518" s="18"/>
      <c r="F1518" s="44"/>
      <c r="G1518" s="44"/>
    </row>
    <row r="1519" spans="1:7" ht="15">
      <c r="A1519" s="17"/>
      <c r="B1519" s="18"/>
      <c r="C1519" s="18"/>
      <c r="D1519" s="18"/>
      <c r="E1519" s="18"/>
      <c r="F1519" s="44"/>
      <c r="G1519" s="44"/>
    </row>
    <row r="1520" spans="1:7" ht="15">
      <c r="A1520" s="17"/>
      <c r="B1520" s="18"/>
      <c r="C1520" s="18"/>
      <c r="D1520" s="18"/>
      <c r="E1520" s="18"/>
      <c r="F1520" s="44"/>
      <c r="G1520" s="44"/>
    </row>
    <row r="1521" spans="1:7" ht="15">
      <c r="A1521" s="17"/>
      <c r="B1521" s="18"/>
      <c r="C1521" s="18"/>
      <c r="D1521" s="18"/>
      <c r="E1521" s="18"/>
      <c r="F1521" s="44"/>
      <c r="G1521" s="44"/>
    </row>
    <row r="1522" spans="1:7" ht="15">
      <c r="A1522" s="17"/>
      <c r="B1522" s="18"/>
      <c r="C1522" s="18"/>
      <c r="D1522" s="18"/>
      <c r="E1522" s="18"/>
      <c r="F1522" s="44"/>
      <c r="G1522" s="44"/>
    </row>
    <row r="1523" spans="1:7" ht="15">
      <c r="A1523" s="17"/>
      <c r="B1523" s="18"/>
      <c r="C1523" s="18"/>
      <c r="D1523" s="18"/>
      <c r="E1523" s="18"/>
      <c r="F1523" s="44"/>
      <c r="G1523" s="44"/>
    </row>
    <row r="1524" spans="1:7" ht="15">
      <c r="A1524" s="17"/>
      <c r="B1524" s="18"/>
      <c r="C1524" s="18"/>
      <c r="D1524" s="18"/>
      <c r="E1524" s="18"/>
      <c r="F1524" s="44"/>
      <c r="G1524" s="44"/>
    </row>
    <row r="1525" spans="1:7" ht="15">
      <c r="A1525" s="17"/>
      <c r="B1525" s="18"/>
      <c r="C1525" s="18"/>
      <c r="D1525" s="18"/>
      <c r="E1525" s="18"/>
      <c r="F1525" s="44"/>
      <c r="G1525" s="44"/>
    </row>
    <row r="1526" spans="1:7" ht="15">
      <c r="A1526" s="17"/>
      <c r="B1526" s="18"/>
      <c r="C1526" s="18"/>
      <c r="D1526" s="18"/>
      <c r="E1526" s="18"/>
      <c r="F1526" s="44"/>
      <c r="G1526" s="44"/>
    </row>
    <row r="1527" spans="1:7" ht="15">
      <c r="A1527" s="17"/>
      <c r="B1527" s="18"/>
      <c r="C1527" s="18"/>
      <c r="D1527" s="18"/>
      <c r="E1527" s="18"/>
      <c r="F1527" s="44"/>
      <c r="G1527" s="44"/>
    </row>
    <row r="1528" spans="1:7" ht="15">
      <c r="A1528" s="17"/>
      <c r="B1528" s="18"/>
      <c r="C1528" s="18"/>
      <c r="D1528" s="18"/>
      <c r="E1528" s="18"/>
      <c r="F1528" s="44"/>
      <c r="G1528" s="44"/>
    </row>
    <row r="1529" spans="1:7" ht="15">
      <c r="A1529" s="17"/>
      <c r="B1529" s="18"/>
      <c r="C1529" s="18"/>
      <c r="D1529" s="18"/>
      <c r="E1529" s="18"/>
      <c r="F1529" s="44"/>
      <c r="G1529" s="44"/>
    </row>
    <row r="1530" spans="1:7" ht="15">
      <c r="A1530" s="17"/>
      <c r="B1530" s="18"/>
      <c r="C1530" s="18"/>
      <c r="D1530" s="18"/>
      <c r="E1530" s="18"/>
      <c r="F1530" s="44"/>
      <c r="G1530" s="44"/>
    </row>
    <row r="1531" spans="1:7" ht="15">
      <c r="A1531" s="17"/>
      <c r="B1531" s="18"/>
      <c r="C1531" s="18"/>
      <c r="D1531" s="18"/>
      <c r="E1531" s="18"/>
      <c r="F1531" s="44"/>
      <c r="G1531" s="44"/>
    </row>
    <row r="1532" spans="1:7" ht="15">
      <c r="A1532" s="17"/>
      <c r="B1532" s="18"/>
      <c r="C1532" s="18"/>
      <c r="D1532" s="18"/>
      <c r="E1532" s="18"/>
      <c r="F1532" s="44"/>
      <c r="G1532" s="44"/>
    </row>
    <row r="1533" spans="1:7" ht="15">
      <c r="A1533" s="17"/>
      <c r="B1533" s="18"/>
      <c r="C1533" s="18"/>
      <c r="D1533" s="18"/>
      <c r="E1533" s="18"/>
      <c r="F1533" s="44"/>
      <c r="G1533" s="44"/>
    </row>
    <row r="1534" spans="1:7" ht="15">
      <c r="A1534" s="17"/>
      <c r="B1534" s="18"/>
      <c r="C1534" s="18"/>
      <c r="D1534" s="18"/>
      <c r="E1534" s="18"/>
      <c r="F1534" s="44"/>
      <c r="G1534" s="44"/>
    </row>
    <row r="1535" spans="1:7" ht="15">
      <c r="A1535" s="17"/>
      <c r="B1535" s="18"/>
      <c r="C1535" s="18"/>
      <c r="D1535" s="18"/>
      <c r="E1535" s="18"/>
      <c r="F1535" s="44"/>
      <c r="G1535" s="44"/>
    </row>
    <row r="1536" spans="1:7" ht="15">
      <c r="A1536" s="17"/>
      <c r="B1536" s="18"/>
      <c r="C1536" s="18"/>
      <c r="D1536" s="18"/>
      <c r="E1536" s="18"/>
      <c r="F1536" s="44"/>
      <c r="G1536" s="44"/>
    </row>
    <row r="1537" spans="1:7" ht="15">
      <c r="A1537" s="17"/>
      <c r="B1537" s="18"/>
      <c r="C1537" s="18"/>
      <c r="D1537" s="18"/>
      <c r="E1537" s="18"/>
      <c r="F1537" s="44"/>
      <c r="G1537" s="44"/>
    </row>
    <row r="1538" spans="1:7" ht="15">
      <c r="A1538" s="17"/>
      <c r="B1538" s="18"/>
      <c r="C1538" s="18"/>
      <c r="D1538" s="18"/>
      <c r="E1538" s="18"/>
      <c r="F1538" s="44"/>
      <c r="G1538" s="44"/>
    </row>
    <row r="1539" spans="1:7" ht="15">
      <c r="A1539" s="17"/>
      <c r="B1539" s="18"/>
      <c r="C1539" s="18"/>
      <c r="D1539" s="18"/>
      <c r="E1539" s="18"/>
      <c r="F1539" s="44"/>
      <c r="G1539" s="44"/>
    </row>
    <row r="1540" spans="1:7" ht="15">
      <c r="A1540" s="17"/>
      <c r="B1540" s="18"/>
      <c r="C1540" s="18"/>
      <c r="D1540" s="18"/>
      <c r="E1540" s="18"/>
      <c r="F1540" s="44"/>
      <c r="G1540" s="44"/>
    </row>
    <row r="1541" spans="1:7" ht="15">
      <c r="A1541" s="17"/>
      <c r="B1541" s="18"/>
      <c r="C1541" s="18"/>
      <c r="D1541" s="18"/>
      <c r="E1541" s="18"/>
      <c r="F1541" s="44"/>
      <c r="G1541" s="44"/>
    </row>
    <row r="1542" spans="1:7" ht="15">
      <c r="A1542" s="17"/>
      <c r="B1542" s="18"/>
      <c r="C1542" s="18"/>
      <c r="D1542" s="18"/>
      <c r="E1542" s="18"/>
      <c r="F1542" s="44"/>
      <c r="G1542" s="44"/>
    </row>
    <row r="1543" spans="1:7" ht="15">
      <c r="A1543" s="17"/>
      <c r="B1543" s="18"/>
      <c r="C1543" s="18"/>
      <c r="D1543" s="18"/>
      <c r="E1543" s="18"/>
      <c r="F1543" s="44"/>
      <c r="G1543" s="44"/>
    </row>
    <row r="1544" spans="1:7" ht="15">
      <c r="A1544" s="17"/>
      <c r="B1544" s="18"/>
      <c r="C1544" s="18"/>
      <c r="D1544" s="18"/>
      <c r="E1544" s="18"/>
      <c r="F1544" s="44"/>
      <c r="G1544" s="44"/>
    </row>
    <row r="1545" spans="2:5" ht="15">
      <c r="B1545" s="19"/>
      <c r="C1545" s="19"/>
      <c r="D1545" s="19"/>
      <c r="E1545" s="19"/>
    </row>
    <row r="1546" spans="2:5" ht="15">
      <c r="B1546" s="19"/>
      <c r="C1546" s="19"/>
      <c r="D1546" s="19"/>
      <c r="E1546" s="19"/>
    </row>
    <row r="1547" spans="2:5" ht="15">
      <c r="B1547" s="19"/>
      <c r="C1547" s="19"/>
      <c r="D1547" s="19"/>
      <c r="E1547" s="19"/>
    </row>
    <row r="1548" spans="2:5" ht="15">
      <c r="B1548" s="19"/>
      <c r="C1548" s="19"/>
      <c r="D1548" s="19"/>
      <c r="E1548" s="19"/>
    </row>
    <row r="1549" spans="2:5" ht="15">
      <c r="B1549" s="19"/>
      <c r="C1549" s="19"/>
      <c r="D1549" s="19"/>
      <c r="E1549" s="19"/>
    </row>
    <row r="1550" spans="2:5" ht="15">
      <c r="B1550" s="19"/>
      <c r="C1550" s="19"/>
      <c r="D1550" s="19"/>
      <c r="E1550" s="19"/>
    </row>
    <row r="1551" spans="2:5" ht="15">
      <c r="B1551" s="19"/>
      <c r="C1551" s="19"/>
      <c r="D1551" s="19"/>
      <c r="E1551" s="19"/>
    </row>
    <row r="1552" spans="2:5" ht="15">
      <c r="B1552" s="19"/>
      <c r="C1552" s="19"/>
      <c r="D1552" s="19"/>
      <c r="E1552" s="19"/>
    </row>
    <row r="1553" spans="2:5" ht="15">
      <c r="B1553" s="19"/>
      <c r="C1553" s="19"/>
      <c r="D1553" s="19"/>
      <c r="E1553" s="19"/>
    </row>
    <row r="1554" spans="2:5" ht="15">
      <c r="B1554" s="19"/>
      <c r="C1554" s="19"/>
      <c r="D1554" s="19"/>
      <c r="E1554" s="19"/>
    </row>
    <row r="1555" spans="2:5" ht="15">
      <c r="B1555" s="19"/>
      <c r="C1555" s="19"/>
      <c r="D1555" s="19"/>
      <c r="E1555" s="19"/>
    </row>
    <row r="1556" spans="2:5" ht="15">
      <c r="B1556" s="19"/>
      <c r="C1556" s="19"/>
      <c r="D1556" s="19"/>
      <c r="E1556" s="19"/>
    </row>
    <row r="1557" spans="2:5" ht="15">
      <c r="B1557" s="19"/>
      <c r="C1557" s="19"/>
      <c r="D1557" s="19"/>
      <c r="E1557" s="19"/>
    </row>
    <row r="1558" spans="2:5" ht="15">
      <c r="B1558" s="19"/>
      <c r="C1558" s="19"/>
      <c r="D1558" s="19"/>
      <c r="E1558" s="19"/>
    </row>
    <row r="1559" spans="2:5" ht="15">
      <c r="B1559" s="19"/>
      <c r="C1559" s="19"/>
      <c r="D1559" s="19"/>
      <c r="E1559" s="19"/>
    </row>
    <row r="1560" spans="2:5" ht="15">
      <c r="B1560" s="19"/>
      <c r="C1560" s="19"/>
      <c r="D1560" s="19"/>
      <c r="E1560" s="19"/>
    </row>
    <row r="1561" spans="2:5" ht="15">
      <c r="B1561" s="19"/>
      <c r="C1561" s="19"/>
      <c r="D1561" s="19"/>
      <c r="E1561" s="19"/>
    </row>
    <row r="1562" spans="2:5" ht="15">
      <c r="B1562" s="19"/>
      <c r="C1562" s="19"/>
      <c r="D1562" s="19"/>
      <c r="E1562" s="19"/>
    </row>
    <row r="1563" spans="2:5" ht="15">
      <c r="B1563" s="19"/>
      <c r="C1563" s="19"/>
      <c r="D1563" s="19"/>
      <c r="E1563" s="19"/>
    </row>
    <row r="1564" spans="2:5" ht="15">
      <c r="B1564" s="19"/>
      <c r="C1564" s="19"/>
      <c r="D1564" s="19"/>
      <c r="E1564" s="19"/>
    </row>
    <row r="1565" spans="2:5" ht="15">
      <c r="B1565" s="19"/>
      <c r="C1565" s="19"/>
      <c r="D1565" s="19"/>
      <c r="E1565" s="19"/>
    </row>
    <row r="1566" spans="2:5" ht="15">
      <c r="B1566" s="19"/>
      <c r="C1566" s="19"/>
      <c r="D1566" s="19"/>
      <c r="E1566" s="19"/>
    </row>
    <row r="1567" spans="2:5" ht="15">
      <c r="B1567" s="19"/>
      <c r="C1567" s="19"/>
      <c r="D1567" s="19"/>
      <c r="E1567" s="19"/>
    </row>
    <row r="1568" spans="2:5" ht="15">
      <c r="B1568" s="19"/>
      <c r="C1568" s="19"/>
      <c r="D1568" s="19"/>
      <c r="E1568" s="19"/>
    </row>
    <row r="1569" spans="2:5" ht="15">
      <c r="B1569" s="19"/>
      <c r="C1569" s="19"/>
      <c r="D1569" s="19"/>
      <c r="E1569" s="19"/>
    </row>
    <row r="1570" spans="2:5" ht="15">
      <c r="B1570" s="19"/>
      <c r="C1570" s="19"/>
      <c r="D1570" s="19"/>
      <c r="E1570" s="19"/>
    </row>
    <row r="1571" spans="2:5" ht="15">
      <c r="B1571" s="19"/>
      <c r="C1571" s="19"/>
      <c r="D1571" s="19"/>
      <c r="E1571" s="19"/>
    </row>
    <row r="1572" spans="2:5" ht="15">
      <c r="B1572" s="19"/>
      <c r="C1572" s="19"/>
      <c r="D1572" s="19"/>
      <c r="E1572" s="19"/>
    </row>
    <row r="1573" spans="2:5" ht="15">
      <c r="B1573" s="19"/>
      <c r="C1573" s="19"/>
      <c r="D1573" s="19"/>
      <c r="E1573" s="19"/>
    </row>
    <row r="1574" spans="2:5" ht="15">
      <c r="B1574" s="19"/>
      <c r="C1574" s="19"/>
      <c r="D1574" s="19"/>
      <c r="E1574" s="19"/>
    </row>
    <row r="1575" spans="2:5" ht="15">
      <c r="B1575" s="19"/>
      <c r="C1575" s="19"/>
      <c r="D1575" s="19"/>
      <c r="E1575" s="19"/>
    </row>
    <row r="1576" spans="2:5" ht="15">
      <c r="B1576" s="19"/>
      <c r="C1576" s="19"/>
      <c r="D1576" s="19"/>
      <c r="E1576" s="19"/>
    </row>
    <row r="1577" spans="2:5" ht="15">
      <c r="B1577" s="19"/>
      <c r="C1577" s="19"/>
      <c r="D1577" s="19"/>
      <c r="E1577" s="19"/>
    </row>
    <row r="1578" spans="2:5" ht="15">
      <c r="B1578" s="19"/>
      <c r="C1578" s="19"/>
      <c r="D1578" s="19"/>
      <c r="E1578" s="19"/>
    </row>
    <row r="1579" spans="2:5" ht="15">
      <c r="B1579" s="19"/>
      <c r="C1579" s="19"/>
      <c r="D1579" s="19"/>
      <c r="E1579" s="19"/>
    </row>
    <row r="1580" spans="2:5" ht="15">
      <c r="B1580" s="19"/>
      <c r="C1580" s="19"/>
      <c r="D1580" s="19"/>
      <c r="E1580" s="19"/>
    </row>
    <row r="1581" spans="2:5" ht="15">
      <c r="B1581" s="19"/>
      <c r="C1581" s="19"/>
      <c r="D1581" s="19"/>
      <c r="E1581" s="19"/>
    </row>
    <row r="1582" spans="2:5" ht="15">
      <c r="B1582" s="19"/>
      <c r="C1582" s="19"/>
      <c r="D1582" s="19"/>
      <c r="E1582" s="19"/>
    </row>
    <row r="1583" spans="2:5" ht="15">
      <c r="B1583" s="19"/>
      <c r="C1583" s="19"/>
      <c r="D1583" s="19"/>
      <c r="E1583" s="19"/>
    </row>
    <row r="1584" spans="2:5" ht="15">
      <c r="B1584" s="19"/>
      <c r="C1584" s="19"/>
      <c r="D1584" s="19"/>
      <c r="E1584" s="19"/>
    </row>
    <row r="1585" spans="2:5" ht="15">
      <c r="B1585" s="19"/>
      <c r="C1585" s="19"/>
      <c r="D1585" s="19"/>
      <c r="E1585" s="19"/>
    </row>
    <row r="1586" spans="2:5" ht="15">
      <c r="B1586" s="19"/>
      <c r="C1586" s="19"/>
      <c r="D1586" s="19"/>
      <c r="E1586" s="19"/>
    </row>
    <row r="1587" spans="2:5" ht="15">
      <c r="B1587" s="19"/>
      <c r="C1587" s="19"/>
      <c r="D1587" s="19"/>
      <c r="E1587" s="19"/>
    </row>
    <row r="1588" spans="2:5" ht="15">
      <c r="B1588" s="19"/>
      <c r="C1588" s="19"/>
      <c r="D1588" s="19"/>
      <c r="E1588" s="19"/>
    </row>
    <row r="1589" spans="2:5" ht="15">
      <c r="B1589" s="19"/>
      <c r="C1589" s="19"/>
      <c r="D1589" s="19"/>
      <c r="E1589" s="19"/>
    </row>
    <row r="1590" spans="2:5" ht="15">
      <c r="B1590" s="19"/>
      <c r="C1590" s="19"/>
      <c r="D1590" s="19"/>
      <c r="E1590" s="19"/>
    </row>
    <row r="1591" spans="2:5" ht="15">
      <c r="B1591" s="19"/>
      <c r="C1591" s="19"/>
      <c r="D1591" s="19"/>
      <c r="E1591" s="19"/>
    </row>
    <row r="1592" spans="2:5" ht="15">
      <c r="B1592" s="19"/>
      <c r="C1592" s="19"/>
      <c r="D1592" s="19"/>
      <c r="E1592" s="19"/>
    </row>
    <row r="1593" spans="2:5" ht="15">
      <c r="B1593" s="19"/>
      <c r="C1593" s="19"/>
      <c r="D1593" s="19"/>
      <c r="E1593" s="19"/>
    </row>
    <row r="1594" spans="2:5" ht="15">
      <c r="B1594" s="19"/>
      <c r="C1594" s="19"/>
      <c r="D1594" s="19"/>
      <c r="E1594" s="19"/>
    </row>
    <row r="1595" spans="2:5" ht="15">
      <c r="B1595" s="19"/>
      <c r="C1595" s="19"/>
      <c r="D1595" s="19"/>
      <c r="E1595" s="19"/>
    </row>
    <row r="1596" spans="2:5" ht="15">
      <c r="B1596" s="19"/>
      <c r="C1596" s="19"/>
      <c r="D1596" s="19"/>
      <c r="E1596" s="19"/>
    </row>
    <row r="1597" spans="2:5" ht="15">
      <c r="B1597" s="19"/>
      <c r="C1597" s="19"/>
      <c r="D1597" s="19"/>
      <c r="E1597" s="19"/>
    </row>
    <row r="1598" spans="2:5" ht="15">
      <c r="B1598" s="19"/>
      <c r="C1598" s="19"/>
      <c r="D1598" s="19"/>
      <c r="E1598" s="19"/>
    </row>
    <row r="1599" spans="2:5" ht="15">
      <c r="B1599" s="19"/>
      <c r="C1599" s="19"/>
      <c r="D1599" s="19"/>
      <c r="E1599" s="19"/>
    </row>
    <row r="1600" spans="2:5" ht="15">
      <c r="B1600" s="19"/>
      <c r="C1600" s="19"/>
      <c r="D1600" s="19"/>
      <c r="E1600" s="19"/>
    </row>
    <row r="1601" spans="2:5" ht="15">
      <c r="B1601" s="19"/>
      <c r="C1601" s="19"/>
      <c r="D1601" s="19"/>
      <c r="E1601" s="19"/>
    </row>
    <row r="1602" spans="2:5" ht="15">
      <c r="B1602" s="19"/>
      <c r="C1602" s="19"/>
      <c r="D1602" s="19"/>
      <c r="E1602" s="19"/>
    </row>
    <row r="1603" spans="2:5" ht="15">
      <c r="B1603" s="19"/>
      <c r="C1603" s="19"/>
      <c r="D1603" s="19"/>
      <c r="E1603" s="19"/>
    </row>
    <row r="1604" spans="2:5" ht="15">
      <c r="B1604" s="19"/>
      <c r="C1604" s="19"/>
      <c r="D1604" s="19"/>
      <c r="E1604" s="19"/>
    </row>
    <row r="1605" spans="2:5" ht="15">
      <c r="B1605" s="19"/>
      <c r="C1605" s="19"/>
      <c r="D1605" s="19"/>
      <c r="E1605" s="19"/>
    </row>
    <row r="1606" spans="2:5" ht="15">
      <c r="B1606" s="19"/>
      <c r="C1606" s="19"/>
      <c r="D1606" s="19"/>
      <c r="E1606" s="19"/>
    </row>
    <row r="1607" spans="2:5" ht="15">
      <c r="B1607" s="19"/>
      <c r="C1607" s="19"/>
      <c r="D1607" s="19"/>
      <c r="E1607" s="19"/>
    </row>
    <row r="1608" spans="2:5" ht="15">
      <c r="B1608" s="19"/>
      <c r="C1608" s="19"/>
      <c r="D1608" s="19"/>
      <c r="E1608" s="19"/>
    </row>
    <row r="1609" spans="2:5" ht="15">
      <c r="B1609" s="19"/>
      <c r="C1609" s="19"/>
      <c r="D1609" s="19"/>
      <c r="E1609" s="19"/>
    </row>
    <row r="1610" spans="2:5" ht="15">
      <c r="B1610" s="19"/>
      <c r="C1610" s="19"/>
      <c r="D1610" s="19"/>
      <c r="E1610" s="19"/>
    </row>
    <row r="1611" spans="2:5" ht="15">
      <c r="B1611" s="19"/>
      <c r="C1611" s="19"/>
      <c r="D1611" s="19"/>
      <c r="E1611" s="19"/>
    </row>
  </sheetData>
  <sheetProtection/>
  <mergeCells count="47">
    <mergeCell ref="D1:E1"/>
    <mergeCell ref="F1:G1"/>
    <mergeCell ref="D2:G2"/>
    <mergeCell ref="D3:E3"/>
    <mergeCell ref="F3:G3"/>
    <mergeCell ref="A5:G5"/>
    <mergeCell ref="A4:G4"/>
    <mergeCell ref="B60:B61"/>
    <mergeCell ref="C60:C61"/>
    <mergeCell ref="D60:D61"/>
    <mergeCell ref="E60:E61"/>
    <mergeCell ref="F60:F61"/>
    <mergeCell ref="G60:G61"/>
    <mergeCell ref="D1364:E1364"/>
    <mergeCell ref="B171:B172"/>
    <mergeCell ref="C171:C172"/>
    <mergeCell ref="D171:D172"/>
    <mergeCell ref="E171:E172"/>
    <mergeCell ref="B187:B188"/>
    <mergeCell ref="C187:C188"/>
    <mergeCell ref="D187:D188"/>
    <mergeCell ref="E187:E188"/>
    <mergeCell ref="F105:F106"/>
    <mergeCell ref="G105:G106"/>
    <mergeCell ref="B163:B164"/>
    <mergeCell ref="F163:F164"/>
    <mergeCell ref="G163:G164"/>
    <mergeCell ref="B105:B106"/>
    <mergeCell ref="C105:C106"/>
    <mergeCell ref="D105:D106"/>
    <mergeCell ref="E105:E106"/>
    <mergeCell ref="F171:F172"/>
    <mergeCell ref="G171:G172"/>
    <mergeCell ref="B173:B174"/>
    <mergeCell ref="C173:C174"/>
    <mergeCell ref="D173:D174"/>
    <mergeCell ref="E173:E174"/>
    <mergeCell ref="F173:F174"/>
    <mergeCell ref="G173:G174"/>
    <mergeCell ref="F187:F188"/>
    <mergeCell ref="G187:G188"/>
    <mergeCell ref="B189:B190"/>
    <mergeCell ref="C189:C190"/>
    <mergeCell ref="D189:D190"/>
    <mergeCell ref="E189:E190"/>
    <mergeCell ref="F189:F190"/>
    <mergeCell ref="G189:G190"/>
  </mergeCells>
  <printOptions horizontalCentered="1"/>
  <pageMargins left="0.7874015748031497" right="0.5905511811023623" top="0.5511811023622047" bottom="0.5511811023622047" header="0.5118110236220472" footer="0.2362204724409449"/>
  <pageSetup fitToHeight="59" fitToWidth="1" horizontalDpi="600" verticalDpi="600" orientation="portrait" paperSize="9" scale="58" r:id="rId3"/>
  <headerFooter alignWithMargins="0">
    <oddFooter>&amp;CСтраница &amp;P&amp;R&amp;A</oddFooter>
  </headerFooter>
  <rowBreaks count="11" manualBreakCount="11">
    <brk id="52" max="255" man="1"/>
    <brk id="274" max="255" man="1"/>
    <brk id="291" max="255" man="1"/>
    <brk id="326" max="255" man="1"/>
    <brk id="622" max="255" man="1"/>
    <brk id="741" max="255" man="1"/>
    <brk id="771" max="255" man="1"/>
    <brk id="833" max="255" man="1"/>
    <brk id="1008" max="255" man="1"/>
    <brk id="1220" max="255" man="1"/>
    <brk id="1274" max="255"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V115"/>
  <sheetViews>
    <sheetView tabSelected="1" zoomScalePageLayoutView="0" workbookViewId="0" topLeftCell="A1">
      <selection activeCell="A5" sqref="A5:C5"/>
    </sheetView>
  </sheetViews>
  <sheetFormatPr defaultColWidth="9.125" defaultRowHeight="12.75"/>
  <cols>
    <col min="1" max="1" width="11.375" style="22" customWidth="1"/>
    <col min="2" max="2" width="33.25390625" style="62" customWidth="1"/>
    <col min="3" max="3" width="54.25390625" style="12" customWidth="1"/>
    <col min="4" max="4" width="19.75390625" style="26" hidden="1" customWidth="1"/>
    <col min="5" max="5" width="18.75390625" style="12" hidden="1" customWidth="1"/>
    <col min="6" max="6" width="0" style="12" hidden="1" customWidth="1"/>
    <col min="7" max="7" width="24.625" style="12" hidden="1" customWidth="1"/>
    <col min="8" max="8" width="16.125" style="12" hidden="1" customWidth="1"/>
    <col min="9" max="20" width="0" style="12" hidden="1" customWidth="1"/>
    <col min="21" max="21" width="23.375" style="12" bestFit="1" customWidth="1"/>
    <col min="22" max="22" width="16.375" style="12" customWidth="1"/>
    <col min="23" max="16384" width="9.125" style="12" customWidth="1"/>
  </cols>
  <sheetData>
    <row r="1" spans="2:3" ht="15">
      <c r="B1" s="266" t="s">
        <v>494</v>
      </c>
      <c r="C1" s="266"/>
    </row>
    <row r="2" spans="2:3" ht="15">
      <c r="B2" s="266" t="s">
        <v>570</v>
      </c>
      <c r="C2" s="266"/>
    </row>
    <row r="3" spans="2:3" ht="15">
      <c r="B3" s="266" t="s">
        <v>918</v>
      </c>
      <c r="C3" s="266"/>
    </row>
    <row r="4" spans="2:20" ht="15">
      <c r="B4" s="266" t="s">
        <v>1244</v>
      </c>
      <c r="C4" s="266"/>
      <c r="D4" s="266"/>
      <c r="E4" s="266"/>
      <c r="F4" s="266"/>
      <c r="G4" s="266"/>
      <c r="H4" s="266"/>
      <c r="I4" s="266"/>
      <c r="J4" s="266"/>
      <c r="K4" s="266"/>
      <c r="L4" s="266"/>
      <c r="M4" s="266"/>
      <c r="N4" s="266"/>
      <c r="O4" s="266"/>
      <c r="P4" s="266"/>
      <c r="Q4" s="266"/>
      <c r="R4" s="266"/>
      <c r="S4" s="266"/>
      <c r="T4" s="266"/>
    </row>
    <row r="5" spans="1:3" ht="35.25" customHeight="1">
      <c r="A5" s="283" t="s">
        <v>492</v>
      </c>
      <c r="B5" s="284"/>
      <c r="C5" s="284"/>
    </row>
    <row r="7" spans="1:3" ht="31.5" customHeight="1">
      <c r="A7" s="295" t="s">
        <v>613</v>
      </c>
      <c r="B7" s="293" t="s">
        <v>915</v>
      </c>
      <c r="C7" s="299" t="s">
        <v>493</v>
      </c>
    </row>
    <row r="8" spans="1:3" ht="15">
      <c r="A8" s="296"/>
      <c r="B8" s="294"/>
      <c r="C8" s="300"/>
    </row>
    <row r="9" spans="1:3" ht="15">
      <c r="A9" s="15">
        <v>1</v>
      </c>
      <c r="B9" s="15">
        <v>2</v>
      </c>
      <c r="C9" s="15">
        <v>3</v>
      </c>
    </row>
    <row r="10" spans="1:22" s="43" customFormat="1" ht="54" customHeight="1">
      <c r="A10" s="301" t="s">
        <v>102</v>
      </c>
      <c r="B10" s="302"/>
      <c r="C10" s="46">
        <f>C11+C12</f>
        <v>1359095258.1399999</v>
      </c>
      <c r="D10" s="26">
        <f>'прил 8'!H9</f>
        <v>1359095258.1399996</v>
      </c>
      <c r="E10" s="26"/>
      <c r="G10" s="75"/>
      <c r="U10" s="75"/>
      <c r="V10" s="75"/>
    </row>
    <row r="11" spans="1:22" s="43" customFormat="1" ht="54" customHeight="1">
      <c r="A11" s="58">
        <v>915</v>
      </c>
      <c r="B11" s="54" t="s">
        <v>911</v>
      </c>
      <c r="C11" s="64">
        <f>прил7!G531+прил7!G544</f>
        <v>53115941.94</v>
      </c>
      <c r="D11" s="26"/>
      <c r="E11" s="26"/>
      <c r="V11" s="75"/>
    </row>
    <row r="12" spans="1:22" s="43" customFormat="1" ht="46.5">
      <c r="A12" s="15">
        <v>918</v>
      </c>
      <c r="B12" s="65" t="s">
        <v>537</v>
      </c>
      <c r="C12" s="64">
        <f>прил7!G638+прил7!G689+прил7!G718+прил7!G755+прил7!G766+прил7!G795+прил7!G825</f>
        <v>1305979316.1999998</v>
      </c>
      <c r="D12" s="26"/>
      <c r="E12" s="26"/>
      <c r="V12" s="75"/>
    </row>
    <row r="13" spans="1:22" s="43" customFormat="1" ht="70.5" customHeight="1">
      <c r="A13" s="297" t="s">
        <v>105</v>
      </c>
      <c r="B13" s="298"/>
      <c r="C13" s="66">
        <f>C14+C15+C16</f>
        <v>2539912.09</v>
      </c>
      <c r="D13" s="26">
        <f>'прил 8'!F332</f>
        <v>2539912.09</v>
      </c>
      <c r="E13" s="26">
        <f>C13-D13</f>
        <v>0</v>
      </c>
      <c r="G13" s="75"/>
      <c r="U13" s="75"/>
      <c r="V13" s="75"/>
    </row>
    <row r="14" spans="1:22" s="43" customFormat="1" ht="93">
      <c r="A14" s="15">
        <v>914</v>
      </c>
      <c r="B14" s="65" t="s">
        <v>910</v>
      </c>
      <c r="C14" s="64">
        <f>прил7!G78</f>
        <v>1463000</v>
      </c>
      <c r="D14" s="26"/>
      <c r="E14" s="26"/>
      <c r="V14" s="75"/>
    </row>
    <row r="15" spans="1:22" s="43" customFormat="1" ht="46.5">
      <c r="A15" s="58">
        <v>915</v>
      </c>
      <c r="B15" s="54" t="s">
        <v>911</v>
      </c>
      <c r="C15" s="64">
        <f>прил7!G295</f>
        <v>404274.08999999997</v>
      </c>
      <c r="D15" s="26"/>
      <c r="E15" s="26"/>
      <c r="V15" s="75"/>
    </row>
    <row r="16" spans="1:22" s="43" customFormat="1" ht="61.5">
      <c r="A16" s="15">
        <v>919</v>
      </c>
      <c r="B16" s="65" t="s">
        <v>443</v>
      </c>
      <c r="C16" s="64">
        <f>прил7!G922</f>
        <v>672638</v>
      </c>
      <c r="D16" s="26"/>
      <c r="E16" s="26"/>
      <c r="V16" s="75"/>
    </row>
    <row r="17" spans="1:22" s="43" customFormat="1" ht="75" customHeight="1">
      <c r="A17" s="297" t="s">
        <v>106</v>
      </c>
      <c r="B17" s="298"/>
      <c r="C17" s="66">
        <f>C20+C19</f>
        <v>20934906</v>
      </c>
      <c r="D17" s="26">
        <f>'прил 8'!F360</f>
        <v>20934906</v>
      </c>
      <c r="E17" s="26">
        <f>D17-C17</f>
        <v>0</v>
      </c>
      <c r="G17" s="75"/>
      <c r="U17" s="75"/>
      <c r="V17" s="75"/>
    </row>
    <row r="18" spans="1:22" s="16" customFormat="1" ht="46.5" hidden="1">
      <c r="A18" s="15">
        <v>918</v>
      </c>
      <c r="B18" s="65" t="s">
        <v>537</v>
      </c>
      <c r="C18" s="64"/>
      <c r="D18" s="48"/>
      <c r="E18" s="26"/>
      <c r="V18" s="75"/>
    </row>
    <row r="19" spans="1:22" s="16" customFormat="1" ht="46.5">
      <c r="A19" s="58">
        <v>915</v>
      </c>
      <c r="B19" s="54" t="s">
        <v>911</v>
      </c>
      <c r="C19" s="64">
        <f>прил7!G561</f>
        <v>385087</v>
      </c>
      <c r="D19" s="48"/>
      <c r="E19" s="26"/>
      <c r="V19" s="75"/>
    </row>
    <row r="20" spans="1:22" ht="61.5">
      <c r="A20" s="15">
        <v>919</v>
      </c>
      <c r="B20" s="65" t="s">
        <v>443</v>
      </c>
      <c r="C20" s="64">
        <f>прил7!G897+прил7!G1024</f>
        <v>20549819</v>
      </c>
      <c r="E20" s="26"/>
      <c r="V20" s="75"/>
    </row>
    <row r="21" spans="1:22" ht="72.75" customHeight="1">
      <c r="A21" s="289" t="s">
        <v>107</v>
      </c>
      <c r="B21" s="290"/>
      <c r="C21" s="66">
        <f>C23+C22</f>
        <v>233810058</v>
      </c>
      <c r="D21" s="26">
        <f>'прил 8'!H421</f>
        <v>233810058</v>
      </c>
      <c r="E21" s="26">
        <f>D21-C23</f>
        <v>82431</v>
      </c>
      <c r="G21" s="26"/>
      <c r="U21" s="26"/>
      <c r="V21" s="75"/>
    </row>
    <row r="22" spans="1:22" ht="72.75" customHeight="1">
      <c r="A22" s="58">
        <v>915</v>
      </c>
      <c r="B22" s="54" t="s">
        <v>911</v>
      </c>
      <c r="C22" s="64">
        <f>прил7!G572</f>
        <v>82431</v>
      </c>
      <c r="E22" s="26"/>
      <c r="G22" s="26"/>
      <c r="V22" s="75"/>
    </row>
    <row r="23" spans="1:22" ht="61.5">
      <c r="A23" s="15">
        <v>919</v>
      </c>
      <c r="B23" s="65" t="s">
        <v>443</v>
      </c>
      <c r="C23" s="64">
        <f>прил7!G1010+прил7!G928+прил7!G884</f>
        <v>233727627</v>
      </c>
      <c r="D23" s="109"/>
      <c r="E23" s="26"/>
      <c r="V23" s="75"/>
    </row>
    <row r="24" spans="1:22" ht="83.25" customHeight="1">
      <c r="A24" s="289" t="s">
        <v>1035</v>
      </c>
      <c r="B24" s="290"/>
      <c r="C24" s="66">
        <f>C25+C26</f>
        <v>146047174.85000002</v>
      </c>
      <c r="D24" s="26">
        <f>'прил 8'!F581</f>
        <v>146047174.85000002</v>
      </c>
      <c r="E24" s="26"/>
      <c r="G24" s="26"/>
      <c r="U24" s="26"/>
      <c r="V24" s="75"/>
    </row>
    <row r="25" spans="1:22" ht="93">
      <c r="A25" s="15">
        <v>914</v>
      </c>
      <c r="B25" s="65" t="s">
        <v>910</v>
      </c>
      <c r="C25" s="64">
        <f>прил7!G191</f>
        <v>29502479</v>
      </c>
      <c r="D25" s="26">
        <f>D24-C24</f>
        <v>0</v>
      </c>
      <c r="E25" s="26"/>
      <c r="V25" s="75"/>
    </row>
    <row r="26" spans="1:22" ht="46.5">
      <c r="A26" s="58">
        <v>915</v>
      </c>
      <c r="B26" s="54" t="s">
        <v>911</v>
      </c>
      <c r="C26" s="64">
        <f>прил7!G379+прил7!G434+прил7!G452+прил7!G467+прил7!G493+прил7!G575</f>
        <v>116544695.85000001</v>
      </c>
      <c r="E26" s="26"/>
      <c r="V26" s="75"/>
    </row>
    <row r="27" spans="1:22" ht="63" customHeight="1">
      <c r="A27" s="297" t="s">
        <v>108</v>
      </c>
      <c r="B27" s="298"/>
      <c r="C27" s="66">
        <f>C28+C29+C30</f>
        <v>37840791.279999994</v>
      </c>
      <c r="D27" s="26">
        <f>'прил 8'!H736</f>
        <v>37509317.279999994</v>
      </c>
      <c r="E27" s="26"/>
      <c r="G27" s="26"/>
      <c r="U27" s="26"/>
      <c r="V27" s="75"/>
    </row>
    <row r="28" spans="1:22" ht="93">
      <c r="A28" s="15">
        <v>914</v>
      </c>
      <c r="B28" s="65" t="s">
        <v>910</v>
      </c>
      <c r="C28" s="64">
        <f>прил7!G174+прил7!G90</f>
        <v>36822317.279999994</v>
      </c>
      <c r="D28" s="26">
        <f>D27-C27</f>
        <v>-331474</v>
      </c>
      <c r="E28" s="26"/>
      <c r="V28" s="75"/>
    </row>
    <row r="29" spans="1:22" ht="57" customHeight="1">
      <c r="A29" s="58">
        <v>915</v>
      </c>
      <c r="B29" s="54" t="s">
        <v>911</v>
      </c>
      <c r="C29" s="64">
        <f>прил7!G299</f>
        <v>687000</v>
      </c>
      <c r="E29" s="26"/>
      <c r="V29" s="75"/>
    </row>
    <row r="30" spans="1:22" ht="46.5">
      <c r="A30" s="15">
        <v>918</v>
      </c>
      <c r="B30" s="65" t="s">
        <v>537</v>
      </c>
      <c r="C30" s="64">
        <f>прил7!G671</f>
        <v>331474</v>
      </c>
      <c r="E30" s="26"/>
      <c r="V30" s="75"/>
    </row>
    <row r="31" spans="1:22" ht="54.75" customHeight="1">
      <c r="A31" s="289" t="s">
        <v>1037</v>
      </c>
      <c r="B31" s="290"/>
      <c r="C31" s="66">
        <f>C32</f>
        <v>12380759.49</v>
      </c>
      <c r="D31" s="26">
        <f>'прил 8'!F790</f>
        <v>12380759.49</v>
      </c>
      <c r="E31" s="26"/>
      <c r="G31" s="26"/>
      <c r="U31" s="26"/>
      <c r="V31" s="75"/>
    </row>
    <row r="32" spans="1:22" ht="46.5">
      <c r="A32" s="58">
        <v>915</v>
      </c>
      <c r="B32" s="54" t="s">
        <v>911</v>
      </c>
      <c r="C32" s="64">
        <f>прил7!G518</f>
        <v>12380759.49</v>
      </c>
      <c r="D32" s="26">
        <f>D31-C31</f>
        <v>0</v>
      </c>
      <c r="E32" s="26"/>
      <c r="V32" s="75"/>
    </row>
    <row r="33" spans="1:22" ht="60" customHeight="1">
      <c r="A33" s="289" t="s">
        <v>1036</v>
      </c>
      <c r="B33" s="290"/>
      <c r="C33" s="66">
        <f>C34</f>
        <v>133790238.77000001</v>
      </c>
      <c r="E33" s="26"/>
      <c r="U33" s="26"/>
      <c r="V33" s="75"/>
    </row>
    <row r="34" spans="1:22" ht="46.5">
      <c r="A34" s="58">
        <v>915</v>
      </c>
      <c r="B34" s="54" t="s">
        <v>911</v>
      </c>
      <c r="C34" s="64">
        <f>прил7!G387</f>
        <v>133790238.77000001</v>
      </c>
      <c r="E34" s="26"/>
      <c r="V34" s="75"/>
    </row>
    <row r="35" spans="1:22" s="16" customFormat="1" ht="49.5" customHeight="1">
      <c r="A35" s="289" t="s">
        <v>89</v>
      </c>
      <c r="B35" s="290"/>
      <c r="C35" s="66">
        <f>C37+C40+C36</f>
        <v>2983986</v>
      </c>
      <c r="D35" s="26"/>
      <c r="E35" s="26"/>
      <c r="U35" s="48"/>
      <c r="V35" s="75"/>
    </row>
    <row r="36" spans="1:22" s="16" customFormat="1" ht="49.5" customHeight="1">
      <c r="A36" s="15">
        <v>914</v>
      </c>
      <c r="B36" s="65" t="s">
        <v>910</v>
      </c>
      <c r="C36" s="64">
        <f>прил7!G91</f>
        <v>175000</v>
      </c>
      <c r="D36" s="26"/>
      <c r="E36" s="26"/>
      <c r="V36" s="75"/>
    </row>
    <row r="37" spans="1:22" ht="46.5">
      <c r="A37" s="58">
        <v>915</v>
      </c>
      <c r="B37" s="54" t="s">
        <v>911</v>
      </c>
      <c r="C37" s="64">
        <f>прил7!G447</f>
        <v>686480</v>
      </c>
      <c r="E37" s="26"/>
      <c r="V37" s="75"/>
    </row>
    <row r="38" spans="1:22" ht="46.5" hidden="1">
      <c r="A38" s="15">
        <v>918</v>
      </c>
      <c r="B38" s="65" t="s">
        <v>537</v>
      </c>
      <c r="C38" s="64"/>
      <c r="E38" s="26"/>
      <c r="V38" s="75"/>
    </row>
    <row r="39" spans="1:22" ht="61.5" hidden="1">
      <c r="A39" s="15">
        <v>919</v>
      </c>
      <c r="B39" s="65" t="s">
        <v>443</v>
      </c>
      <c r="C39" s="64"/>
      <c r="E39" s="26"/>
      <c r="V39" s="75"/>
    </row>
    <row r="40" spans="1:22" ht="61.5">
      <c r="A40" s="15">
        <v>919</v>
      </c>
      <c r="B40" s="65" t="s">
        <v>443</v>
      </c>
      <c r="C40" s="64">
        <f>прил7!G1004+прил7!G998+прил7!G1005</f>
        <v>2122506</v>
      </c>
      <c r="E40" s="26"/>
      <c r="V40" s="75"/>
    </row>
    <row r="41" spans="1:22" ht="71.25" customHeight="1">
      <c r="A41" s="289" t="s">
        <v>90</v>
      </c>
      <c r="B41" s="290"/>
      <c r="C41" s="66">
        <f>C43+C42</f>
        <v>585479</v>
      </c>
      <c r="E41" s="26"/>
      <c r="U41" s="26"/>
      <c r="V41" s="75"/>
    </row>
    <row r="42" spans="1:22" ht="99.75" customHeight="1">
      <c r="A42" s="58">
        <v>914</v>
      </c>
      <c r="B42" s="65" t="s">
        <v>910</v>
      </c>
      <c r="C42" s="64">
        <f>прил7!G96</f>
        <v>500000</v>
      </c>
      <c r="E42" s="26"/>
      <c r="V42" s="75"/>
    </row>
    <row r="43" spans="1:22" ht="46.5">
      <c r="A43" s="58">
        <v>915</v>
      </c>
      <c r="B43" s="54" t="s">
        <v>911</v>
      </c>
      <c r="C43" s="64">
        <f>прил7!G311</f>
        <v>85479</v>
      </c>
      <c r="E43" s="26"/>
      <c r="V43" s="75"/>
    </row>
    <row r="44" spans="1:22" ht="54" customHeight="1">
      <c r="A44" s="289" t="s">
        <v>1034</v>
      </c>
      <c r="B44" s="290"/>
      <c r="C44" s="66">
        <f>C45+C46+C47+C48+C49+C50+C51</f>
        <v>46493539.98</v>
      </c>
      <c r="D44" s="26">
        <f>'прил 8'!H900</f>
        <v>46493539.980000004</v>
      </c>
      <c r="E44" s="26">
        <f>C44-D44</f>
        <v>0</v>
      </c>
      <c r="U44" s="26"/>
      <c r="V44" s="75"/>
    </row>
    <row r="45" spans="1:22" ht="93">
      <c r="A45" s="15">
        <v>913</v>
      </c>
      <c r="B45" s="65" t="s">
        <v>909</v>
      </c>
      <c r="C45" s="64">
        <f>прил7!G43</f>
        <v>274558</v>
      </c>
      <c r="E45" s="26"/>
      <c r="V45" s="75"/>
    </row>
    <row r="46" spans="1:22" ht="93">
      <c r="A46" s="15">
        <v>914</v>
      </c>
      <c r="B46" s="65" t="s">
        <v>910</v>
      </c>
      <c r="C46" s="64">
        <f>прил7!G102+прил7!G207+прил7!G274</f>
        <v>34675405.82</v>
      </c>
      <c r="E46" s="26"/>
      <c r="V46" s="75"/>
    </row>
    <row r="47" spans="1:22" ht="46.5">
      <c r="A47" s="58">
        <v>915</v>
      </c>
      <c r="B47" s="54" t="s">
        <v>911</v>
      </c>
      <c r="C47" s="64">
        <f>прил7!G401</f>
        <v>2303499.15</v>
      </c>
      <c r="E47" s="26"/>
      <c r="V47" s="75"/>
    </row>
    <row r="48" spans="1:22" ht="46.5">
      <c r="A48" s="58">
        <v>916</v>
      </c>
      <c r="B48" s="54" t="s">
        <v>569</v>
      </c>
      <c r="C48" s="64">
        <f>прил7!G623</f>
        <v>768183.39</v>
      </c>
      <c r="E48" s="26"/>
      <c r="V48" s="75"/>
    </row>
    <row r="49" spans="1:22" ht="46.5">
      <c r="A49" s="15">
        <v>918</v>
      </c>
      <c r="B49" s="65" t="s">
        <v>537</v>
      </c>
      <c r="C49" s="64">
        <f>прил7!G679</f>
        <v>6220050.29</v>
      </c>
      <c r="E49" s="26"/>
      <c r="V49" s="75"/>
    </row>
    <row r="50" spans="1:22" ht="61.5">
      <c r="A50" s="15">
        <v>919</v>
      </c>
      <c r="B50" s="65" t="s">
        <v>443</v>
      </c>
      <c r="C50" s="64">
        <f>прил7!G874</f>
        <v>2074126.33</v>
      </c>
      <c r="E50" s="26"/>
      <c r="V50" s="75"/>
    </row>
    <row r="51" spans="1:22" ht="30.75">
      <c r="A51" s="67">
        <v>924</v>
      </c>
      <c r="B51" s="65" t="s">
        <v>149</v>
      </c>
      <c r="C51" s="64">
        <f>прил7!G1053</f>
        <v>177717</v>
      </c>
      <c r="E51" s="26"/>
      <c r="V51" s="75"/>
    </row>
    <row r="52" spans="1:22" s="16" customFormat="1" ht="102.75" customHeight="1">
      <c r="A52" s="264" t="s">
        <v>103</v>
      </c>
      <c r="B52" s="265"/>
      <c r="C52" s="66">
        <f>C53</f>
        <v>21423557.97</v>
      </c>
      <c r="D52" s="26"/>
      <c r="E52" s="26"/>
      <c r="F52" s="12"/>
      <c r="G52" s="12"/>
      <c r="U52" s="48"/>
      <c r="V52" s="75"/>
    </row>
    <row r="53" spans="1:22" ht="46.5">
      <c r="A53" s="58">
        <v>916</v>
      </c>
      <c r="B53" s="54" t="s">
        <v>569</v>
      </c>
      <c r="C53" s="64">
        <f>прил7!G585+прил7!G629</f>
        <v>21423557.97</v>
      </c>
      <c r="D53" s="26">
        <f>'прил 8'!F999</f>
        <v>21423557.97</v>
      </c>
      <c r="E53" s="26">
        <f>D53-C53</f>
        <v>0</v>
      </c>
      <c r="V53" s="75"/>
    </row>
    <row r="54" spans="1:22" ht="69.75" customHeight="1">
      <c r="A54" s="264" t="s">
        <v>104</v>
      </c>
      <c r="B54" s="265"/>
      <c r="C54" s="66">
        <f>C55+C56+C57+C58+C59+C60+C61</f>
        <v>129390189.58999999</v>
      </c>
      <c r="D54" s="26">
        <f>'прил 8'!H1021</f>
        <v>129390189.59</v>
      </c>
      <c r="E54" s="26"/>
      <c r="G54" s="26"/>
      <c r="H54" s="26"/>
      <c r="U54" s="26"/>
      <c r="V54" s="75"/>
    </row>
    <row r="55" spans="1:22" ht="99.75" customHeight="1">
      <c r="A55" s="15">
        <v>913</v>
      </c>
      <c r="B55" s="65" t="s">
        <v>909</v>
      </c>
      <c r="C55" s="64">
        <f>прил7!G26</f>
        <v>429258.49000000005</v>
      </c>
      <c r="D55" s="26">
        <f>D54-C54</f>
        <v>0</v>
      </c>
      <c r="E55" s="26"/>
      <c r="V55" s="75"/>
    </row>
    <row r="56" spans="1:22" ht="93">
      <c r="A56" s="15">
        <v>914</v>
      </c>
      <c r="B56" s="65" t="s">
        <v>910</v>
      </c>
      <c r="C56" s="64">
        <f>прил7!G55+прил7!G107+прил7!G168+прил7!G251+прил7!G262</f>
        <v>72010846.35</v>
      </c>
      <c r="E56" s="26"/>
      <c r="V56" s="75"/>
    </row>
    <row r="57" spans="1:22" ht="46.5">
      <c r="A57" s="58">
        <v>915</v>
      </c>
      <c r="B57" s="54" t="s">
        <v>911</v>
      </c>
      <c r="C57" s="64">
        <f>прил7!G285+прил7!G318+прил7!G410</f>
        <v>49174772.8</v>
      </c>
      <c r="E57" s="26"/>
      <c r="V57" s="75"/>
    </row>
    <row r="58" spans="1:22" ht="46.5">
      <c r="A58" s="58">
        <v>916</v>
      </c>
      <c r="B58" s="54" t="s">
        <v>569</v>
      </c>
      <c r="C58" s="64">
        <f>прил7!G600</f>
        <v>348945</v>
      </c>
      <c r="E58" s="26"/>
      <c r="V58" s="75"/>
    </row>
    <row r="59" spans="1:22" ht="46.5">
      <c r="A59" s="58">
        <v>918</v>
      </c>
      <c r="B59" s="65" t="s">
        <v>537</v>
      </c>
      <c r="C59" s="64">
        <f>прил7!G664</f>
        <v>165338</v>
      </c>
      <c r="E59" s="26"/>
      <c r="V59" s="75"/>
    </row>
    <row r="60" spans="1:22" ht="61.5">
      <c r="A60" s="15">
        <v>919</v>
      </c>
      <c r="B60" s="65" t="s">
        <v>443</v>
      </c>
      <c r="C60" s="64">
        <f>прил7!G852+прил7!G859</f>
        <v>7164506.45</v>
      </c>
      <c r="E60" s="26"/>
      <c r="V60" s="75"/>
    </row>
    <row r="61" spans="1:22" ht="30.75">
      <c r="A61" s="58">
        <v>924</v>
      </c>
      <c r="B61" s="65" t="s">
        <v>149</v>
      </c>
      <c r="C61" s="64">
        <f>прил7!G1046</f>
        <v>96522.5</v>
      </c>
      <c r="E61" s="26"/>
      <c r="V61" s="75"/>
    </row>
    <row r="62" spans="1:22" s="16" customFormat="1" ht="20.25">
      <c r="A62" s="291" t="s">
        <v>531</v>
      </c>
      <c r="B62" s="292"/>
      <c r="C62" s="66">
        <f>C10+C13+C17+C21+C24+C27+C31+C33+C35+C41+C44+C52+C54</f>
        <v>2147315851.1599998</v>
      </c>
      <c r="D62" s="26"/>
      <c r="E62" s="26"/>
      <c r="U62" s="48"/>
      <c r="V62" s="75"/>
    </row>
    <row r="63" spans="2:5" ht="21.75" customHeight="1" hidden="1">
      <c r="B63" s="63"/>
      <c r="C63" s="19"/>
      <c r="E63" s="26"/>
    </row>
    <row r="64" spans="2:5" ht="15" hidden="1">
      <c r="B64" s="63"/>
      <c r="C64" s="79"/>
      <c r="E64" s="26"/>
    </row>
    <row r="65" spans="2:5" ht="15" hidden="1">
      <c r="B65" s="63"/>
      <c r="C65" s="79">
        <f>2477165350.44</f>
        <v>2477165350.44</v>
      </c>
      <c r="E65" s="26"/>
    </row>
    <row r="66" spans="2:5" ht="15" hidden="1">
      <c r="B66" s="63"/>
      <c r="C66" s="79">
        <f>C62-C65</f>
        <v>-329849499.2800002</v>
      </c>
      <c r="E66" s="26"/>
    </row>
    <row r="67" spans="2:3" ht="15" hidden="1">
      <c r="B67" s="63"/>
      <c r="C67" s="79"/>
    </row>
    <row r="68" spans="2:3" ht="15" hidden="1">
      <c r="B68" s="63"/>
      <c r="C68" s="79"/>
    </row>
    <row r="69" spans="2:3" ht="15" hidden="1">
      <c r="B69" s="63"/>
      <c r="C69" s="79"/>
    </row>
    <row r="70" spans="2:3" ht="15" hidden="1">
      <c r="B70" s="63"/>
      <c r="C70" s="79">
        <v>-180006774.87</v>
      </c>
    </row>
    <row r="71" spans="2:3" ht="15" hidden="1">
      <c r="B71" s="63"/>
      <c r="C71" s="79"/>
    </row>
    <row r="72" spans="2:3" ht="15" hidden="1">
      <c r="B72" s="63"/>
      <c r="C72" s="79">
        <f>C66-C70</f>
        <v>-149842724.4100002</v>
      </c>
    </row>
    <row r="73" ht="15" hidden="1">
      <c r="C73" s="26"/>
    </row>
    <row r="74" ht="15" hidden="1">
      <c r="C74" s="26">
        <f>10000+10000+10000</f>
        <v>30000</v>
      </c>
    </row>
    <row r="75" ht="15" hidden="1">
      <c r="C75" s="26">
        <f>418000-20000-20000-92000</f>
        <v>286000</v>
      </c>
    </row>
    <row r="76" ht="15" hidden="1">
      <c r="C76" s="26">
        <f>C74+C75</f>
        <v>316000</v>
      </c>
    </row>
    <row r="77" ht="15" hidden="1">
      <c r="C77" s="26">
        <f>C70+C76</f>
        <v>-179690774.87</v>
      </c>
    </row>
    <row r="78" ht="15" hidden="1">
      <c r="C78" s="26">
        <f>C66-C77</f>
        <v>-150158724.4100002</v>
      </c>
    </row>
    <row r="79" ht="15" hidden="1">
      <c r="C79" s="109"/>
    </row>
    <row r="80" ht="15" hidden="1">
      <c r="C80" s="26"/>
    </row>
    <row r="81" ht="15" hidden="1">
      <c r="C81" s="26"/>
    </row>
    <row r="82" ht="15" hidden="1">
      <c r="C82" s="26"/>
    </row>
    <row r="83" spans="2:3" ht="15" hidden="1">
      <c r="B83" s="163"/>
      <c r="C83" s="26"/>
    </row>
    <row r="84" ht="15" hidden="1">
      <c r="C84" s="26"/>
    </row>
    <row r="85" ht="15" hidden="1">
      <c r="C85" s="26"/>
    </row>
    <row r="86" ht="15" hidden="1">
      <c r="C86" s="26"/>
    </row>
    <row r="87" ht="15" hidden="1">
      <c r="C87" s="26"/>
    </row>
    <row r="88" ht="15" hidden="1">
      <c r="C88" s="26"/>
    </row>
    <row r="89" ht="15" hidden="1">
      <c r="C89" s="26"/>
    </row>
    <row r="90" ht="15" hidden="1">
      <c r="C90" s="26"/>
    </row>
    <row r="91" ht="15" hidden="1">
      <c r="C91" s="26"/>
    </row>
    <row r="92" ht="15" hidden="1">
      <c r="C92" s="26"/>
    </row>
    <row r="93" ht="15" hidden="1">
      <c r="C93" s="26"/>
    </row>
    <row r="94" ht="15" hidden="1"/>
    <row r="95" ht="15" hidden="1"/>
    <row r="96" ht="15" hidden="1"/>
    <row r="97" ht="15" hidden="1"/>
    <row r="98" ht="15" hidden="1"/>
    <row r="99" ht="15" hidden="1"/>
    <row r="100" ht="15" hidden="1"/>
    <row r="101" ht="15" hidden="1"/>
    <row r="102" ht="15" hidden="1"/>
    <row r="103" ht="15" hidden="1"/>
    <row r="104" ht="15" hidden="1"/>
    <row r="106" ht="15" hidden="1">
      <c r="C106" s="26">
        <f>2127765848.53</f>
        <v>2127765848.53</v>
      </c>
    </row>
    <row r="107" ht="15" hidden="1">
      <c r="C107" s="26"/>
    </row>
    <row r="108" ht="15" hidden="1">
      <c r="C108" s="26">
        <f>C106-C62</f>
        <v>-19550002.629999876</v>
      </c>
    </row>
    <row r="109" ht="15" hidden="1">
      <c r="C109" s="26"/>
    </row>
    <row r="110" ht="15" hidden="1"/>
    <row r="111" ht="15" hidden="1">
      <c r="C111" s="26">
        <f>'прил 8'!F1361-'прил 8'!F1298</f>
        <v>2147315851.16</v>
      </c>
    </row>
    <row r="112" ht="15" hidden="1">
      <c r="C112" s="26">
        <f>C111-C62</f>
        <v>0</v>
      </c>
    </row>
    <row r="113" ht="15" hidden="1">
      <c r="C113" s="26"/>
    </row>
    <row r="114" ht="15">
      <c r="C114" s="26"/>
    </row>
    <row r="115" ht="15">
      <c r="C115" s="26"/>
    </row>
  </sheetData>
  <sheetProtection/>
  <mergeCells count="22">
    <mergeCell ref="B1:C1"/>
    <mergeCell ref="A33:B33"/>
    <mergeCell ref="B3:C3"/>
    <mergeCell ref="C7:C8"/>
    <mergeCell ref="A27:B27"/>
    <mergeCell ref="B4:T4"/>
    <mergeCell ref="A5:C5"/>
    <mergeCell ref="B2:C2"/>
    <mergeCell ref="A10:B10"/>
    <mergeCell ref="A13:B13"/>
    <mergeCell ref="A21:B21"/>
    <mergeCell ref="B7:B8"/>
    <mergeCell ref="A7:A8"/>
    <mergeCell ref="A41:B41"/>
    <mergeCell ref="A24:B24"/>
    <mergeCell ref="A17:B17"/>
    <mergeCell ref="A54:B54"/>
    <mergeCell ref="A31:B31"/>
    <mergeCell ref="A52:B52"/>
    <mergeCell ref="A35:B35"/>
    <mergeCell ref="A62:B62"/>
    <mergeCell ref="A44:B44"/>
  </mergeCells>
  <printOptions horizontalCentered="1"/>
  <pageMargins left="0.7874015748031497" right="0.3937007874015748" top="0.33" bottom="0.42" header="0.28" footer="0.17"/>
  <pageSetup fitToHeight="4" fitToWidth="1" horizontalDpi="600" verticalDpi="600" orientation="portrait" paperSize="9" scale="87"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Николаев</cp:lastModifiedBy>
  <cp:lastPrinted>2016-09-23T09:07:08Z</cp:lastPrinted>
  <dcterms:created xsi:type="dcterms:W3CDTF">2003-08-14T15:25:08Z</dcterms:created>
  <dcterms:modified xsi:type="dcterms:W3CDTF">2016-09-23T09:09:30Z</dcterms:modified>
  <cp:category/>
  <cp:version/>
  <cp:contentType/>
  <cp:contentStatus/>
</cp:coreProperties>
</file>