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80" windowHeight="11460" tabRatio="905" firstSheet="3" activeTab="15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  <author>Чинарёва Светлана Игоревна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  <comment ref="J11" authorId="1">
      <text>
        <r>
          <rPr>
            <b/>
            <sz val="9"/>
            <rFont val="Tahoma"/>
            <family val="2"/>
          </rPr>
          <t>Чинарёва Светлана Игоревна:</t>
        </r>
        <r>
          <rPr>
            <sz val="9"/>
            <rFont val="Tahoma"/>
            <family val="2"/>
          </rPr>
          <t xml:space="preserve">
софинансирование ФОТ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<sst xmlns="http://schemas.openxmlformats.org/spreadsheetml/2006/main" count="1302" uniqueCount="291">
  <si>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</si>
  <si>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</si>
  <si>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</si>
  <si>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</si>
  <si>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</si>
  <si>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</si>
  <si>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</si>
  <si>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</si>
  <si>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</si>
  <si>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</si>
  <si>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</si>
  <si>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</si>
  <si>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</si>
  <si>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</si>
  <si>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</si>
  <si>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</si>
  <si>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</si>
  <si>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</si>
  <si>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</si>
  <si>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</si>
  <si>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</si>
  <si>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</si>
  <si>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</si>
  <si>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</si>
  <si>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</si>
  <si>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</si>
  <si>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</si>
  <si>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</si>
  <si>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</si>
  <si>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</si>
  <si>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</si>
  <si>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</si>
  <si>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</si>
  <si>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</si>
  <si>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</si>
  <si>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</si>
  <si>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</si>
  <si>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</si>
  <si>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</si>
  <si>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</si>
  <si>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</si>
  <si>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</si>
  <si>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</si>
  <si>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</si>
  <si>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</si>
  <si>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</si>
  <si>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</si>
  <si>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</si>
  <si>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</si>
  <si>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</si>
  <si>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</si>
  <si>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</si>
  <si>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</si>
  <si>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</si>
  <si>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</si>
  <si>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</si>
  <si>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</si>
  <si>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</si>
  <si>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</si>
  <si>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</si>
  <si>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</si>
  <si>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</si>
  <si>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</si>
  <si>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</si>
  <si>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</si>
  <si>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</si>
  <si>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</si>
  <si>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</si>
  <si>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</si>
  <si>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</si>
  <si>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</si>
  <si>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</si>
  <si>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</si>
  <si>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</si>
  <si>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</si>
  <si>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</si>
  <si>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</si>
  <si>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</si>
  <si>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</si>
  <si>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</si>
  <si>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</si>
  <si>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</si>
  <si>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</si>
  <si>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</si>
  <si>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</si>
  <si>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</si>
  <si>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</si>
  <si>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</si>
  <si>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</si>
  <si>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</si>
  <si>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</si>
  <si>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</si>
  <si>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</si>
  <si>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</si>
  <si>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</si>
  <si>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</si>
  <si>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</si>
  <si>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</si>
  <si>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</si>
  <si>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</si>
  <si>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</si>
  <si>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</si>
  <si>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</si>
  <si>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</si>
  <si>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</si>
  <si>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</si>
  <si>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</si>
  <si>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</si>
  <si>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</si>
  <si>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</si>
  <si>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</si>
  <si>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</si>
  <si>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</si>
  <si>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</si>
  <si>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</si>
  <si>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</si>
  <si>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</si>
  <si>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</si>
  <si>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Содержание недвижимого и особо ценного движимого имущества муниципальных дошкольных образовательных учреждений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</si>
  <si>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</si>
  <si>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</si>
  <si>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</si>
  <si>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</si>
  <si>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</si>
  <si>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</si>
  <si>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</si>
  <si>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</si>
  <si>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</si>
  <si>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</si>
  <si>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</si>
  <si>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</si>
  <si>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</si>
  <si>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</si>
  <si>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</si>
  <si>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</si>
  <si>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</si>
  <si>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</si>
  <si>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</si>
  <si>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</si>
  <si>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</si>
  <si>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</si>
  <si>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</si>
  <si>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</si>
  <si>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</si>
  <si>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</si>
  <si>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</si>
  <si>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</si>
  <si>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</si>
  <si>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</si>
  <si>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</si>
  <si>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</si>
  <si>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</si>
  <si>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</si>
  <si>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</si>
  <si>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</si>
  <si>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</si>
  <si>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</si>
  <si>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</si>
  <si>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</si>
  <si>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</si>
  <si>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</si>
  <si>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</si>
  <si>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</si>
  <si>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</si>
  <si>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</si>
  <si>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</si>
  <si>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</si>
  <si>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</si>
  <si>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</si>
  <si>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</si>
  <si>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</si>
  <si>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</si>
  <si>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</si>
  <si>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</si>
  <si>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</si>
  <si>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</si>
  <si>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</si>
  <si>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</si>
  <si>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</si>
  <si>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</si>
  <si>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</si>
  <si>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</si>
  <si>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</si>
  <si>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</si>
  <si>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</si>
  <si>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</si>
  <si>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</si>
  <si>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</si>
  <si>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</si>
  <si>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</si>
  <si>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</si>
  <si>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</si>
  <si>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</si>
  <si>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</si>
  <si>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</si>
  <si>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</si>
  <si>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</si>
  <si>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</si>
  <si>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</si>
  <si>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</si>
  <si>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</si>
  <si>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</si>
  <si>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</si>
  <si>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</si>
  <si>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</si>
  <si>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</si>
  <si>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</si>
  <si>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</si>
  <si>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</si>
  <si>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</si>
  <si>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</si>
  <si>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</si>
  <si>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</si>
  <si>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</si>
  <si>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</si>
  <si>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</si>
  <si>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</si>
  <si>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</si>
  <si>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</si>
  <si>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</si>
  <si>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</si>
  <si>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</si>
  <si>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</si>
  <si>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</si>
  <si>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</si>
  <si>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</si>
  <si>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</si>
  <si>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</si>
  <si>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</si>
  <si>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</si>
  <si>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</si>
  <si>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</si>
  <si>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</si>
  <si>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</si>
  <si>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</si>
  <si>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</si>
  <si>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</si>
  <si>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</si>
  <si>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</si>
  <si>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</si>
  <si>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</si>
  <si>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</si>
  <si>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</si>
  <si>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</si>
  <si>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</si>
  <si>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</si>
  <si>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</si>
  <si>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</si>
  <si>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</si>
  <si>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</si>
  <si>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</si>
  <si>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</si>
  <si>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</si>
  <si>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</si>
  <si>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</si>
  <si>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</si>
  <si>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</si>
  <si>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</si>
  <si>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</si>
  <si>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</si>
  <si>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</si>
  <si>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 xml:space="preserve"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</si>
  <si>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</si>
  <si>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МБДОУ, МАДОУ, МБДОУ "ООШ №280"</t>
  </si>
  <si>
    <t>Доля физических лиц, получивших  социальные гарантии, от общего количества физических лиц, имеющих право на социальные гарантии в соответствующем финансовом году,(%)</t>
  </si>
  <si>
    <t>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 (%)</t>
  </si>
  <si>
    <t>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 (%)</t>
  </si>
  <si>
    <t>Доля устраненных нарушений,выявленных надзорными органами, в сфере пожарной и электрической безопасности  (%)</t>
  </si>
  <si>
    <t>Доля устраненных нарушений,выявленных надзорными органами, в сфере СанПиН и технической безопасности  (%)</t>
  </si>
  <si>
    <t>Доля устраненных нарушений,выявленных надзорными органами, в сфере благоустройства территории  (%)</t>
  </si>
  <si>
    <t>Доля устраненных нарушений,выявленных надзорными органами, в сфере антитеррористической и противокриминальнй безопасности (%)</t>
  </si>
  <si>
    <t>1.6.</t>
  </si>
  <si>
    <t>Строительство детского сада на 140 мест в г. Полярный</t>
  </si>
  <si>
    <t>Освоение средств (%)</t>
  </si>
  <si>
    <t>Приложение № 1
к постановлению администрации
ЗАТО Александровск
от « 29 » декабря 2017 г.       № 2504</t>
  </si>
  <si>
    <t>Приложение № 2
к постановлению администрации
ЗАТО Александровск
от « 29 » декабря 2017 г. № 2504</t>
  </si>
  <si>
    <t>Приложение № 3
к постановлению администрации
ЗАТО Александровск
от « 29 » декабря 2017 г.       № 2504</t>
  </si>
  <si>
    <t>Приложение № 4
к постановлению администрации
ЗАТО Александровск
от « 29 » декабря 2017 г.       № 2504</t>
  </si>
  <si>
    <t>Приложение № 5
к постановлению администрации
ЗАТО Александровск
от « 29 » декабря 2017 г.       № 2504 Таблица №3 (2)</t>
  </si>
  <si>
    <t>Приложение № 6
к постановлению администрации
ЗАТО Александровск
от « 29 » декабря 2017 г.       № 2504</t>
  </si>
  <si>
    <t>Приложение № 7
к постановлению администрации
ЗАТО Александровск
от « 29 » декабря 2017 г.       № 2504                                         Таблица №3 (3)</t>
  </si>
  <si>
    <t>Приложение № 8
к постановлению администрации
ЗАТО Александровск
от « 29 » декабря 2017 г.       № 2504</t>
  </si>
  <si>
    <t>Приложение № 9
к постановлению администрации
ЗАТО Александровск
от « 29 » декабря 2017 г.       № 2504</t>
  </si>
  <si>
    <t>Приложение № 10
к постановлению администрации
ЗАТО Александровск
от « 29 » декабря 2017 г.       № 2504</t>
  </si>
  <si>
    <t>Приложение № 11
к постановлению администрации
ЗАТО Александровск
от « 29 » декабря 2017 г.       № 2504</t>
  </si>
  <si>
    <t>Приложение № 12
к постановлению администрации
ЗАТО Александровск
от « 29 » декабря 2017 г.       № 2504</t>
  </si>
  <si>
    <t>Приложение № 13
к постановлению администрации
ЗАТО Александровск
от « 29 » декабря 2017 г.       № 2504</t>
  </si>
  <si>
    <t>Приложение № 14
к постановлению администрации
ЗАТО Александровск
от « 29 » декабря 2017 г.       № 2504</t>
  </si>
  <si>
    <t>Приложение № 15
к постановлению администрации
ЗАТО Александровск
от « 29 » декабря 2017 г.       № 2504</t>
  </si>
  <si>
    <t>Приложение № 16
к постановлению администрации
ЗАТО Александровск
от « 29 » декабря 2017 г.       № 2504</t>
  </si>
  <si>
    <t>Приложение № 17
к постановлению администрации
ЗАТО Александровск
от « 29 » декабря 2017 г.       № 2504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</si>
</sst>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2" applyNumberFormat="0" applyAlignment="0" applyProtection="0"/>
    <xf numFmtId="0" fontId="55" fillId="24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5" borderId="7" applyNumberFormat="0" applyAlignment="0" applyProtection="0"/>
    <xf numFmtId="0" fontId="6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7" fillId="0" borderId="10" xfId="0" applyNumberFormat="1" applyFont="1" applyFill="1" applyBorder="1" applyAlignment="1">
      <alignment/>
    </xf>
    <xf numFmtId="4" fontId="57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0" xfId="64" applyNumberFormat="1" applyFont="1" applyFill="1" applyAlignment="1">
      <alignment/>
    </xf>
    <xf numFmtId="171" fontId="1" fillId="0" borderId="0" xfId="64" applyFont="1" applyFill="1" applyAlignment="1">
      <alignment/>
    </xf>
    <xf numFmtId="188" fontId="1" fillId="0" borderId="0" xfId="64" applyNumberFormat="1" applyFon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0" fillId="0" borderId="0" xfId="64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1" fontId="8" fillId="0" borderId="0" xfId="66" applyFont="1" applyFill="1" applyAlignment="1">
      <alignment vertical="center"/>
    </xf>
    <xf numFmtId="171" fontId="0" fillId="0" borderId="0" xfId="64" applyFont="1" applyFill="1" applyAlignment="1">
      <alignment/>
    </xf>
    <xf numFmtId="4" fontId="8" fillId="0" borderId="18" xfId="0" applyNumberFormat="1" applyFont="1" applyFill="1" applyBorder="1" applyAlignment="1">
      <alignment horizontal="right" vertical="top" wrapText="1"/>
    </xf>
    <xf numFmtId="4" fontId="8" fillId="0" borderId="19" xfId="0" applyNumberFormat="1" applyFont="1" applyFill="1" applyBorder="1" applyAlignment="1">
      <alignment horizontal="right" vertical="top" wrapText="1"/>
    </xf>
    <xf numFmtId="171" fontId="1" fillId="0" borderId="0" xfId="64" applyFont="1" applyFill="1" applyAlignment="1">
      <alignment horizontal="center"/>
    </xf>
    <xf numFmtId="49" fontId="68" fillId="0" borderId="0" xfId="0" applyNumberFormat="1" applyFont="1" applyFill="1" applyAlignment="1">
      <alignment horizontal="right" vertical="center" wrapText="1"/>
    </xf>
    <xf numFmtId="0" fontId="67" fillId="0" borderId="0" xfId="0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2" fontId="21" fillId="0" borderId="20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9" fontId="68" fillId="0" borderId="0" xfId="0" applyNumberFormat="1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15" workbookViewId="0" topLeftCell="F1">
      <selection activeCell="G1" sqref="G1:I1"/>
    </sheetView>
  </sheetViews>
  <sheetFormatPr defaultColWidth="9.140625" defaultRowHeight="15"/>
  <cols>
    <col min="1" max="1" width="35.421875" style="92" customWidth="1"/>
    <col min="2" max="2" width="19.42187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7" width="19.140625" style="92" customWidth="1"/>
    <col min="8" max="8" width="16.28125" style="92" customWidth="1"/>
    <col min="9" max="9" width="18.140625" style="92" customWidth="1"/>
    <col min="10" max="10" width="19.00390625" style="92" customWidth="1"/>
    <col min="11" max="11" width="22.00390625" style="92" customWidth="1"/>
    <col min="12" max="12" width="21.281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78" t="s">
        <v>274</v>
      </c>
      <c r="H1" s="179"/>
      <c r="I1" s="179"/>
      <c r="J1" s="129"/>
    </row>
    <row r="2" spans="2:9" ht="18.75">
      <c r="B2" s="174"/>
      <c r="E2" s="99"/>
      <c r="F2" s="174"/>
      <c r="G2" s="152"/>
      <c r="H2" s="132" t="s">
        <v>258</v>
      </c>
      <c r="I2" s="113"/>
    </row>
    <row r="3" spans="1:9" ht="30" customHeight="1">
      <c r="A3" s="183" t="s">
        <v>56</v>
      </c>
      <c r="B3" s="183"/>
      <c r="C3" s="183"/>
      <c r="D3" s="183"/>
      <c r="E3" s="183"/>
      <c r="F3" s="183"/>
      <c r="G3" s="183"/>
      <c r="H3" s="183"/>
      <c r="I3" s="183"/>
    </row>
    <row r="4" spans="1:9" ht="16.5" customHeight="1">
      <c r="A4" s="184" t="s">
        <v>99</v>
      </c>
      <c r="B4" s="186" t="s">
        <v>100</v>
      </c>
      <c r="C4" s="188" t="s">
        <v>101</v>
      </c>
      <c r="D4" s="188"/>
      <c r="E4" s="188"/>
      <c r="F4" s="188"/>
      <c r="G4" s="188"/>
      <c r="H4" s="188"/>
      <c r="I4" s="188"/>
    </row>
    <row r="5" spans="1:10" ht="16.5" customHeight="1">
      <c r="A5" s="185"/>
      <c r="B5" s="187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  <c r="J5" s="161"/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19"/>
    </row>
    <row r="7" spans="1:10" ht="16.5" customHeight="1">
      <c r="A7" s="85" t="s">
        <v>72</v>
      </c>
      <c r="B7" s="117">
        <f>'таб 2(1)'!B8+'таб 2(2)'!B7+'таб 2(3)'!B8+'таб 2(4)'!B8+'таб 2(5)'!B8+'таб 2(6)'!B8+'таб 2(7)'!B8+'таб 2(8)'!B8</f>
        <v>11071126430.65</v>
      </c>
      <c r="C7" s="117">
        <f>'таб 2(1)'!C8+'таб 2(2)'!C7+'таб 2(3)'!C8+'таб 2(4)'!C8+'таб 2(5)'!C8+'таб 2(6)'!C8+'таб 2(7)'!C8+'таб 2(8)'!C8</f>
        <v>1694513067.23</v>
      </c>
      <c r="D7" s="117">
        <f>'таб 2(1)'!D8+'таб 2(2)'!D7+'таб 2(3)'!D8+'таб 2(4)'!D8+'таб 2(5)'!D8+'таб 2(6)'!D8+'таб 2(7)'!D8+'таб 2(8)'!D8</f>
        <v>1602512422.8599997</v>
      </c>
      <c r="E7" s="117">
        <f>'таб 2(1)'!E8+'таб 2(2)'!E7+'таб 2(3)'!E8+'таб 2(4)'!E8+'таб 2(5)'!E8+'таб 2(6)'!E8+'таб 2(7)'!E8+'таб 2(8)'!E8</f>
        <v>1481484584.7900002</v>
      </c>
      <c r="F7" s="117">
        <f>'таб 2(1)'!F8+'таб 2(2)'!F7+'таб 2(3)'!F8+'таб 2(4)'!F8+'таб 2(5)'!F8+'таб 2(6)'!F8+'таб 2(7)'!F8+'таб 2(8)'!F8</f>
        <v>1522712704.16</v>
      </c>
      <c r="G7" s="117">
        <f>'таб 2(1)'!G8+'таб 2(2)'!G7+'таб 2(3)'!G8+'таб 2(4)'!G8+'таб 2(5)'!G8+'таб 2(6)'!G8+'таб 2(7)'!G8+'таб 2(8)'!G8</f>
        <v>1596172576.8300002</v>
      </c>
      <c r="H7" s="117">
        <f>'таб 2(1)'!H8+'таб 2(2)'!H7+'таб 2(3)'!H8+'таб 2(4)'!H8+'таб 2(5)'!H8+'таб 2(6)'!H8+'таб 2(7)'!H8+'таб 2(8)'!H8</f>
        <v>1561711674.77</v>
      </c>
      <c r="I7" s="118">
        <f>'таб 2(1)'!I8+'таб 2(2)'!I7+'таб 2(3)'!I8+'таб 2(4)'!I8+'таб 2(5)'!I8+'таб 2(6)'!I8+'таб 2(7)'!I8+'таб 2(8)'!I8</f>
        <v>1612019400.01</v>
      </c>
      <c r="J7" s="170"/>
    </row>
    <row r="8" spans="1:11" ht="16.5" customHeight="1">
      <c r="A8" s="180" t="s">
        <v>102</v>
      </c>
      <c r="B8" s="181"/>
      <c r="C8" s="181"/>
      <c r="D8" s="181"/>
      <c r="E8" s="181"/>
      <c r="F8" s="181"/>
      <c r="G8" s="181"/>
      <c r="H8" s="181"/>
      <c r="I8" s="182"/>
      <c r="J8" s="120"/>
      <c r="K8" s="121"/>
    </row>
    <row r="9" spans="1:13" ht="16.5" customHeight="1">
      <c r="A9" s="87" t="s">
        <v>103</v>
      </c>
      <c r="B9" s="122">
        <f>B16+B23</f>
        <v>4615022688.360001</v>
      </c>
      <c r="C9" s="122">
        <f aca="true" t="shared" si="0" ref="C9:I9">C16+C23</f>
        <v>781992303.05</v>
      </c>
      <c r="D9" s="122">
        <f t="shared" si="0"/>
        <v>731212811.05</v>
      </c>
      <c r="E9" s="122">
        <f t="shared" si="0"/>
        <v>643396561.6400001</v>
      </c>
      <c r="F9" s="122">
        <f t="shared" si="0"/>
        <v>627843705.6199999</v>
      </c>
      <c r="G9" s="122">
        <f t="shared" si="0"/>
        <v>651517190.7900001</v>
      </c>
      <c r="H9" s="122">
        <f t="shared" si="0"/>
        <v>582837788.02</v>
      </c>
      <c r="I9" s="122">
        <f t="shared" si="0"/>
        <v>596222328.1899999</v>
      </c>
      <c r="J9" s="97"/>
      <c r="K9" s="97"/>
      <c r="L9" s="97"/>
      <c r="M9" s="97"/>
    </row>
    <row r="10" spans="1:12" ht="16.5" customHeight="1">
      <c r="A10" s="87" t="s">
        <v>104</v>
      </c>
      <c r="B10" s="122">
        <f>B17+B24</f>
        <v>5396404537.84</v>
      </c>
      <c r="C10" s="122">
        <f aca="true" t="shared" si="1" ref="C10:I10">C17+C24</f>
        <v>654944860</v>
      </c>
      <c r="D10" s="122">
        <f t="shared" si="1"/>
        <v>694040208</v>
      </c>
      <c r="E10" s="122">
        <f t="shared" si="1"/>
        <v>724568456</v>
      </c>
      <c r="F10" s="122">
        <f t="shared" si="1"/>
        <v>770408830.5</v>
      </c>
      <c r="G10" s="122">
        <f t="shared" si="1"/>
        <v>815693998.95</v>
      </c>
      <c r="H10" s="122">
        <f t="shared" si="1"/>
        <v>849912499.66</v>
      </c>
      <c r="I10" s="122">
        <f t="shared" si="1"/>
        <v>886835684.73</v>
      </c>
      <c r="J10" s="97"/>
      <c r="K10" s="97"/>
      <c r="L10" s="97"/>
    </row>
    <row r="11" spans="1:12" ht="16.5" customHeight="1">
      <c r="A11" s="87" t="s">
        <v>105</v>
      </c>
      <c r="B11" s="122">
        <f>B18+B25</f>
        <v>222570884.18</v>
      </c>
      <c r="C11" s="122">
        <f aca="true" t="shared" si="2" ref="C11:I11">C18+C25</f>
        <v>153856484.18</v>
      </c>
      <c r="D11" s="122">
        <f t="shared" si="2"/>
        <v>68714400</v>
      </c>
      <c r="E11" s="122">
        <f t="shared" si="2"/>
        <v>0</v>
      </c>
      <c r="F11" s="122">
        <f t="shared" si="2"/>
        <v>0</v>
      </c>
      <c r="G11" s="122">
        <f t="shared" si="2"/>
        <v>0</v>
      </c>
      <c r="H11" s="122">
        <f t="shared" si="2"/>
        <v>0</v>
      </c>
      <c r="I11" s="122">
        <f t="shared" si="2"/>
        <v>0</v>
      </c>
      <c r="J11" s="97"/>
      <c r="K11" s="97"/>
      <c r="L11" s="97"/>
    </row>
    <row r="12" spans="1:9" ht="16.5" customHeight="1">
      <c r="A12" s="87" t="s">
        <v>106</v>
      </c>
      <c r="B12" s="122">
        <f>B19+B26</f>
        <v>837128320.27</v>
      </c>
      <c r="C12" s="122">
        <f aca="true" t="shared" si="3" ref="C12:I12">C19+C26</f>
        <v>103719420</v>
      </c>
      <c r="D12" s="122">
        <f t="shared" si="3"/>
        <v>108545003.81000002</v>
      </c>
      <c r="E12" s="122">
        <f t="shared" si="3"/>
        <v>113519567.15</v>
      </c>
      <c r="F12" s="122">
        <f t="shared" si="3"/>
        <v>124460168.04</v>
      </c>
      <c r="G12" s="122">
        <f t="shared" si="3"/>
        <v>128961387.09</v>
      </c>
      <c r="H12" s="122">
        <f t="shared" si="3"/>
        <v>128961387.09</v>
      </c>
      <c r="I12" s="122">
        <f t="shared" si="3"/>
        <v>128961387.09</v>
      </c>
    </row>
    <row r="13" spans="1:9" ht="39.75" customHeight="1">
      <c r="A13" s="189" t="s">
        <v>107</v>
      </c>
      <c r="B13" s="190"/>
      <c r="C13" s="190"/>
      <c r="D13" s="190"/>
      <c r="E13" s="190"/>
      <c r="F13" s="190"/>
      <c r="G13" s="190"/>
      <c r="H13" s="190"/>
      <c r="I13" s="191"/>
    </row>
    <row r="14" spans="1:12" ht="26.25">
      <c r="A14" s="95" t="s">
        <v>114</v>
      </c>
      <c r="B14" s="86">
        <f>SUM(B16:B19)</f>
        <v>10423099728.230001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1413596645.0400002</v>
      </c>
      <c r="F14" s="86">
        <f t="shared" si="4"/>
        <v>1521675290.4299998</v>
      </c>
      <c r="G14" s="86">
        <f t="shared" si="4"/>
        <v>1594272576.8300002</v>
      </c>
      <c r="H14" s="86">
        <f t="shared" si="4"/>
        <v>1561711674.7699997</v>
      </c>
      <c r="I14" s="86">
        <f t="shared" si="4"/>
        <v>1612019400.01</v>
      </c>
      <c r="J14" s="97"/>
      <c r="K14" s="170"/>
      <c r="L14" s="97"/>
    </row>
    <row r="15" spans="1:12" ht="16.5" customHeight="1">
      <c r="A15" s="180" t="s">
        <v>102</v>
      </c>
      <c r="B15" s="181"/>
      <c r="C15" s="181"/>
      <c r="D15" s="181"/>
      <c r="E15" s="181"/>
      <c r="F15" s="181"/>
      <c r="G15" s="181"/>
      <c r="H15" s="181"/>
      <c r="I15" s="182"/>
      <c r="J15" s="97"/>
      <c r="K15" s="170"/>
      <c r="L15" s="97"/>
    </row>
    <row r="16" spans="1:12" ht="16.5" customHeight="1">
      <c r="A16" s="87" t="s">
        <v>103</v>
      </c>
      <c r="B16" s="24">
        <f>'таб 2(1)'!B17+'таб 2(2)'!B16+'таб 2(3)'!B17+'таб 2(4)'!B17+'таб 2(5)'!B17+'таб 2(6)'!B17+'таб 2(7)'!B17+'таб 2(8)'!B17</f>
        <v>4220341383.8500004</v>
      </c>
      <c r="C16" s="24">
        <f>'таб 2(1)'!C17+'таб 2(2)'!C16+'таб 2(3)'!C17+'таб 2(4)'!C17+'таб 2(5)'!C17+'таб 2(6)'!C17+'таб 2(7)'!C17+'таб 2(8)'!C17</f>
        <v>595041284.48</v>
      </c>
      <c r="D16" s="24">
        <f>'таб 2(1)'!D17+'таб 2(2)'!D16+'таб 2(3)'!D17+'таб 2(4)'!D17+'таб 2(5)'!D17+'таб 2(6)'!D17+'таб 2(7)'!D17+'таб 2(8)'!D17</f>
        <v>578533364.86</v>
      </c>
      <c r="E16" s="24">
        <f>'таб 2(1)'!E17+'таб 2(2)'!E16+'таб 2(3)'!E17+'таб 2(4)'!E17+'таб 2(5)'!E17+'таб 2(6)'!E17+'таб 2(7)'!E17+'таб 2(8)'!E17</f>
        <v>590508621.8900001</v>
      </c>
      <c r="F16" s="24">
        <f>'таб 2(1)'!F17+'таб 2(2)'!F16+'таб 2(3)'!F17+'таб 2(4)'!F17+'таб 2(5)'!F17+'таб 2(6)'!F17+'таб 2(7)'!F17+'таб 2(8)'!F17</f>
        <v>627580805.6199999</v>
      </c>
      <c r="G16" s="24">
        <f>'таб 2(1)'!G17+'таб 2(2)'!G16+'таб 2(3)'!G17+'таб 2(4)'!G17+'таб 2(5)'!G17+'таб 2(6)'!G17+'таб 2(7)'!G17+'таб 2(8)'!G17</f>
        <v>649617190.7900001</v>
      </c>
      <c r="H16" s="24">
        <f>'таб 2(1)'!H17+'таб 2(2)'!H16+'таб 2(3)'!H17+'таб 2(4)'!H17+'таб 2(5)'!H17+'таб 2(6)'!H17+'таб 2(7)'!H17+'таб 2(8)'!H17</f>
        <v>582837788.02</v>
      </c>
      <c r="I16" s="24">
        <f>'таб 2(1)'!I17+'таб 2(2)'!I16+'таб 2(3)'!I17+'таб 2(4)'!I17+'таб 2(5)'!I17+'таб 2(6)'!I17+'таб 2(7)'!I17+'таб 2(8)'!I17</f>
        <v>596222328.1899999</v>
      </c>
      <c r="J16" s="161"/>
      <c r="K16" s="170"/>
      <c r="L16" s="97"/>
    </row>
    <row r="17" spans="1:12" ht="16.5" customHeight="1">
      <c r="A17" s="87" t="s">
        <v>104</v>
      </c>
      <c r="B17" s="24">
        <f>'таб 2(1)'!B18+'таб 2(2)'!B17+'таб 2(3)'!B18+'таб 2(4)'!B18+'таб 2(5)'!B18+'таб 2(6)'!B18+'таб 2(7)'!B18+'таб 2(8)'!B18</f>
        <v>5365630024.110001</v>
      </c>
      <c r="C17" s="24">
        <f>'таб 2(1)'!C18+'таб 2(2)'!C17+'таб 2(3)'!C18+'таб 2(4)'!C18+'таб 2(5)'!C18+'таб 2(6)'!C18+'таб 2(7)'!C18+'таб 2(8)'!C18</f>
        <v>654944860</v>
      </c>
      <c r="D17" s="24">
        <f>'таб 2(1)'!D18+'таб 2(2)'!D17+'таб 2(3)'!D18+'таб 2(4)'!D18+'таб 2(5)'!D18+'таб 2(6)'!D18+'таб 2(7)'!D18+'таб 2(8)'!D18</f>
        <v>679040208</v>
      </c>
      <c r="E17" s="24">
        <f>'таб 2(1)'!E18+'таб 2(2)'!E17+'таб 2(3)'!E18+'таб 2(4)'!E18+'таб 2(5)'!E18+'таб 2(6)'!E18+'таб 2(7)'!E18+'таб 2(8)'!E18</f>
        <v>709568456</v>
      </c>
      <c r="F17" s="24">
        <f>'таб 2(1)'!F18+'таб 2(2)'!F17+'таб 2(3)'!F18+'таб 2(4)'!F18+'таб 2(5)'!F18+'таб 2(6)'!F18+'таб 2(7)'!F18+'таб 2(8)'!F18</f>
        <v>769634316.77</v>
      </c>
      <c r="G17" s="24">
        <f>'таб 2(1)'!G18+'таб 2(2)'!G17+'таб 2(3)'!G18+'таб 2(4)'!G18+'таб 2(5)'!G18+'таб 2(6)'!G18+'таб 2(7)'!G18+'таб 2(8)'!G18</f>
        <v>815693998.95</v>
      </c>
      <c r="H17" s="24">
        <f>'таб 2(1)'!H18+'таб 2(2)'!H17+'таб 2(3)'!H18+'таб 2(4)'!H18+'таб 2(5)'!H18+'таб 2(6)'!H18+'таб 2(7)'!H18+'таб 2(8)'!H18</f>
        <v>849912499.66</v>
      </c>
      <c r="I17" s="24">
        <f>'таб 2(1)'!I18+'таб 2(2)'!I17+'таб 2(3)'!I18+'таб 2(4)'!I18+'таб 2(5)'!I18+'таб 2(6)'!I18+'таб 2(7)'!I18+'таб 2(8)'!I18</f>
        <v>886835684.73</v>
      </c>
      <c r="J17" s="170"/>
      <c r="K17" s="170"/>
      <c r="L17" s="97"/>
    </row>
    <row r="18" spans="1:12" ht="16.5" customHeight="1">
      <c r="A18" s="87" t="s">
        <v>105</v>
      </c>
      <c r="B18" s="24">
        <f>'таб 2(1)'!B19+'таб 2(2)'!B18+'таб 2(3)'!B19+'таб 2(4)'!B19+'таб 2(5)'!B19+'таб 2(6)'!B19+'таб 2(7)'!B19+'таб 2(8)'!B19</f>
        <v>0</v>
      </c>
      <c r="C18" s="24">
        <f>'таб 2(1)'!C19+'таб 2(2)'!C18+'таб 2(3)'!C19+'таб 2(4)'!C19+'таб 2(5)'!C19+'таб 2(6)'!C19+'таб 2(7)'!C19+'таб 2(8)'!C19</f>
        <v>0</v>
      </c>
      <c r="D18" s="24">
        <f>'таб 2(1)'!D19+'таб 2(2)'!D18+'таб 2(3)'!D19+'таб 2(4)'!D19+'таб 2(5)'!D19+'таб 2(6)'!D19+'таб 2(7)'!D19+'таб 2(8)'!D19</f>
        <v>0</v>
      </c>
      <c r="E18" s="24">
        <f>'таб 2(1)'!E19+'таб 2(2)'!E18+'таб 2(3)'!E19+'таб 2(4)'!E19+'таб 2(5)'!E19+'таб 2(6)'!E19+'таб 2(7)'!E19+'таб 2(8)'!E19</f>
        <v>0</v>
      </c>
      <c r="F18" s="24">
        <f>'таб 2(1)'!F19+'таб 2(2)'!F18+'таб 2(3)'!F19+'таб 2(4)'!F19+'таб 2(5)'!F19+'таб 2(6)'!F19+'таб 2(7)'!F19+'таб 2(8)'!F19</f>
        <v>0</v>
      </c>
      <c r="G18" s="24">
        <f>'таб 2(1)'!G19+'таб 2(2)'!G18+'таб 2(3)'!G19+'таб 2(4)'!G19+'таб 2(5)'!G19+'таб 2(6)'!G19+'таб 2(7)'!G19+'таб 2(8)'!G19</f>
        <v>0</v>
      </c>
      <c r="H18" s="24">
        <f>'таб 2(1)'!H19+'таб 2(2)'!H18+'таб 2(3)'!H19+'таб 2(4)'!H19+'таб 2(5)'!H19+'таб 2(6)'!H19+'таб 2(7)'!H19+'таб 2(8)'!H19</f>
        <v>0</v>
      </c>
      <c r="I18" s="24">
        <f>'таб 2(1)'!I19+'таб 2(2)'!I18+'таб 2(3)'!I19+'таб 2(4)'!I19+'таб 2(5)'!I19+'таб 2(6)'!I19+'таб 2(7)'!I19+'таб 2(8)'!I19</f>
        <v>0</v>
      </c>
      <c r="K18" s="170"/>
      <c r="L18" s="97"/>
    </row>
    <row r="19" spans="1:12" ht="15">
      <c r="A19" s="87" t="s">
        <v>106</v>
      </c>
      <c r="B19" s="24">
        <f>'таб 2(1)'!B20+'таб 2(2)'!B19+'таб 2(3)'!B20+'таб 2(4)'!B20+'таб 2(5)'!B20+'таб 2(6)'!B20+'таб 2(7)'!B20+'таб 2(8)'!B20</f>
        <v>837128320.27</v>
      </c>
      <c r="C19" s="24">
        <f>'таб 2(1)'!C20+'таб 2(2)'!C19+'таб 2(3)'!C20+'таб 2(4)'!C20+'таб 2(5)'!C20+'таб 2(6)'!C20+'таб 2(7)'!C20+'таб 2(8)'!C20</f>
        <v>103719420</v>
      </c>
      <c r="D19" s="24">
        <f>'таб 2(1)'!D20+'таб 2(2)'!D19+'таб 2(3)'!D20+'таб 2(4)'!D20+'таб 2(5)'!D20+'таб 2(6)'!D20+'таб 2(7)'!D20+'таб 2(8)'!D20</f>
        <v>108545003.81000002</v>
      </c>
      <c r="E19" s="24">
        <f>'таб 2(1)'!E20+'таб 2(2)'!E19+'таб 2(3)'!E20+'таб 2(4)'!E20+'таб 2(5)'!E20+'таб 2(6)'!E20+'таб 2(7)'!E20+'таб 2(8)'!E20</f>
        <v>113519567.15</v>
      </c>
      <c r="F19" s="24">
        <f>'таб 2(1)'!F20+'таб 2(2)'!F19+'таб 2(3)'!F20+'таб 2(4)'!F20+'таб 2(5)'!F20+'таб 2(6)'!F20+'таб 2(7)'!F20+'таб 2(8)'!F20</f>
        <v>124460168.04</v>
      </c>
      <c r="G19" s="24">
        <f>'таб 2(1)'!G20+'таб 2(2)'!G19+'таб 2(3)'!G20+'таб 2(4)'!G20+'таб 2(5)'!G20+'таб 2(6)'!G20+'таб 2(7)'!G20+'таб 2(8)'!G20</f>
        <v>128961387.09</v>
      </c>
      <c r="H19" s="24">
        <f>'таб 2(1)'!H20+'таб 2(2)'!H19+'таб 2(3)'!H20+'таб 2(4)'!H20+'таб 2(5)'!H20+'таб 2(6)'!H20+'таб 2(7)'!H20+'таб 2(8)'!H20</f>
        <v>128961387.09</v>
      </c>
      <c r="I19" s="24">
        <f>'таб 2(1)'!I20+'таб 2(2)'!I19+'таб 2(3)'!I20+'таб 2(4)'!I20+'таб 2(5)'!I20+'таб 2(6)'!I20+'таб 2(7)'!I20+'таб 2(8)'!I20</f>
        <v>128961387.09</v>
      </c>
      <c r="J19" s="170"/>
      <c r="K19" s="170"/>
      <c r="L19" s="97"/>
    </row>
    <row r="20" spans="1:9" ht="39.75" customHeight="1">
      <c r="A20" s="4" t="s">
        <v>108</v>
      </c>
      <c r="B20" s="24">
        <f>'таб 2(1)'!B21+'таб 2(2)'!B20+'таб 2(3)'!B21+'таб 2(4)'!B21+'таб 2(5)'!B21+'таб 2(6)'!B21+'таб 2(7)'!B21+'таб 2(8)'!B21</f>
        <v>20333549.72</v>
      </c>
      <c r="C20" s="24">
        <f>'таб 2(1)'!C21+'таб 2(2)'!C20+'таб 2(3)'!C21+'таб 2(4)'!C21+'таб 2(5)'!C21+'таб 2(6)'!C21+'таб 2(7)'!C21+'таб 2(8)'!C21</f>
        <v>20333549.72</v>
      </c>
      <c r="D20" s="24">
        <f>'таб 2(1)'!D21+'таб 2(2)'!D20+'таб 2(3)'!D21+'таб 2(4)'!D21+'таб 2(5)'!D21+'таб 2(6)'!D21+'таб 2(7)'!D21+'таб 2(8)'!D21</f>
        <v>0</v>
      </c>
      <c r="E20" s="24">
        <f>'таб 2(1)'!E21+'таб 2(2)'!E20+'таб 2(3)'!E21+'таб 2(4)'!E21+'таб 2(5)'!E21+'таб 2(6)'!E21+'таб 2(7)'!E21+'таб 2(8)'!E21</f>
        <v>0</v>
      </c>
      <c r="F20" s="24">
        <f>'таб 2(1)'!F21+'таб 2(2)'!F20+'таб 2(3)'!F21+'таб 2(4)'!F21+'таб 2(5)'!F21+'таб 2(6)'!F21+'таб 2(7)'!F21+'таб 2(8)'!F21</f>
        <v>0</v>
      </c>
      <c r="G20" s="24">
        <f>'таб 2(1)'!G21+'таб 2(2)'!G20+'таб 2(3)'!G21+'таб 2(4)'!G21+'таб 2(5)'!G21+'таб 2(6)'!G21+'таб 2(7)'!G21+'таб 2(8)'!G21</f>
        <v>0</v>
      </c>
      <c r="H20" s="24">
        <f>'таб 2(1)'!H21+'таб 2(2)'!H20+'таб 2(3)'!H21+'таб 2(4)'!H21+'таб 2(5)'!H21+'таб 2(6)'!H21+'таб 2(7)'!H21+'таб 2(8)'!H21</f>
        <v>0</v>
      </c>
      <c r="I20" s="24">
        <f>'таб 2(1)'!I21+'таб 2(2)'!I20+'таб 2(3)'!I21+'таб 2(4)'!I21+'таб 2(5)'!I21+'таб 2(6)'!I21+'таб 2(7)'!I21+'таб 2(8)'!I21</f>
        <v>0</v>
      </c>
    </row>
    <row r="21" spans="1:9" ht="39">
      <c r="A21" s="95" t="s">
        <v>178</v>
      </c>
      <c r="B21" s="86">
        <f>SUM(B23:B26)</f>
        <v>648026702.4200001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67887939.75</v>
      </c>
      <c r="F21" s="86">
        <f t="shared" si="5"/>
        <v>1037413.73</v>
      </c>
      <c r="G21" s="86">
        <f t="shared" si="5"/>
        <v>1900000</v>
      </c>
      <c r="H21" s="86">
        <f t="shared" si="5"/>
        <v>0</v>
      </c>
      <c r="I21" s="86">
        <f t="shared" si="5"/>
        <v>0</v>
      </c>
    </row>
    <row r="22" spans="1:9" ht="16.5" customHeight="1">
      <c r="A22" s="180" t="s">
        <v>102</v>
      </c>
      <c r="B22" s="181"/>
      <c r="C22" s="181"/>
      <c r="D22" s="181"/>
      <c r="E22" s="181"/>
      <c r="F22" s="181"/>
      <c r="G22" s="181"/>
      <c r="H22" s="181"/>
      <c r="I22" s="182"/>
    </row>
    <row r="23" spans="1:9" ht="16.5" customHeight="1">
      <c r="A23" s="87" t="s">
        <v>103</v>
      </c>
      <c r="B23" s="24">
        <f>'таб 2(8)'!B24</f>
        <v>394681304.51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52887939.75</v>
      </c>
      <c r="F23" s="24">
        <f>'таб 2(8)'!F24</f>
        <v>262900</v>
      </c>
      <c r="G23" s="24">
        <f>'таб 2(8)'!G24</f>
        <v>1900000</v>
      </c>
      <c r="H23" s="24">
        <f>'таб 2(8)'!H24</f>
        <v>0</v>
      </c>
      <c r="I23" s="24">
        <f>'таб 2(8)'!I24</f>
        <v>0</v>
      </c>
    </row>
    <row r="24" spans="1:9" ht="16.5" customHeight="1">
      <c r="A24" s="87" t="s">
        <v>104</v>
      </c>
      <c r="B24" s="24">
        <f>'таб 2(8)'!B25</f>
        <v>30774513.73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774513.73</v>
      </c>
      <c r="G24" s="24">
        <f>'таб 2(8)'!G25</f>
        <v>0</v>
      </c>
      <c r="H24" s="24">
        <f>'таб 2(8)'!H25</f>
        <v>0</v>
      </c>
      <c r="I24" s="24">
        <f>'таб 2(8)'!I25</f>
        <v>0</v>
      </c>
    </row>
    <row r="25" spans="1:9" ht="16.5" customHeight="1">
      <c r="A25" s="87" t="s">
        <v>105</v>
      </c>
      <c r="B25" s="24">
        <f>'таб 2(8)'!B26</f>
        <v>222570884.18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0</v>
      </c>
      <c r="H25" s="24">
        <f>'таб 2(8)'!H26</f>
        <v>0</v>
      </c>
      <c r="I25" s="24">
        <f>'таб 2(8)'!I26</f>
        <v>0</v>
      </c>
    </row>
    <row r="26" spans="1:9" ht="15">
      <c r="A26" s="87" t="s">
        <v>106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108</v>
      </c>
      <c r="B27" s="24">
        <f>'таб 2(8)'!B28</f>
        <v>648026702.4200001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67887939.75</v>
      </c>
      <c r="F27" s="24">
        <f>'таб 2(8)'!F28</f>
        <v>1037413.73</v>
      </c>
      <c r="G27" s="24">
        <f>'таб 2(8)'!G28</f>
        <v>1900000</v>
      </c>
      <c r="H27" s="24">
        <f>'таб 2(8)'!H28</f>
        <v>0</v>
      </c>
      <c r="I27" s="24">
        <f>'таб 2(8)'!I28</f>
        <v>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3:9" ht="15">
      <c r="C29" s="97"/>
      <c r="D29" s="97"/>
      <c r="E29" s="97"/>
      <c r="F29" s="97"/>
      <c r="G29" s="97"/>
      <c r="H29" s="97"/>
      <c r="I29" s="97"/>
    </row>
    <row r="30" spans="3:9" ht="15">
      <c r="C30" s="97"/>
      <c r="D30" s="97"/>
      <c r="E30" s="97"/>
      <c r="F30" s="97"/>
      <c r="G30" s="97"/>
      <c r="H30" s="97"/>
      <c r="I30" s="97"/>
    </row>
    <row r="31" spans="3:9" ht="15">
      <c r="C31" s="97"/>
      <c r="D31" s="97"/>
      <c r="E31" s="97"/>
      <c r="F31" s="97"/>
      <c r="G31" s="97"/>
      <c r="H31" s="97"/>
      <c r="I31" s="97"/>
    </row>
    <row r="32" spans="3:12" ht="15">
      <c r="C32" s="192"/>
      <c r="D32" s="192"/>
      <c r="E32" s="177"/>
      <c r="F32" s="177"/>
      <c r="G32" s="164"/>
      <c r="H32" s="98"/>
      <c r="I32" s="177"/>
      <c r="J32" s="177"/>
      <c r="K32" s="177"/>
      <c r="L32" s="177"/>
    </row>
    <row r="33" spans="4:12" ht="15">
      <c r="D33" s="165"/>
      <c r="E33" s="165"/>
      <c r="F33" s="165"/>
      <c r="G33" s="165"/>
      <c r="H33" s="165"/>
      <c r="I33" s="165"/>
      <c r="J33" s="165"/>
      <c r="K33" s="165"/>
      <c r="L33" s="165"/>
    </row>
    <row r="34" spans="2:12" ht="15">
      <c r="B34" s="162"/>
      <c r="C34" s="166"/>
      <c r="D34" s="98"/>
      <c r="E34" s="98"/>
      <c r="F34" s="98"/>
      <c r="G34" s="98"/>
      <c r="H34" s="98"/>
      <c r="I34" s="98"/>
      <c r="J34" s="166"/>
      <c r="K34" s="99"/>
      <c r="L34" s="99"/>
    </row>
    <row r="35" spans="2:12" ht="15">
      <c r="B35" s="162"/>
      <c r="C35" s="166"/>
      <c r="D35" s="98"/>
      <c r="E35" s="98"/>
      <c r="F35" s="98"/>
      <c r="G35" s="98"/>
      <c r="H35" s="98"/>
      <c r="I35" s="98"/>
      <c r="J35" s="166"/>
      <c r="K35" s="99"/>
      <c r="L35" s="99"/>
    </row>
    <row r="36" spans="2:12" ht="15">
      <c r="B36" s="163"/>
      <c r="C36" s="166"/>
      <c r="D36" s="98"/>
      <c r="E36" s="98"/>
      <c r="F36" s="98"/>
      <c r="G36" s="98"/>
      <c r="H36" s="98"/>
      <c r="I36" s="98"/>
      <c r="J36" s="98"/>
      <c r="K36" s="99"/>
      <c r="L36" s="99"/>
    </row>
    <row r="37" spans="2:12" ht="15">
      <c r="B37" s="162"/>
      <c r="C37" s="166"/>
      <c r="D37" s="98"/>
      <c r="E37" s="98"/>
      <c r="F37" s="98"/>
      <c r="G37" s="98"/>
      <c r="H37" s="98"/>
      <c r="I37" s="98"/>
      <c r="J37" s="166"/>
      <c r="K37" s="99"/>
      <c r="L37" s="99"/>
    </row>
    <row r="38" spans="2:12" ht="15">
      <c r="B38" s="162"/>
      <c r="C38" s="166"/>
      <c r="D38" s="98"/>
      <c r="E38" s="98"/>
      <c r="F38" s="98"/>
      <c r="G38" s="98"/>
      <c r="H38" s="98"/>
      <c r="I38" s="98"/>
      <c r="J38" s="166"/>
      <c r="K38" s="99"/>
      <c r="L38" s="99"/>
    </row>
    <row r="39" spans="2:12" ht="15">
      <c r="B39" s="162"/>
      <c r="C39" s="166"/>
      <c r="D39" s="98"/>
      <c r="E39" s="98"/>
      <c r="F39" s="98"/>
      <c r="G39" s="98"/>
      <c r="H39" s="98"/>
      <c r="I39" s="98"/>
      <c r="J39" s="166"/>
      <c r="K39" s="99"/>
      <c r="L39" s="99"/>
    </row>
    <row r="40" spans="2:12" ht="15">
      <c r="B40" s="162"/>
      <c r="C40" s="166"/>
      <c r="D40" s="98"/>
      <c r="E40" s="98"/>
      <c r="F40" s="98"/>
      <c r="G40" s="98"/>
      <c r="H40" s="98"/>
      <c r="I40" s="98"/>
      <c r="J40" s="166"/>
      <c r="K40" s="99"/>
      <c r="L40" s="99"/>
    </row>
    <row r="41" spans="2:12" ht="15">
      <c r="B41" s="162"/>
      <c r="C41" s="166"/>
      <c r="D41" s="98"/>
      <c r="E41" s="98"/>
      <c r="F41" s="98"/>
      <c r="G41" s="98"/>
      <c r="H41" s="98"/>
      <c r="I41" s="98"/>
      <c r="J41" s="166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4:10" ht="15">
      <c r="D43" s="98"/>
      <c r="E43" s="98"/>
      <c r="F43" s="98"/>
      <c r="G43" s="98"/>
      <c r="H43" s="98"/>
      <c r="I43" s="98"/>
      <c r="J43" s="166"/>
    </row>
    <row r="44" spans="2:10" ht="15">
      <c r="B44" s="97"/>
      <c r="D44" s="98"/>
      <c r="E44" s="98"/>
      <c r="F44" s="98"/>
      <c r="G44" s="98"/>
      <c r="H44" s="98"/>
      <c r="I44" s="98"/>
      <c r="J44" s="166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  <row r="49" spans="5:7" ht="15">
      <c r="E49" s="99"/>
      <c r="G49" s="166"/>
    </row>
    <row r="50" spans="5:7" ht="15">
      <c r="E50" s="99"/>
      <c r="G50" s="166"/>
    </row>
    <row r="51" spans="5:7" ht="15">
      <c r="E51" s="99"/>
      <c r="G51" s="99"/>
    </row>
  </sheetData>
  <sheetProtection/>
  <mergeCells count="13">
    <mergeCell ref="C32:D32"/>
    <mergeCell ref="E32:F32"/>
    <mergeCell ref="I32:J32"/>
    <mergeCell ref="K32:L32"/>
    <mergeCell ref="G1:I1"/>
    <mergeCell ref="A15:I15"/>
    <mergeCell ref="A22:I22"/>
    <mergeCell ref="A3:I3"/>
    <mergeCell ref="A4:A5"/>
    <mergeCell ref="B4:B5"/>
    <mergeCell ref="C4:I4"/>
    <mergeCell ref="A8:I8"/>
    <mergeCell ref="A13:I13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B1">
      <selection activeCell="F1" sqref="F1:I1"/>
    </sheetView>
  </sheetViews>
  <sheetFormatPr defaultColWidth="9.140625" defaultRowHeight="15"/>
  <cols>
    <col min="1" max="1" width="35.421875" style="130" customWidth="1"/>
    <col min="2" max="2" width="18.28125" style="130" customWidth="1"/>
    <col min="3" max="9" width="13.8515625" style="130" customWidth="1"/>
    <col min="10" max="16384" width="9.140625" style="130" customWidth="1"/>
  </cols>
  <sheetData>
    <row r="1" spans="6:9" ht="67.5" customHeight="1">
      <c r="F1" s="294" t="s">
        <v>283</v>
      </c>
      <c r="G1" s="294"/>
      <c r="H1" s="294"/>
      <c r="I1" s="294"/>
    </row>
    <row r="2" spans="5:10" ht="18.75" customHeight="1">
      <c r="E2" s="131"/>
      <c r="G2" s="106"/>
      <c r="H2" s="132" t="s">
        <v>223</v>
      </c>
      <c r="J2" s="106"/>
    </row>
    <row r="4" spans="1:9" ht="36.75" customHeight="1">
      <c r="A4" s="199" t="s">
        <v>224</v>
      </c>
      <c r="B4" s="199"/>
      <c r="C4" s="199"/>
      <c r="D4" s="199"/>
      <c r="E4" s="199"/>
      <c r="F4" s="199"/>
      <c r="G4" s="199"/>
      <c r="H4" s="199"/>
      <c r="I4" s="199"/>
    </row>
    <row r="5" spans="1:9" ht="30" customHeight="1">
      <c r="A5" s="200" t="s">
        <v>99</v>
      </c>
      <c r="B5" s="202" t="s">
        <v>100</v>
      </c>
      <c r="C5" s="204" t="s">
        <v>101</v>
      </c>
      <c r="D5" s="204"/>
      <c r="E5" s="204"/>
      <c r="F5" s="204"/>
      <c r="G5" s="204"/>
      <c r="H5" s="204"/>
      <c r="I5" s="204"/>
    </row>
    <row r="6" spans="1:9" ht="16.5" customHeight="1">
      <c r="A6" s="201"/>
      <c r="B6" s="203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36" t="s">
        <v>225</v>
      </c>
      <c r="B8" s="137">
        <f>B10+B11+B12+B13</f>
        <v>201491917.44</v>
      </c>
      <c r="C8" s="137">
        <f aca="true" t="shared" si="0" ref="C8:I8">C10+C11+C12+C13</f>
        <v>29400869</v>
      </c>
      <c r="D8" s="137">
        <f t="shared" si="0"/>
        <v>28396543.509999998</v>
      </c>
      <c r="E8" s="137">
        <f t="shared" si="0"/>
        <v>27563144.619999997</v>
      </c>
      <c r="F8" s="137">
        <f t="shared" si="0"/>
        <v>29185946.28</v>
      </c>
      <c r="G8" s="137">
        <f t="shared" si="0"/>
        <v>30339383.759999998</v>
      </c>
      <c r="H8" s="137">
        <f t="shared" si="0"/>
        <v>27879894.83</v>
      </c>
      <c r="I8" s="137">
        <f t="shared" si="0"/>
        <v>28726135.44</v>
      </c>
    </row>
    <row r="9" spans="1:9" ht="16.5" customHeight="1">
      <c r="A9" s="193" t="s">
        <v>102</v>
      </c>
      <c r="B9" s="194"/>
      <c r="C9" s="194"/>
      <c r="D9" s="194"/>
      <c r="E9" s="194"/>
      <c r="F9" s="194"/>
      <c r="G9" s="194"/>
      <c r="H9" s="194"/>
      <c r="I9" s="195"/>
    </row>
    <row r="10" spans="1:9" ht="16.5" customHeight="1">
      <c r="A10" s="138" t="s">
        <v>103</v>
      </c>
      <c r="B10" s="137">
        <f>C10+D10+E10+F10+G10+H10+I10</f>
        <v>193997624.69</v>
      </c>
      <c r="C10" s="139">
        <f>C17</f>
        <v>28400869</v>
      </c>
      <c r="D10" s="139">
        <f aca="true" t="shared" si="1" ref="D10:I10">D17</f>
        <v>26885454.86</v>
      </c>
      <c r="E10" s="139">
        <f t="shared" si="1"/>
        <v>26909030.619999997</v>
      </c>
      <c r="F10" s="139">
        <f t="shared" si="1"/>
        <v>28135196.18</v>
      </c>
      <c r="G10" s="139">
        <f t="shared" si="1"/>
        <v>29246603.759999998</v>
      </c>
      <c r="H10" s="139">
        <f t="shared" si="1"/>
        <v>26787114.83</v>
      </c>
      <c r="I10" s="139">
        <f t="shared" si="1"/>
        <v>27633355.44</v>
      </c>
    </row>
    <row r="11" spans="1:9" ht="16.5" customHeight="1">
      <c r="A11" s="138" t="s">
        <v>20</v>
      </c>
      <c r="B11" s="137">
        <f>C11+D11+E11+F11+G11+H11+I11</f>
        <v>0</v>
      </c>
      <c r="C11" s="139">
        <f aca="true" t="shared" si="2" ref="C11:I13">C18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</row>
    <row r="12" spans="1:9" ht="16.5" customHeight="1">
      <c r="A12" s="138" t="s">
        <v>21</v>
      </c>
      <c r="B12" s="137">
        <f>C12+D12+E12+F12+G12+H12+I12</f>
        <v>0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16.5" customHeight="1">
      <c r="A13" s="138" t="s">
        <v>106</v>
      </c>
      <c r="B13" s="137">
        <f>C13+D13+E13+F13+G13+H13+I13</f>
        <v>7494292.75</v>
      </c>
      <c r="C13" s="139">
        <f t="shared" si="2"/>
        <v>1000000</v>
      </c>
      <c r="D13" s="139">
        <f t="shared" si="2"/>
        <v>1511088.65</v>
      </c>
      <c r="E13" s="139">
        <f t="shared" si="2"/>
        <v>654114</v>
      </c>
      <c r="F13" s="139">
        <f t="shared" si="2"/>
        <v>1050750.1</v>
      </c>
      <c r="G13" s="139">
        <f t="shared" si="2"/>
        <v>1092780</v>
      </c>
      <c r="H13" s="139">
        <f t="shared" si="2"/>
        <v>1092780</v>
      </c>
      <c r="I13" s="139">
        <f t="shared" si="2"/>
        <v>1092780</v>
      </c>
    </row>
    <row r="14" spans="1:9" ht="16.5" customHeight="1">
      <c r="A14" s="196" t="s">
        <v>107</v>
      </c>
      <c r="B14" s="197"/>
      <c r="C14" s="197"/>
      <c r="D14" s="197"/>
      <c r="E14" s="197"/>
      <c r="F14" s="197"/>
      <c r="G14" s="197"/>
      <c r="H14" s="197"/>
      <c r="I14" s="198"/>
    </row>
    <row r="15" spans="1:9" ht="51" customHeight="1">
      <c r="A15" s="140" t="s">
        <v>114</v>
      </c>
      <c r="B15" s="137">
        <f>B17+B18+B19+B20</f>
        <v>201491917.44</v>
      </c>
      <c r="C15" s="137">
        <f>C17+C18+C19+C20</f>
        <v>29400869</v>
      </c>
      <c r="D15" s="137">
        <f aca="true" t="shared" si="3" ref="D15:I15">D17+D18+D19+D20</f>
        <v>28396543.509999998</v>
      </c>
      <c r="E15" s="137">
        <f t="shared" si="3"/>
        <v>27563144.619999997</v>
      </c>
      <c r="F15" s="137">
        <f t="shared" si="3"/>
        <v>29185946.28</v>
      </c>
      <c r="G15" s="137">
        <f t="shared" si="3"/>
        <v>30339383.759999998</v>
      </c>
      <c r="H15" s="137">
        <f t="shared" si="3"/>
        <v>27879894.83</v>
      </c>
      <c r="I15" s="137">
        <f t="shared" si="3"/>
        <v>28726135.44</v>
      </c>
    </row>
    <row r="16" spans="1:9" ht="16.5" customHeight="1">
      <c r="A16" s="193" t="s">
        <v>102</v>
      </c>
      <c r="B16" s="194"/>
      <c r="C16" s="194"/>
      <c r="D16" s="194"/>
      <c r="E16" s="194"/>
      <c r="F16" s="194"/>
      <c r="G16" s="194"/>
      <c r="H16" s="194"/>
      <c r="I16" s="195"/>
    </row>
    <row r="17" spans="1:9" ht="16.5" customHeight="1">
      <c r="A17" s="138" t="s">
        <v>103</v>
      </c>
      <c r="B17" s="137">
        <f>C17+D17+E17+F17+G17+H17+I17</f>
        <v>193997624.69</v>
      </c>
      <c r="C17" s="139">
        <f>'таб 3(5)'!F41</f>
        <v>28400869</v>
      </c>
      <c r="D17" s="139">
        <f>'таб 3(5)'!G41</f>
        <v>26885454.86</v>
      </c>
      <c r="E17" s="139">
        <f>'таб 3(5)'!H41</f>
        <v>26909030.619999997</v>
      </c>
      <c r="F17" s="139">
        <f>'таб 3(5)'!I41</f>
        <v>28135196.18</v>
      </c>
      <c r="G17" s="139">
        <f>'таб 3(5)'!J41</f>
        <v>29246603.759999998</v>
      </c>
      <c r="H17" s="139">
        <f>'таб 3(5)'!K41</f>
        <v>26787114.83</v>
      </c>
      <c r="I17" s="139">
        <f>'таб 3(5)'!L41</f>
        <v>27633355.44</v>
      </c>
    </row>
    <row r="18" spans="1:9" ht="16.5" customHeight="1">
      <c r="A18" s="138" t="s">
        <v>20</v>
      </c>
      <c r="B18" s="137">
        <f>C18+D18+E18+F18+G18+H18+I18</f>
        <v>0</v>
      </c>
      <c r="C18" s="139">
        <f>'таб 3(5)'!F42</f>
        <v>0</v>
      </c>
      <c r="D18" s="139">
        <f>'таб 3(5)'!G42</f>
        <v>0</v>
      </c>
      <c r="E18" s="139">
        <f>'таб 3(5)'!H42</f>
        <v>0</v>
      </c>
      <c r="F18" s="139">
        <f>'таб 3(5)'!I42</f>
        <v>0</v>
      </c>
      <c r="G18" s="139">
        <f>'таб 3(5)'!J42</f>
        <v>0</v>
      </c>
      <c r="H18" s="139">
        <f>'таб 3(5)'!K42</f>
        <v>0</v>
      </c>
      <c r="I18" s="139">
        <f>'таб 3(5)'!L42</f>
        <v>0</v>
      </c>
    </row>
    <row r="19" spans="1:9" ht="16.5" customHeight="1">
      <c r="A19" s="138" t="s">
        <v>21</v>
      </c>
      <c r="B19" s="137">
        <f>C19+D19+E19+F19+G19+H19+I19</f>
        <v>0</v>
      </c>
      <c r="C19" s="139">
        <f>'таб 3(5)'!F43</f>
        <v>0</v>
      </c>
      <c r="D19" s="139">
        <f>'таб 3(5)'!G43</f>
        <v>0</v>
      </c>
      <c r="E19" s="139">
        <f>'таб 3(5)'!H43</f>
        <v>0</v>
      </c>
      <c r="F19" s="139">
        <f>'таб 3(5)'!I43</f>
        <v>0</v>
      </c>
      <c r="G19" s="139">
        <f>'таб 3(5)'!J43</f>
        <v>0</v>
      </c>
      <c r="H19" s="139">
        <f>'таб 3(5)'!K43</f>
        <v>0</v>
      </c>
      <c r="I19" s="139">
        <f>'таб 3(5)'!L43</f>
        <v>0</v>
      </c>
    </row>
    <row r="20" spans="1:9" ht="16.5" customHeight="1">
      <c r="A20" s="138" t="s">
        <v>106</v>
      </c>
      <c r="B20" s="137">
        <f>C20+D20+E20+F20+G20+H20+I20</f>
        <v>7494292.75</v>
      </c>
      <c r="C20" s="139">
        <f>'таб 3(5)'!F44</f>
        <v>1000000</v>
      </c>
      <c r="D20" s="139">
        <f>'таб 3(5)'!G44</f>
        <v>1511088.65</v>
      </c>
      <c r="E20" s="139">
        <f>'таб 3(5)'!H44</f>
        <v>654114</v>
      </c>
      <c r="F20" s="139">
        <f>'таб 3(5)'!I44</f>
        <v>1050750.1</v>
      </c>
      <c r="G20" s="139">
        <f>'таб 3(5)'!J44</f>
        <v>1092780</v>
      </c>
      <c r="H20" s="139">
        <f>'таб 3(5)'!K44</f>
        <v>1092780</v>
      </c>
      <c r="I20" s="139">
        <f>'таб 3(5)'!L44</f>
        <v>1092780</v>
      </c>
    </row>
    <row r="21" spans="1:9" ht="31.5">
      <c r="A21" s="17" t="s">
        <v>108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80" zoomScaleSheetLayoutView="80" zoomScalePageLayoutView="0" workbookViewId="0" topLeftCell="A1">
      <pane xSplit="3" ySplit="8" topLeftCell="J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5.57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7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15:21" ht="65.25" customHeight="1">
      <c r="O1" s="294" t="s">
        <v>284</v>
      </c>
      <c r="P1" s="294"/>
      <c r="Q1" s="294"/>
      <c r="R1" s="294"/>
      <c r="S1" s="294"/>
      <c r="T1" s="294"/>
      <c r="U1" s="294"/>
    </row>
    <row r="2" spans="20:21" ht="27" customHeight="1">
      <c r="T2" s="100"/>
      <c r="U2" s="123" t="s">
        <v>226</v>
      </c>
    </row>
    <row r="3" spans="1:21" ht="15.75">
      <c r="A3" s="246" t="s">
        <v>227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1:21" ht="31.5" customHeight="1">
      <c r="A4" s="188" t="s">
        <v>97</v>
      </c>
      <c r="B4" s="188" t="s">
        <v>109</v>
      </c>
      <c r="C4" s="188" t="s">
        <v>110</v>
      </c>
      <c r="D4" s="188" t="s">
        <v>99</v>
      </c>
      <c r="E4" s="188" t="s">
        <v>111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5" t="s">
        <v>112</v>
      </c>
    </row>
    <row r="5" spans="1:21" ht="21" customHeight="1">
      <c r="A5" s="188"/>
      <c r="B5" s="188"/>
      <c r="C5" s="188"/>
      <c r="D5" s="188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36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23.25" customHeight="1">
      <c r="A7" s="21"/>
      <c r="B7" s="216" t="s">
        <v>228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22.5" customHeight="1">
      <c r="A8" s="21">
        <v>1</v>
      </c>
      <c r="B8" s="216" t="s">
        <v>229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2.75">
      <c r="A9" s="226" t="s">
        <v>121</v>
      </c>
      <c r="B9" s="290" t="s">
        <v>230</v>
      </c>
      <c r="C9" s="232" t="s">
        <v>78</v>
      </c>
      <c r="D9" s="22" t="s">
        <v>93</v>
      </c>
      <c r="E9" s="23">
        <f>E11+E12+E13+E14</f>
        <v>191348868.36</v>
      </c>
      <c r="F9" s="23">
        <f aca="true" t="shared" si="0" ref="F9:L9">F11+F12+F13+F14</f>
        <v>28284131</v>
      </c>
      <c r="G9" s="23">
        <f t="shared" si="0"/>
        <v>26512752.77</v>
      </c>
      <c r="H9" s="23">
        <f t="shared" si="0"/>
        <v>26580375.56</v>
      </c>
      <c r="I9" s="23">
        <f t="shared" si="0"/>
        <v>27779900</v>
      </c>
      <c r="J9" s="23">
        <f t="shared" si="0"/>
        <v>28656457.759999998</v>
      </c>
      <c r="K9" s="23">
        <f t="shared" si="0"/>
        <v>26492041.83</v>
      </c>
      <c r="L9" s="23">
        <f t="shared" si="0"/>
        <v>27043209.44</v>
      </c>
      <c r="M9" s="261" t="s">
        <v>266</v>
      </c>
      <c r="N9" s="297">
        <v>35</v>
      </c>
      <c r="O9" s="297">
        <v>35</v>
      </c>
      <c r="P9" s="297">
        <v>35</v>
      </c>
      <c r="Q9" s="297">
        <v>100</v>
      </c>
      <c r="R9" s="297">
        <v>100</v>
      </c>
      <c r="S9" s="297">
        <v>100</v>
      </c>
      <c r="T9" s="297">
        <v>100</v>
      </c>
      <c r="U9" s="261" t="s">
        <v>231</v>
      </c>
    </row>
    <row r="10" spans="1:21" ht="12.75">
      <c r="A10" s="226"/>
      <c r="B10" s="291"/>
      <c r="C10" s="233"/>
      <c r="D10" s="219" t="s">
        <v>113</v>
      </c>
      <c r="E10" s="220"/>
      <c r="F10" s="220"/>
      <c r="G10" s="220"/>
      <c r="H10" s="220"/>
      <c r="I10" s="220"/>
      <c r="J10" s="220"/>
      <c r="K10" s="220"/>
      <c r="L10" s="221"/>
      <c r="M10" s="262"/>
      <c r="N10" s="298"/>
      <c r="O10" s="298"/>
      <c r="P10" s="298"/>
      <c r="Q10" s="298"/>
      <c r="R10" s="298"/>
      <c r="S10" s="298"/>
      <c r="T10" s="298"/>
      <c r="U10" s="262"/>
    </row>
    <row r="11" spans="1:21" ht="12.75">
      <c r="A11" s="226"/>
      <c r="B11" s="291"/>
      <c r="C11" s="233"/>
      <c r="D11" s="22" t="s">
        <v>91</v>
      </c>
      <c r="E11" s="23">
        <f>F11+G11+H11+I11+J11+K11+L11</f>
        <v>191348868.36</v>
      </c>
      <c r="F11" s="23">
        <v>28284131</v>
      </c>
      <c r="G11" s="23">
        <v>26512752.77</v>
      </c>
      <c r="H11" s="23">
        <v>26580375.56</v>
      </c>
      <c r="I11" s="23">
        <v>27779900</v>
      </c>
      <c r="J11" s="23">
        <f>3177562.7+19049827.38+5753047.87+676019.81</f>
        <v>28656457.759999998</v>
      </c>
      <c r="K11" s="23">
        <f>2340889.79+18009286.81+5438804.62+703060.61</f>
        <v>26492041.83</v>
      </c>
      <c r="L11" s="23">
        <f>2677093.1+18189395.41+5493197.41+683523.52</f>
        <v>27043209.44</v>
      </c>
      <c r="M11" s="262"/>
      <c r="N11" s="298"/>
      <c r="O11" s="298"/>
      <c r="P11" s="298"/>
      <c r="Q11" s="298"/>
      <c r="R11" s="298"/>
      <c r="S11" s="298"/>
      <c r="T11" s="298"/>
      <c r="U11" s="262"/>
    </row>
    <row r="12" spans="1:21" ht="12.75">
      <c r="A12" s="226"/>
      <c r="B12" s="291"/>
      <c r="C12" s="233"/>
      <c r="D12" s="22" t="s">
        <v>89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62"/>
      <c r="N12" s="298"/>
      <c r="O12" s="298"/>
      <c r="P12" s="298"/>
      <c r="Q12" s="298"/>
      <c r="R12" s="298"/>
      <c r="S12" s="298"/>
      <c r="T12" s="298"/>
      <c r="U12" s="262"/>
    </row>
    <row r="13" spans="1:21" ht="12.75">
      <c r="A13" s="226"/>
      <c r="B13" s="291"/>
      <c r="C13" s="233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62"/>
      <c r="N13" s="298"/>
      <c r="O13" s="298"/>
      <c r="P13" s="298"/>
      <c r="Q13" s="298"/>
      <c r="R13" s="298"/>
      <c r="S13" s="298"/>
      <c r="T13" s="298"/>
      <c r="U13" s="262"/>
    </row>
    <row r="14" spans="1:21" ht="70.5" customHeight="1">
      <c r="A14" s="226"/>
      <c r="B14" s="292"/>
      <c r="C14" s="234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3"/>
      <c r="N14" s="299"/>
      <c r="O14" s="299"/>
      <c r="P14" s="299"/>
      <c r="Q14" s="299"/>
      <c r="R14" s="299"/>
      <c r="S14" s="299"/>
      <c r="T14" s="299"/>
      <c r="U14" s="263"/>
    </row>
    <row r="15" spans="1:21" ht="12.75">
      <c r="A15" s="226" t="s">
        <v>122</v>
      </c>
      <c r="B15" s="290" t="s">
        <v>232</v>
      </c>
      <c r="C15" s="232" t="s">
        <v>78</v>
      </c>
      <c r="D15" s="22" t="s">
        <v>93</v>
      </c>
      <c r="E15" s="23">
        <f>E17+E18+E19+E20</f>
        <v>188348.08</v>
      </c>
      <c r="F15" s="23">
        <f aca="true" t="shared" si="1" ref="F15:L15">F17+F18+F19+F20</f>
        <v>116738</v>
      </c>
      <c r="G15" s="23">
        <f t="shared" si="1"/>
        <v>71610.07999999999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61" t="s">
        <v>3</v>
      </c>
      <c r="N15" s="205">
        <v>1</v>
      </c>
      <c r="O15" s="205">
        <v>1</v>
      </c>
      <c r="P15" s="205">
        <v>1</v>
      </c>
      <c r="Q15" s="205">
        <v>1</v>
      </c>
      <c r="R15" s="205">
        <v>1</v>
      </c>
      <c r="S15" s="205">
        <v>1</v>
      </c>
      <c r="T15" s="205">
        <v>1</v>
      </c>
      <c r="U15" s="261" t="s">
        <v>231</v>
      </c>
    </row>
    <row r="16" spans="1:21" ht="12.75">
      <c r="A16" s="226"/>
      <c r="B16" s="291"/>
      <c r="C16" s="233"/>
      <c r="D16" s="219" t="s">
        <v>113</v>
      </c>
      <c r="E16" s="220"/>
      <c r="F16" s="220"/>
      <c r="G16" s="220"/>
      <c r="H16" s="220"/>
      <c r="I16" s="220"/>
      <c r="J16" s="220"/>
      <c r="K16" s="220"/>
      <c r="L16" s="221"/>
      <c r="M16" s="262"/>
      <c r="N16" s="206"/>
      <c r="O16" s="206"/>
      <c r="P16" s="206"/>
      <c r="Q16" s="206"/>
      <c r="R16" s="206"/>
      <c r="S16" s="206"/>
      <c r="T16" s="206"/>
      <c r="U16" s="262"/>
    </row>
    <row r="17" spans="1:21" ht="12.75">
      <c r="A17" s="226"/>
      <c r="B17" s="291"/>
      <c r="C17" s="233"/>
      <c r="D17" s="22" t="s">
        <v>91</v>
      </c>
      <c r="E17" s="23">
        <f>F17+G17+H17+I17+J17+K17+L17</f>
        <v>188348.08</v>
      </c>
      <c r="F17" s="23">
        <v>116738</v>
      </c>
      <c r="G17" s="23">
        <f>75631.4-4021.32</f>
        <v>71610.07999999999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62"/>
      <c r="N17" s="206"/>
      <c r="O17" s="206"/>
      <c r="P17" s="206"/>
      <c r="Q17" s="206"/>
      <c r="R17" s="206"/>
      <c r="S17" s="206"/>
      <c r="T17" s="206"/>
      <c r="U17" s="262"/>
    </row>
    <row r="18" spans="1:21" ht="12.75">
      <c r="A18" s="226"/>
      <c r="B18" s="291"/>
      <c r="C18" s="233"/>
      <c r="D18" s="22" t="s">
        <v>89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2"/>
      <c r="N18" s="206"/>
      <c r="O18" s="206"/>
      <c r="P18" s="206"/>
      <c r="Q18" s="206"/>
      <c r="R18" s="206"/>
      <c r="S18" s="206"/>
      <c r="T18" s="206"/>
      <c r="U18" s="262"/>
    </row>
    <row r="19" spans="1:21" ht="12.75">
      <c r="A19" s="226"/>
      <c r="B19" s="291"/>
      <c r="C19" s="233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2"/>
      <c r="N19" s="206"/>
      <c r="O19" s="206"/>
      <c r="P19" s="206"/>
      <c r="Q19" s="206"/>
      <c r="R19" s="206"/>
      <c r="S19" s="206"/>
      <c r="T19" s="206"/>
      <c r="U19" s="262"/>
    </row>
    <row r="20" spans="1:21" ht="12.75">
      <c r="A20" s="226"/>
      <c r="B20" s="292"/>
      <c r="C20" s="234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3"/>
      <c r="N20" s="207"/>
      <c r="O20" s="207"/>
      <c r="P20" s="207"/>
      <c r="Q20" s="207"/>
      <c r="R20" s="207"/>
      <c r="S20" s="207"/>
      <c r="T20" s="207"/>
      <c r="U20" s="263"/>
    </row>
    <row r="21" spans="1:21" ht="12.75">
      <c r="A21" s="226" t="s">
        <v>123</v>
      </c>
      <c r="B21" s="227" t="s">
        <v>180</v>
      </c>
      <c r="C21" s="232" t="s">
        <v>78</v>
      </c>
      <c r="D21" s="22" t="s">
        <v>93</v>
      </c>
      <c r="E21" s="23">
        <f>E23+E24+E25+E26</f>
        <v>2460408.25</v>
      </c>
      <c r="F21" s="23">
        <f aca="true" t="shared" si="2" ref="F21:L21">F23+F24+F25+F26</f>
        <v>0</v>
      </c>
      <c r="G21" s="23">
        <f t="shared" si="2"/>
        <v>301092.01</v>
      </c>
      <c r="H21" s="23">
        <f t="shared" si="2"/>
        <v>328655.06</v>
      </c>
      <c r="I21" s="23">
        <f t="shared" si="2"/>
        <v>355296.18</v>
      </c>
      <c r="J21" s="23">
        <f t="shared" si="2"/>
        <v>590146</v>
      </c>
      <c r="K21" s="23">
        <f t="shared" si="2"/>
        <v>295073</v>
      </c>
      <c r="L21" s="23">
        <f t="shared" si="2"/>
        <v>590146</v>
      </c>
      <c r="M21" s="261" t="s">
        <v>264</v>
      </c>
      <c r="N21" s="205">
        <v>1</v>
      </c>
      <c r="O21" s="205">
        <v>1</v>
      </c>
      <c r="P21" s="205">
        <v>1</v>
      </c>
      <c r="Q21" s="205">
        <v>100</v>
      </c>
      <c r="R21" s="205">
        <v>100</v>
      </c>
      <c r="S21" s="205">
        <v>100</v>
      </c>
      <c r="T21" s="205">
        <v>100</v>
      </c>
      <c r="U21" s="261" t="s">
        <v>231</v>
      </c>
    </row>
    <row r="22" spans="1:21" ht="12.75">
      <c r="A22" s="226"/>
      <c r="B22" s="227"/>
      <c r="C22" s="233"/>
      <c r="D22" s="219" t="s">
        <v>113</v>
      </c>
      <c r="E22" s="220"/>
      <c r="F22" s="220"/>
      <c r="G22" s="220"/>
      <c r="H22" s="220"/>
      <c r="I22" s="220"/>
      <c r="J22" s="220"/>
      <c r="K22" s="220"/>
      <c r="L22" s="221"/>
      <c r="M22" s="262"/>
      <c r="N22" s="206"/>
      <c r="O22" s="206"/>
      <c r="P22" s="206"/>
      <c r="Q22" s="206"/>
      <c r="R22" s="206"/>
      <c r="S22" s="206"/>
      <c r="T22" s="206"/>
      <c r="U22" s="262"/>
    </row>
    <row r="23" spans="1:21" ht="12.75">
      <c r="A23" s="226"/>
      <c r="B23" s="227"/>
      <c r="C23" s="233"/>
      <c r="D23" s="22" t="s">
        <v>91</v>
      </c>
      <c r="E23" s="23">
        <f>F23+G23+H23+I23+J23+K23+L23</f>
        <v>2460408.25</v>
      </c>
      <c r="F23" s="23"/>
      <c r="G23" s="23">
        <v>301092.01</v>
      </c>
      <c r="H23" s="23">
        <f>295072.76+33582.3</f>
        <v>328655.06</v>
      </c>
      <c r="I23" s="23">
        <f>295072.76+60223.42</f>
        <v>355296.18</v>
      </c>
      <c r="J23" s="23">
        <v>590146</v>
      </c>
      <c r="K23" s="23">
        <v>295073</v>
      </c>
      <c r="L23" s="23">
        <v>590146</v>
      </c>
      <c r="M23" s="262"/>
      <c r="N23" s="206"/>
      <c r="O23" s="206"/>
      <c r="P23" s="206"/>
      <c r="Q23" s="206"/>
      <c r="R23" s="206"/>
      <c r="S23" s="206"/>
      <c r="T23" s="206"/>
      <c r="U23" s="262"/>
    </row>
    <row r="24" spans="1:21" ht="12.75">
      <c r="A24" s="226"/>
      <c r="B24" s="227"/>
      <c r="C24" s="233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62"/>
      <c r="N24" s="206"/>
      <c r="O24" s="206"/>
      <c r="P24" s="206"/>
      <c r="Q24" s="206"/>
      <c r="R24" s="206"/>
      <c r="S24" s="206"/>
      <c r="T24" s="206"/>
      <c r="U24" s="262"/>
    </row>
    <row r="25" spans="1:21" ht="12.75">
      <c r="A25" s="226"/>
      <c r="B25" s="227"/>
      <c r="C25" s="233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62"/>
      <c r="N25" s="206"/>
      <c r="O25" s="206"/>
      <c r="P25" s="206"/>
      <c r="Q25" s="206"/>
      <c r="R25" s="206"/>
      <c r="S25" s="206"/>
      <c r="T25" s="206"/>
      <c r="U25" s="262"/>
    </row>
    <row r="26" spans="1:21" ht="12.75">
      <c r="A26" s="226"/>
      <c r="B26" s="227"/>
      <c r="C26" s="234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63"/>
      <c r="N26" s="207"/>
      <c r="O26" s="207"/>
      <c r="P26" s="207"/>
      <c r="Q26" s="207"/>
      <c r="R26" s="207"/>
      <c r="S26" s="207"/>
      <c r="T26" s="207"/>
      <c r="U26" s="263"/>
    </row>
    <row r="27" spans="1:21" ht="12.75">
      <c r="A27" s="226" t="s">
        <v>124</v>
      </c>
      <c r="B27" s="290" t="s">
        <v>119</v>
      </c>
      <c r="C27" s="232" t="s">
        <v>78</v>
      </c>
      <c r="D27" s="22" t="s">
        <v>93</v>
      </c>
      <c r="E27" s="23">
        <f>E29+E30+E31+E32</f>
        <v>7494292.75</v>
      </c>
      <c r="F27" s="23">
        <f aca="true" t="shared" si="3" ref="F27:L27">F29+F30+F31+F32</f>
        <v>1000000</v>
      </c>
      <c r="G27" s="23">
        <f t="shared" si="3"/>
        <v>1511088.65</v>
      </c>
      <c r="H27" s="23">
        <f t="shared" si="3"/>
        <v>654114</v>
      </c>
      <c r="I27" s="23">
        <f t="shared" si="3"/>
        <v>1050750.1</v>
      </c>
      <c r="J27" s="23">
        <f t="shared" si="3"/>
        <v>1092780</v>
      </c>
      <c r="K27" s="23">
        <f t="shared" si="3"/>
        <v>1092780</v>
      </c>
      <c r="L27" s="23">
        <f t="shared" si="3"/>
        <v>1092780</v>
      </c>
      <c r="M27" s="261" t="s">
        <v>233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61" t="s">
        <v>231</v>
      </c>
    </row>
    <row r="28" spans="1:21" ht="12.75">
      <c r="A28" s="226"/>
      <c r="B28" s="291"/>
      <c r="C28" s="233"/>
      <c r="D28" s="219" t="s">
        <v>113</v>
      </c>
      <c r="E28" s="220"/>
      <c r="F28" s="220"/>
      <c r="G28" s="220"/>
      <c r="H28" s="220"/>
      <c r="I28" s="220"/>
      <c r="J28" s="220"/>
      <c r="K28" s="220"/>
      <c r="L28" s="221"/>
      <c r="M28" s="262"/>
      <c r="N28" s="206"/>
      <c r="O28" s="206"/>
      <c r="P28" s="206"/>
      <c r="Q28" s="206"/>
      <c r="R28" s="206"/>
      <c r="S28" s="206"/>
      <c r="T28" s="206"/>
      <c r="U28" s="262"/>
    </row>
    <row r="29" spans="1:21" ht="12.75">
      <c r="A29" s="226"/>
      <c r="B29" s="291"/>
      <c r="C29" s="233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2"/>
      <c r="N29" s="206"/>
      <c r="O29" s="206"/>
      <c r="P29" s="206"/>
      <c r="Q29" s="206"/>
      <c r="R29" s="206"/>
      <c r="S29" s="206"/>
      <c r="T29" s="206"/>
      <c r="U29" s="262"/>
    </row>
    <row r="30" spans="1:21" ht="12.75">
      <c r="A30" s="226"/>
      <c r="B30" s="291"/>
      <c r="C30" s="233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62"/>
      <c r="N30" s="206"/>
      <c r="O30" s="206"/>
      <c r="P30" s="206"/>
      <c r="Q30" s="206"/>
      <c r="R30" s="206"/>
      <c r="S30" s="206"/>
      <c r="T30" s="206"/>
      <c r="U30" s="262"/>
    </row>
    <row r="31" spans="1:21" ht="12.75">
      <c r="A31" s="226"/>
      <c r="B31" s="291"/>
      <c r="C31" s="233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2"/>
      <c r="N31" s="206"/>
      <c r="O31" s="206"/>
      <c r="P31" s="206"/>
      <c r="Q31" s="206"/>
      <c r="R31" s="206"/>
      <c r="S31" s="206"/>
      <c r="T31" s="206"/>
      <c r="U31" s="262"/>
    </row>
    <row r="32" spans="1:21" ht="12.75">
      <c r="A32" s="226"/>
      <c r="B32" s="292"/>
      <c r="C32" s="234"/>
      <c r="D32" s="22" t="s">
        <v>92</v>
      </c>
      <c r="E32" s="23">
        <f>F32+G32+H32+I32+J32+K32+L32</f>
        <v>7494292.75</v>
      </c>
      <c r="F32" s="23">
        <f>1700000-700000</f>
        <v>1000000</v>
      </c>
      <c r="G32" s="23">
        <v>1511088.65</v>
      </c>
      <c r="H32" s="23">
        <v>654114</v>
      </c>
      <c r="I32" s="23">
        <v>1050750.1</v>
      </c>
      <c r="J32" s="23">
        <v>1092780</v>
      </c>
      <c r="K32" s="23">
        <v>1092780</v>
      </c>
      <c r="L32" s="23">
        <v>1092780</v>
      </c>
      <c r="M32" s="263"/>
      <c r="N32" s="207"/>
      <c r="O32" s="207"/>
      <c r="P32" s="207"/>
      <c r="Q32" s="207"/>
      <c r="R32" s="207"/>
      <c r="S32" s="207"/>
      <c r="T32" s="207"/>
      <c r="U32" s="263"/>
    </row>
    <row r="33" spans="1:21" ht="13.5">
      <c r="A33" s="237"/>
      <c r="B33" s="267" t="s">
        <v>152</v>
      </c>
      <c r="C33" s="237"/>
      <c r="D33" s="102" t="s">
        <v>93</v>
      </c>
      <c r="E33" s="103">
        <f aca="true" t="shared" si="4" ref="E33:L33">E35+E36+E37+E38</f>
        <v>201491917.44</v>
      </c>
      <c r="F33" s="103">
        <f t="shared" si="4"/>
        <v>29400869</v>
      </c>
      <c r="G33" s="103">
        <f t="shared" si="4"/>
        <v>28396543.509999998</v>
      </c>
      <c r="H33" s="103">
        <f t="shared" si="4"/>
        <v>27563144.619999997</v>
      </c>
      <c r="I33" s="103">
        <f t="shared" si="4"/>
        <v>29185946.28</v>
      </c>
      <c r="J33" s="103">
        <f t="shared" si="4"/>
        <v>30339383.759999998</v>
      </c>
      <c r="K33" s="103">
        <f t="shared" si="4"/>
        <v>27879894.83</v>
      </c>
      <c r="L33" s="103">
        <f t="shared" si="4"/>
        <v>28726135.44</v>
      </c>
      <c r="M33" s="239"/>
      <c r="N33" s="247"/>
      <c r="O33" s="247"/>
      <c r="P33" s="247"/>
      <c r="Q33" s="247"/>
      <c r="R33" s="247"/>
      <c r="S33" s="247"/>
      <c r="T33" s="247"/>
      <c r="U33" s="250"/>
    </row>
    <row r="34" spans="1:21" ht="12.75" customHeight="1">
      <c r="A34" s="237"/>
      <c r="B34" s="268"/>
      <c r="C34" s="237"/>
      <c r="D34" s="242" t="s">
        <v>113</v>
      </c>
      <c r="E34" s="243"/>
      <c r="F34" s="243"/>
      <c r="G34" s="243"/>
      <c r="H34" s="243"/>
      <c r="I34" s="243"/>
      <c r="J34" s="243"/>
      <c r="K34" s="243"/>
      <c r="L34" s="244"/>
      <c r="M34" s="240"/>
      <c r="N34" s="248"/>
      <c r="O34" s="248"/>
      <c r="P34" s="248"/>
      <c r="Q34" s="248"/>
      <c r="R34" s="248"/>
      <c r="S34" s="248"/>
      <c r="T34" s="248"/>
      <c r="U34" s="251"/>
    </row>
    <row r="35" spans="1:21" ht="13.5" customHeight="1">
      <c r="A35" s="237"/>
      <c r="B35" s="268"/>
      <c r="C35" s="237"/>
      <c r="D35" s="104" t="s">
        <v>91</v>
      </c>
      <c r="E35" s="103">
        <f>F35+G35+H35+I35+J35+K35+L35</f>
        <v>193997624.69</v>
      </c>
      <c r="F35" s="105">
        <f>F11+F17+F23+F29</f>
        <v>28400869</v>
      </c>
      <c r="G35" s="105">
        <f aca="true" t="shared" si="5" ref="G35:L35">G11+G17+G29+G23</f>
        <v>26885454.86</v>
      </c>
      <c r="H35" s="105">
        <f t="shared" si="5"/>
        <v>26909030.619999997</v>
      </c>
      <c r="I35" s="105">
        <f t="shared" si="5"/>
        <v>28135196.18</v>
      </c>
      <c r="J35" s="105">
        <f t="shared" si="5"/>
        <v>29246603.759999998</v>
      </c>
      <c r="K35" s="105">
        <f t="shared" si="5"/>
        <v>26787114.83</v>
      </c>
      <c r="L35" s="105">
        <f t="shared" si="5"/>
        <v>27633355.44</v>
      </c>
      <c r="M35" s="240"/>
      <c r="N35" s="248"/>
      <c r="O35" s="248"/>
      <c r="P35" s="248"/>
      <c r="Q35" s="248"/>
      <c r="R35" s="248"/>
      <c r="S35" s="248"/>
      <c r="T35" s="248"/>
      <c r="U35" s="251"/>
    </row>
    <row r="36" spans="1:21" ht="13.5" customHeight="1">
      <c r="A36" s="237"/>
      <c r="B36" s="268"/>
      <c r="C36" s="237"/>
      <c r="D36" s="104" t="s">
        <v>89</v>
      </c>
      <c r="E36" s="103">
        <f>F36+G36+H36+I36+J36+K36+L36</f>
        <v>0</v>
      </c>
      <c r="F36" s="105">
        <f aca="true" t="shared" si="6" ref="F36:L38">F12+F18+F30</f>
        <v>0</v>
      </c>
      <c r="G36" s="105">
        <f t="shared" si="6"/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40"/>
      <c r="N36" s="248"/>
      <c r="O36" s="248"/>
      <c r="P36" s="248"/>
      <c r="Q36" s="248"/>
      <c r="R36" s="248"/>
      <c r="S36" s="248"/>
      <c r="T36" s="248"/>
      <c r="U36" s="251"/>
    </row>
    <row r="37" spans="1:21" ht="13.5" customHeight="1">
      <c r="A37" s="237"/>
      <c r="B37" s="268"/>
      <c r="C37" s="237"/>
      <c r="D37" s="104" t="s">
        <v>90</v>
      </c>
      <c r="E37" s="103">
        <f>F37+G37+H37+I37+J37+K37+L37</f>
        <v>0</v>
      </c>
      <c r="F37" s="105">
        <f t="shared" si="6"/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40"/>
      <c r="N37" s="248"/>
      <c r="O37" s="248"/>
      <c r="P37" s="248"/>
      <c r="Q37" s="248"/>
      <c r="R37" s="248"/>
      <c r="S37" s="248"/>
      <c r="T37" s="248"/>
      <c r="U37" s="251"/>
    </row>
    <row r="38" spans="1:21" ht="13.5" customHeight="1">
      <c r="A38" s="237"/>
      <c r="B38" s="269"/>
      <c r="C38" s="237"/>
      <c r="D38" s="104" t="s">
        <v>92</v>
      </c>
      <c r="E38" s="103">
        <f>F38+G38+H38+I38+J38+K38+L38</f>
        <v>7494292.75</v>
      </c>
      <c r="F38" s="105">
        <f t="shared" si="6"/>
        <v>1000000</v>
      </c>
      <c r="G38" s="105">
        <f t="shared" si="6"/>
        <v>1511088.65</v>
      </c>
      <c r="H38" s="105">
        <f t="shared" si="6"/>
        <v>654114</v>
      </c>
      <c r="I38" s="105">
        <f t="shared" si="6"/>
        <v>1050750.1</v>
      </c>
      <c r="J38" s="105">
        <f t="shared" si="6"/>
        <v>1092780</v>
      </c>
      <c r="K38" s="105">
        <f t="shared" si="6"/>
        <v>1092780</v>
      </c>
      <c r="L38" s="105">
        <f t="shared" si="6"/>
        <v>1092780</v>
      </c>
      <c r="M38" s="241"/>
      <c r="N38" s="249"/>
      <c r="O38" s="249"/>
      <c r="P38" s="249"/>
      <c r="Q38" s="249"/>
      <c r="R38" s="249"/>
      <c r="S38" s="249"/>
      <c r="T38" s="249"/>
      <c r="U38" s="252"/>
    </row>
    <row r="39" spans="1:21" ht="13.5" customHeight="1">
      <c r="A39" s="237"/>
      <c r="B39" s="267" t="s">
        <v>234</v>
      </c>
      <c r="C39" s="237"/>
      <c r="D39" s="102" t="s">
        <v>93</v>
      </c>
      <c r="E39" s="103">
        <f aca="true" t="shared" si="7" ref="E39:L39">E41+E42+E43+E44</f>
        <v>201491917.44</v>
      </c>
      <c r="F39" s="103">
        <f t="shared" si="7"/>
        <v>29400869</v>
      </c>
      <c r="G39" s="103">
        <f t="shared" si="7"/>
        <v>28396543.509999998</v>
      </c>
      <c r="H39" s="103">
        <f t="shared" si="7"/>
        <v>27563144.619999997</v>
      </c>
      <c r="I39" s="103">
        <f t="shared" si="7"/>
        <v>29185946.28</v>
      </c>
      <c r="J39" s="103">
        <f t="shared" si="7"/>
        <v>30339383.759999998</v>
      </c>
      <c r="K39" s="103">
        <f t="shared" si="7"/>
        <v>27879894.83</v>
      </c>
      <c r="L39" s="103">
        <f t="shared" si="7"/>
        <v>28726135.44</v>
      </c>
      <c r="M39" s="239"/>
      <c r="N39" s="247"/>
      <c r="O39" s="247"/>
      <c r="P39" s="247"/>
      <c r="Q39" s="247"/>
      <c r="R39" s="247"/>
      <c r="S39" s="247"/>
      <c r="T39" s="247"/>
      <c r="U39" s="250"/>
    </row>
    <row r="40" spans="1:21" ht="12.75" customHeight="1">
      <c r="A40" s="237"/>
      <c r="B40" s="268"/>
      <c r="C40" s="237"/>
      <c r="D40" s="242" t="s">
        <v>113</v>
      </c>
      <c r="E40" s="243"/>
      <c r="F40" s="243"/>
      <c r="G40" s="243"/>
      <c r="H40" s="243"/>
      <c r="I40" s="243"/>
      <c r="J40" s="243"/>
      <c r="K40" s="243"/>
      <c r="L40" s="244"/>
      <c r="M40" s="240"/>
      <c r="N40" s="248"/>
      <c r="O40" s="248"/>
      <c r="P40" s="248"/>
      <c r="Q40" s="248"/>
      <c r="R40" s="248"/>
      <c r="S40" s="248"/>
      <c r="T40" s="248"/>
      <c r="U40" s="251"/>
    </row>
    <row r="41" spans="1:21" ht="13.5" customHeight="1">
      <c r="A41" s="237"/>
      <c r="B41" s="268"/>
      <c r="C41" s="237"/>
      <c r="D41" s="104" t="s">
        <v>91</v>
      </c>
      <c r="E41" s="103">
        <f>F41+G41+H41+I41+J41+K41+L41</f>
        <v>193997624.69</v>
      </c>
      <c r="F41" s="105">
        <f aca="true" t="shared" si="8" ref="F41:H44">F35</f>
        <v>28400869</v>
      </c>
      <c r="G41" s="105">
        <f t="shared" si="8"/>
        <v>26885454.86</v>
      </c>
      <c r="H41" s="105">
        <f t="shared" si="8"/>
        <v>26909030.619999997</v>
      </c>
      <c r="I41" s="105">
        <f aca="true" t="shared" si="9" ref="I41:L44">I35</f>
        <v>28135196.18</v>
      </c>
      <c r="J41" s="105">
        <f t="shared" si="9"/>
        <v>29246603.759999998</v>
      </c>
      <c r="K41" s="105">
        <f t="shared" si="9"/>
        <v>26787114.83</v>
      </c>
      <c r="L41" s="105">
        <f t="shared" si="9"/>
        <v>27633355.44</v>
      </c>
      <c r="M41" s="240"/>
      <c r="N41" s="248"/>
      <c r="O41" s="248"/>
      <c r="P41" s="248"/>
      <c r="Q41" s="248"/>
      <c r="R41" s="248"/>
      <c r="S41" s="248"/>
      <c r="T41" s="248"/>
      <c r="U41" s="251"/>
    </row>
    <row r="42" spans="1:21" ht="13.5" customHeight="1">
      <c r="A42" s="237"/>
      <c r="B42" s="268"/>
      <c r="C42" s="237"/>
      <c r="D42" s="104" t="s">
        <v>89</v>
      </c>
      <c r="E42" s="103">
        <f>F42+G42+H42+I42+J42+K42+L42</f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9"/>
        <v>0</v>
      </c>
      <c r="J42" s="105">
        <f t="shared" si="9"/>
        <v>0</v>
      </c>
      <c r="K42" s="105">
        <f t="shared" si="9"/>
        <v>0</v>
      </c>
      <c r="L42" s="105">
        <f t="shared" si="9"/>
        <v>0</v>
      </c>
      <c r="M42" s="240"/>
      <c r="N42" s="248"/>
      <c r="O42" s="248"/>
      <c r="P42" s="248"/>
      <c r="Q42" s="248"/>
      <c r="R42" s="248"/>
      <c r="S42" s="248"/>
      <c r="T42" s="248"/>
      <c r="U42" s="251"/>
    </row>
    <row r="43" spans="1:21" ht="13.5" customHeight="1">
      <c r="A43" s="237"/>
      <c r="B43" s="268"/>
      <c r="C43" s="237"/>
      <c r="D43" s="104" t="s">
        <v>90</v>
      </c>
      <c r="E43" s="103">
        <f>F43+G43+H43+I43+J43+K43+L43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240"/>
      <c r="N43" s="248"/>
      <c r="O43" s="248"/>
      <c r="P43" s="248"/>
      <c r="Q43" s="248"/>
      <c r="R43" s="248"/>
      <c r="S43" s="248"/>
      <c r="T43" s="248"/>
      <c r="U43" s="251"/>
    </row>
    <row r="44" spans="1:21" ht="13.5" customHeight="1">
      <c r="A44" s="237"/>
      <c r="B44" s="269"/>
      <c r="C44" s="237"/>
      <c r="D44" s="104" t="s">
        <v>92</v>
      </c>
      <c r="E44" s="103">
        <f>F44+G44+H44+I44+J44+K44+L44</f>
        <v>7494292.75</v>
      </c>
      <c r="F44" s="105">
        <f t="shared" si="8"/>
        <v>1000000</v>
      </c>
      <c r="G44" s="105">
        <f t="shared" si="8"/>
        <v>1511088.65</v>
      </c>
      <c r="H44" s="105">
        <f t="shared" si="8"/>
        <v>654114</v>
      </c>
      <c r="I44" s="105">
        <f t="shared" si="9"/>
        <v>1050750.1</v>
      </c>
      <c r="J44" s="105">
        <f t="shared" si="9"/>
        <v>1092780</v>
      </c>
      <c r="K44" s="105">
        <f t="shared" si="9"/>
        <v>1092780</v>
      </c>
      <c r="L44" s="105">
        <f t="shared" si="9"/>
        <v>1092780</v>
      </c>
      <c r="M44" s="241"/>
      <c r="N44" s="249"/>
      <c r="O44" s="249"/>
      <c r="P44" s="249"/>
      <c r="Q44" s="249"/>
      <c r="R44" s="249"/>
      <c r="S44" s="249"/>
      <c r="T44" s="249"/>
      <c r="U44" s="252"/>
    </row>
    <row r="47" ht="12.75">
      <c r="G47" s="26"/>
    </row>
  </sheetData>
  <sheetProtection/>
  <mergeCells count="89"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4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6:9" ht="71.25" customHeight="1">
      <c r="F1" s="294" t="s">
        <v>285</v>
      </c>
      <c r="G1" s="294"/>
      <c r="H1" s="294"/>
      <c r="I1" s="294"/>
    </row>
    <row r="2" spans="5:10" ht="18.75" customHeight="1">
      <c r="E2" s="9"/>
      <c r="G2" s="10"/>
      <c r="H2" s="10"/>
      <c r="I2" s="2" t="s">
        <v>235</v>
      </c>
      <c r="J2" s="10"/>
    </row>
    <row r="4" spans="1:9" ht="36.75" customHeight="1">
      <c r="A4" s="303" t="s">
        <v>236</v>
      </c>
      <c r="B4" s="303"/>
      <c r="C4" s="303"/>
      <c r="D4" s="303"/>
      <c r="E4" s="303"/>
      <c r="F4" s="303"/>
      <c r="G4" s="303"/>
      <c r="H4" s="303"/>
      <c r="I4" s="303"/>
    </row>
    <row r="5" spans="1:9" ht="30" customHeight="1">
      <c r="A5" s="304" t="s">
        <v>99</v>
      </c>
      <c r="B5" s="306" t="s">
        <v>100</v>
      </c>
      <c r="C5" s="308" t="s">
        <v>101</v>
      </c>
      <c r="D5" s="308"/>
      <c r="E5" s="308"/>
      <c r="F5" s="308"/>
      <c r="G5" s="308"/>
      <c r="H5" s="308"/>
      <c r="I5" s="308"/>
    </row>
    <row r="6" spans="1:9" ht="16.5" customHeight="1">
      <c r="A6" s="305"/>
      <c r="B6" s="307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53">
        <v>2020</v>
      </c>
    </row>
    <row r="7" spans="1:9" ht="16.5" customHeight="1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7">
        <v>9</v>
      </c>
    </row>
    <row r="8" spans="1:9" ht="19.5" customHeight="1">
      <c r="A8" s="12" t="s">
        <v>237</v>
      </c>
      <c r="B8" s="13">
        <f>B10+B11+B12+B13</f>
        <v>371192986.77</v>
      </c>
      <c r="C8" s="13">
        <f aca="true" t="shared" si="0" ref="C8:I8">C10+C11+C12+C13</f>
        <v>42388334</v>
      </c>
      <c r="D8" s="13">
        <f t="shared" si="0"/>
        <v>51554076.68</v>
      </c>
      <c r="E8" s="13">
        <f t="shared" si="0"/>
        <v>49201469.76</v>
      </c>
      <c r="F8" s="13">
        <f t="shared" si="0"/>
        <v>56565898</v>
      </c>
      <c r="G8" s="13">
        <f t="shared" si="0"/>
        <v>57114232.47</v>
      </c>
      <c r="H8" s="13">
        <f t="shared" si="0"/>
        <v>57170436.43</v>
      </c>
      <c r="I8" s="13">
        <f t="shared" si="0"/>
        <v>57198539.43</v>
      </c>
    </row>
    <row r="9" spans="1:9" ht="16.5" customHeight="1">
      <c r="A9" s="300" t="s">
        <v>102</v>
      </c>
      <c r="B9" s="301"/>
      <c r="C9" s="301"/>
      <c r="D9" s="301"/>
      <c r="E9" s="301"/>
      <c r="F9" s="301"/>
      <c r="G9" s="301"/>
      <c r="H9" s="301"/>
      <c r="I9" s="302"/>
    </row>
    <row r="10" spans="1:9" ht="16.5" customHeight="1">
      <c r="A10" s="14" t="s">
        <v>103</v>
      </c>
      <c r="B10" s="13">
        <f>C10+D10+E10+F10+G10+H10+I10</f>
        <v>44738467.32</v>
      </c>
      <c r="C10" s="16">
        <f>C17</f>
        <v>6370094</v>
      </c>
      <c r="D10" s="16">
        <f aca="true" t="shared" si="1" ref="D10:I10">D17</f>
        <v>6261697.23</v>
      </c>
      <c r="E10" s="16">
        <f t="shared" si="1"/>
        <v>5948669.76</v>
      </c>
      <c r="F10" s="16">
        <f t="shared" si="1"/>
        <v>6439998</v>
      </c>
      <c r="G10" s="16">
        <f t="shared" si="1"/>
        <v>6525832.47</v>
      </c>
      <c r="H10" s="16">
        <f t="shared" si="1"/>
        <v>6582036.43</v>
      </c>
      <c r="I10" s="16">
        <f t="shared" si="1"/>
        <v>6610139.43</v>
      </c>
    </row>
    <row r="11" spans="1:9" ht="16.5" customHeight="1">
      <c r="A11" s="14" t="s">
        <v>20</v>
      </c>
      <c r="B11" s="13">
        <f>C11+D11+E11+F11+G11+H11+I11</f>
        <v>109994500</v>
      </c>
      <c r="C11" s="16">
        <f aca="true" t="shared" si="2" ref="C11:I13">C18</f>
        <v>16180900</v>
      </c>
      <c r="D11" s="16">
        <f t="shared" si="2"/>
        <v>13779800</v>
      </c>
      <c r="E11" s="16">
        <f t="shared" si="2"/>
        <v>14942700</v>
      </c>
      <c r="F11" s="16">
        <f t="shared" si="2"/>
        <v>15925900</v>
      </c>
      <c r="G11" s="16">
        <f t="shared" si="2"/>
        <v>16388400</v>
      </c>
      <c r="H11" s="16">
        <f t="shared" si="2"/>
        <v>16388400</v>
      </c>
      <c r="I11" s="16">
        <f t="shared" si="2"/>
        <v>16388400</v>
      </c>
    </row>
    <row r="12" spans="1:9" ht="16.5" customHeight="1">
      <c r="A12" s="14" t="s">
        <v>21</v>
      </c>
      <c r="B12" s="13">
        <f>C12+D12+E12+F12+G12+H12+I12</f>
        <v>0</v>
      </c>
      <c r="C12" s="16">
        <f>C19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</row>
    <row r="13" spans="1:9" ht="16.5" customHeight="1">
      <c r="A13" s="14" t="s">
        <v>106</v>
      </c>
      <c r="B13" s="13">
        <f>C13+D13+E13+F13+G13+H13+I13</f>
        <v>216460019.45</v>
      </c>
      <c r="C13" s="16">
        <f t="shared" si="2"/>
        <v>19837340</v>
      </c>
      <c r="D13" s="16">
        <f t="shared" si="2"/>
        <v>31512579.45</v>
      </c>
      <c r="E13" s="16">
        <f t="shared" si="2"/>
        <v>28310100</v>
      </c>
      <c r="F13" s="16">
        <f t="shared" si="2"/>
        <v>34200000</v>
      </c>
      <c r="G13" s="16">
        <f t="shared" si="2"/>
        <v>34200000</v>
      </c>
      <c r="H13" s="16">
        <f t="shared" si="2"/>
        <v>34200000</v>
      </c>
      <c r="I13" s="16">
        <f t="shared" si="2"/>
        <v>34200000</v>
      </c>
    </row>
    <row r="14" spans="1:9" ht="16.5" customHeight="1">
      <c r="A14" s="309" t="s">
        <v>107</v>
      </c>
      <c r="B14" s="310"/>
      <c r="C14" s="310"/>
      <c r="D14" s="310"/>
      <c r="E14" s="310"/>
      <c r="F14" s="310"/>
      <c r="G14" s="310"/>
      <c r="H14" s="310"/>
      <c r="I14" s="311"/>
    </row>
    <row r="15" spans="1:9" ht="48.75" customHeight="1">
      <c r="A15" s="15" t="s">
        <v>114</v>
      </c>
      <c r="B15" s="13">
        <f>B17+B18+B19+B20</f>
        <v>371192986.77</v>
      </c>
      <c r="C15" s="13">
        <f>C17+C18+C19+C20</f>
        <v>42388334</v>
      </c>
      <c r="D15" s="13">
        <f aca="true" t="shared" si="3" ref="D15:I15">D17+D18+D19+D20</f>
        <v>51554076.68</v>
      </c>
      <c r="E15" s="13">
        <f t="shared" si="3"/>
        <v>49201469.76</v>
      </c>
      <c r="F15" s="13">
        <f t="shared" si="3"/>
        <v>56565898</v>
      </c>
      <c r="G15" s="13">
        <f t="shared" si="3"/>
        <v>57114232.47</v>
      </c>
      <c r="H15" s="13">
        <f t="shared" si="3"/>
        <v>57170436.43</v>
      </c>
      <c r="I15" s="13">
        <f t="shared" si="3"/>
        <v>57198539.43</v>
      </c>
    </row>
    <row r="16" spans="1:9" ht="16.5" customHeight="1">
      <c r="A16" s="300" t="s">
        <v>102</v>
      </c>
      <c r="B16" s="301"/>
      <c r="C16" s="301"/>
      <c r="D16" s="301"/>
      <c r="E16" s="301"/>
      <c r="F16" s="301"/>
      <c r="G16" s="301"/>
      <c r="H16" s="301"/>
      <c r="I16" s="302"/>
    </row>
    <row r="17" spans="1:9" ht="16.5" customHeight="1">
      <c r="A17" s="14" t="s">
        <v>103</v>
      </c>
      <c r="B17" s="13">
        <f>C17+D17+E17+F17+G17+H17+I17</f>
        <v>44738467.32</v>
      </c>
      <c r="C17" s="16">
        <f>'таб 3(6)'!F53</f>
        <v>6370094</v>
      </c>
      <c r="D17" s="16">
        <f>'таб 3(6)'!G53</f>
        <v>6261697.23</v>
      </c>
      <c r="E17" s="16">
        <f>'таб 3(6)'!H53</f>
        <v>5948669.76</v>
      </c>
      <c r="F17" s="16">
        <f>'таб 3(6)'!I53</f>
        <v>6439998</v>
      </c>
      <c r="G17" s="16">
        <f>'таб 3(6)'!J53</f>
        <v>6525832.47</v>
      </c>
      <c r="H17" s="16">
        <f>'таб 3(6)'!K53</f>
        <v>6582036.43</v>
      </c>
      <c r="I17" s="16">
        <f>'таб 3(6)'!L53</f>
        <v>6610139.43</v>
      </c>
    </row>
    <row r="18" spans="1:9" ht="16.5" customHeight="1">
      <c r="A18" s="14" t="s">
        <v>20</v>
      </c>
      <c r="B18" s="13">
        <f>C18+D18+E18+F18+G18+H18+I18</f>
        <v>109994500</v>
      </c>
      <c r="C18" s="16">
        <f>'таб 3(6)'!F54</f>
        <v>16180900</v>
      </c>
      <c r="D18" s="16">
        <f>'таб 3(6)'!G54</f>
        <v>13779800</v>
      </c>
      <c r="E18" s="16">
        <f>'таб 3(6)'!H54</f>
        <v>14942700</v>
      </c>
      <c r="F18" s="16">
        <f>'таб 3(6)'!I54</f>
        <v>15925900</v>
      </c>
      <c r="G18" s="16">
        <f>'таб 3(6)'!J54</f>
        <v>16388400</v>
      </c>
      <c r="H18" s="16">
        <f>'таб 3(6)'!K54</f>
        <v>16388400</v>
      </c>
      <c r="I18" s="16">
        <f>'таб 3(6)'!L54</f>
        <v>16388400</v>
      </c>
    </row>
    <row r="19" spans="1:9" ht="16.5" customHeight="1">
      <c r="A19" s="14" t="s">
        <v>21</v>
      </c>
      <c r="B19" s="13">
        <f>C19+D19+E19+F19+G19+H19+I19</f>
        <v>0</v>
      </c>
      <c r="C19" s="16">
        <f>'таб 3(6)'!F55</f>
        <v>0</v>
      </c>
      <c r="D19" s="16">
        <f>'таб 3(6)'!G55</f>
        <v>0</v>
      </c>
      <c r="E19" s="16">
        <f>'таб 3(6)'!H55</f>
        <v>0</v>
      </c>
      <c r="F19" s="16">
        <f>'таб 3(6)'!I55</f>
        <v>0</v>
      </c>
      <c r="G19" s="16">
        <f>'таб 3(6)'!J55</f>
        <v>0</v>
      </c>
      <c r="H19" s="16">
        <f>'таб 3(6)'!K55</f>
        <v>0</v>
      </c>
      <c r="I19" s="16">
        <f>'таб 3(6)'!L55</f>
        <v>0</v>
      </c>
    </row>
    <row r="20" spans="1:9" ht="16.5" customHeight="1">
      <c r="A20" s="14" t="s">
        <v>106</v>
      </c>
      <c r="B20" s="13">
        <f>C20+D20+E20+F20+G20+H20+I20</f>
        <v>216460019.45</v>
      </c>
      <c r="C20" s="16">
        <f>'таб 3(6)'!F56</f>
        <v>19837340</v>
      </c>
      <c r="D20" s="16">
        <f>'таб 3(6)'!G56</f>
        <v>31512579.45</v>
      </c>
      <c r="E20" s="16">
        <f>'таб 3(6)'!H56</f>
        <v>28310100</v>
      </c>
      <c r="F20" s="16">
        <f>'таб 3(6)'!I56</f>
        <v>34200000</v>
      </c>
      <c r="G20" s="16">
        <f>'таб 3(6)'!J56</f>
        <v>34200000</v>
      </c>
      <c r="H20" s="16">
        <f>'таб 3(6)'!K56</f>
        <v>34200000</v>
      </c>
      <c r="I20" s="16">
        <f>'таб 3(6)'!L56</f>
        <v>34200000</v>
      </c>
    </row>
    <row r="21" spans="1:9" ht="31.5">
      <c r="A21" s="17" t="s">
        <v>108</v>
      </c>
      <c r="B21" s="13">
        <f>C21+D21+E21+F21+G21+H21+I21</f>
        <v>0</v>
      </c>
      <c r="C21" s="16">
        <f>'таб 3(6)'!F57</f>
        <v>0</v>
      </c>
      <c r="D21" s="16">
        <f>'таб 3(6)'!G57</f>
        <v>0</v>
      </c>
      <c r="E21" s="16">
        <f>'таб 3(6)'!H57</f>
        <v>0</v>
      </c>
      <c r="F21" s="16">
        <f>'таб 3(6)'!I57</f>
        <v>0</v>
      </c>
      <c r="G21" s="16">
        <f>'таб 3(6)'!J57</f>
        <v>0</v>
      </c>
      <c r="H21" s="16">
        <f>'таб 3(6)'!K57</f>
        <v>0</v>
      </c>
      <c r="I21" s="16">
        <f>'таб 3(6)'!L57</f>
        <v>0</v>
      </c>
    </row>
    <row r="23" spans="4:9" ht="15.75">
      <c r="D23" s="115"/>
      <c r="E23" s="115"/>
      <c r="F23" s="115"/>
      <c r="G23" s="115"/>
      <c r="H23" s="115"/>
      <c r="I23" s="115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H1">
      <selection activeCell="O1" sqref="O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7.2812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15:21" ht="69.75" customHeight="1">
      <c r="O1" s="294" t="s">
        <v>286</v>
      </c>
      <c r="P1" s="294"/>
      <c r="Q1" s="294"/>
      <c r="R1" s="294"/>
      <c r="S1" s="294"/>
      <c r="T1" s="294"/>
      <c r="U1" s="294"/>
    </row>
    <row r="2" spans="20:21" ht="31.5">
      <c r="T2" s="100"/>
      <c r="U2" s="106" t="s">
        <v>238</v>
      </c>
    </row>
    <row r="3" spans="1:21" ht="15.75">
      <c r="A3" s="246" t="s">
        <v>239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1:21" ht="31.5" customHeight="1">
      <c r="A4" s="188" t="s">
        <v>97</v>
      </c>
      <c r="B4" s="188" t="s">
        <v>109</v>
      </c>
      <c r="C4" s="188" t="s">
        <v>110</v>
      </c>
      <c r="D4" s="188" t="s">
        <v>99</v>
      </c>
      <c r="E4" s="188" t="s">
        <v>111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5" t="s">
        <v>112</v>
      </c>
    </row>
    <row r="5" spans="1:21" ht="21" customHeight="1">
      <c r="A5" s="188"/>
      <c r="B5" s="188"/>
      <c r="C5" s="188"/>
      <c r="D5" s="188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36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6" t="s">
        <v>240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12.75">
      <c r="A8" s="21">
        <v>1</v>
      </c>
      <c r="B8" s="216" t="s">
        <v>241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6.5" customHeight="1">
      <c r="A9" s="226" t="s">
        <v>121</v>
      </c>
      <c r="B9" s="290" t="s">
        <v>242</v>
      </c>
      <c r="C9" s="232" t="s">
        <v>78</v>
      </c>
      <c r="D9" s="22" t="s">
        <v>93</v>
      </c>
      <c r="E9" s="23">
        <f>E11+E12+E13+E14</f>
        <v>50574716.65</v>
      </c>
      <c r="F9" s="23">
        <f aca="true" t="shared" si="0" ref="F9:L9">F11+F12+F13+F14</f>
        <v>6791464</v>
      </c>
      <c r="G9" s="23">
        <f t="shared" si="0"/>
        <v>6800330.36</v>
      </c>
      <c r="H9" s="23">
        <f t="shared" si="0"/>
        <v>6935497</v>
      </c>
      <c r="I9" s="23">
        <f t="shared" si="0"/>
        <v>7439745</v>
      </c>
      <c r="J9" s="23">
        <f t="shared" si="0"/>
        <v>7535893.43</v>
      </c>
      <c r="K9" s="23">
        <f t="shared" si="0"/>
        <v>7535893.43</v>
      </c>
      <c r="L9" s="23">
        <f t="shared" si="0"/>
        <v>7535893.43</v>
      </c>
      <c r="M9" s="208" t="s">
        <v>243</v>
      </c>
      <c r="N9" s="297">
        <v>2101</v>
      </c>
      <c r="O9" s="297">
        <v>2137</v>
      </c>
      <c r="P9" s="297">
        <v>2140</v>
      </c>
      <c r="Q9" s="297">
        <v>2473</v>
      </c>
      <c r="R9" s="297">
        <v>2471</v>
      </c>
      <c r="S9" s="297">
        <v>2471</v>
      </c>
      <c r="T9" s="297">
        <v>2471</v>
      </c>
      <c r="U9" s="261" t="s">
        <v>244</v>
      </c>
    </row>
    <row r="10" spans="1:21" ht="16.5" customHeight="1">
      <c r="A10" s="226"/>
      <c r="B10" s="291"/>
      <c r="C10" s="233"/>
      <c r="D10" s="219" t="s">
        <v>113</v>
      </c>
      <c r="E10" s="220"/>
      <c r="F10" s="220"/>
      <c r="G10" s="220"/>
      <c r="H10" s="220"/>
      <c r="I10" s="220"/>
      <c r="J10" s="220"/>
      <c r="K10" s="220"/>
      <c r="L10" s="221"/>
      <c r="M10" s="209"/>
      <c r="N10" s="298"/>
      <c r="O10" s="298"/>
      <c r="P10" s="298"/>
      <c r="Q10" s="298"/>
      <c r="R10" s="298"/>
      <c r="S10" s="298"/>
      <c r="T10" s="298"/>
      <c r="U10" s="262"/>
    </row>
    <row r="11" spans="1:21" ht="12.75">
      <c r="A11" s="226"/>
      <c r="B11" s="291"/>
      <c r="C11" s="233"/>
      <c r="D11" s="22" t="s">
        <v>91</v>
      </c>
      <c r="E11" s="23">
        <f>F11+G11+H11+I11+J11+K11+L11</f>
        <v>40867116.65</v>
      </c>
      <c r="F11" s="23">
        <v>5886264</v>
      </c>
      <c r="G11" s="23">
        <v>5658330.36</v>
      </c>
      <c r="H11" s="23">
        <v>5478597</v>
      </c>
      <c r="I11" s="23">
        <v>5783945</v>
      </c>
      <c r="J11" s="23">
        <v>6019993.43</v>
      </c>
      <c r="K11" s="23">
        <v>6019993.43</v>
      </c>
      <c r="L11" s="23">
        <v>6019993.43</v>
      </c>
      <c r="M11" s="209"/>
      <c r="N11" s="298"/>
      <c r="O11" s="298"/>
      <c r="P11" s="298"/>
      <c r="Q11" s="298"/>
      <c r="R11" s="298"/>
      <c r="S11" s="298"/>
      <c r="T11" s="298"/>
      <c r="U11" s="262"/>
    </row>
    <row r="12" spans="1:21" ht="12.75">
      <c r="A12" s="226"/>
      <c r="B12" s="291"/>
      <c r="C12" s="233"/>
      <c r="D12" s="22" t="s">
        <v>89</v>
      </c>
      <c r="E12" s="23">
        <f>F12+G12+H12+I12+J12+K12+L12</f>
        <v>9707600</v>
      </c>
      <c r="F12" s="23">
        <v>905200</v>
      </c>
      <c r="G12" s="23">
        <f>1119300+22700</f>
        <v>1142000</v>
      </c>
      <c r="H12" s="23">
        <f>1396800+60100</f>
        <v>1456900</v>
      </c>
      <c r="I12" s="23">
        <f>1601600+54200</f>
        <v>1655800</v>
      </c>
      <c r="J12" s="23">
        <v>1515900</v>
      </c>
      <c r="K12" s="23">
        <v>1515900</v>
      </c>
      <c r="L12" s="23">
        <v>1515900</v>
      </c>
      <c r="M12" s="209"/>
      <c r="N12" s="298"/>
      <c r="O12" s="298"/>
      <c r="P12" s="298"/>
      <c r="Q12" s="298"/>
      <c r="R12" s="298"/>
      <c r="S12" s="298"/>
      <c r="T12" s="298"/>
      <c r="U12" s="262"/>
    </row>
    <row r="13" spans="1:21" ht="12.75" customHeight="1">
      <c r="A13" s="226"/>
      <c r="B13" s="291"/>
      <c r="C13" s="233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9"/>
      <c r="N13" s="298"/>
      <c r="O13" s="298"/>
      <c r="P13" s="298"/>
      <c r="Q13" s="298"/>
      <c r="R13" s="298"/>
      <c r="S13" s="298"/>
      <c r="T13" s="298"/>
      <c r="U13" s="262"/>
    </row>
    <row r="14" spans="1:21" ht="18.75" customHeight="1">
      <c r="A14" s="226"/>
      <c r="B14" s="292"/>
      <c r="C14" s="234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10"/>
      <c r="N14" s="299"/>
      <c r="O14" s="299"/>
      <c r="P14" s="299"/>
      <c r="Q14" s="299"/>
      <c r="R14" s="299"/>
      <c r="S14" s="299"/>
      <c r="T14" s="299"/>
      <c r="U14" s="263"/>
    </row>
    <row r="15" spans="1:21" ht="24" customHeight="1">
      <c r="A15" s="226" t="s">
        <v>122</v>
      </c>
      <c r="B15" s="290" t="s">
        <v>245</v>
      </c>
      <c r="C15" s="232" t="s">
        <v>78</v>
      </c>
      <c r="D15" s="22" t="s">
        <v>93</v>
      </c>
      <c r="E15" s="23">
        <f>E17+E18+E19+E20</f>
        <v>100286900</v>
      </c>
      <c r="F15" s="23">
        <f aca="true" t="shared" si="1" ref="F15:L15">F17+F18+F19+F20</f>
        <v>15275700</v>
      </c>
      <c r="G15" s="23">
        <f t="shared" si="1"/>
        <v>12637800</v>
      </c>
      <c r="H15" s="23">
        <f t="shared" si="1"/>
        <v>13485800</v>
      </c>
      <c r="I15" s="23">
        <f t="shared" si="1"/>
        <v>14270100</v>
      </c>
      <c r="J15" s="23">
        <f t="shared" si="1"/>
        <v>14872500</v>
      </c>
      <c r="K15" s="23">
        <f t="shared" si="1"/>
        <v>14872500</v>
      </c>
      <c r="L15" s="23">
        <f t="shared" si="1"/>
        <v>14872500</v>
      </c>
      <c r="M15" s="208" t="s">
        <v>246</v>
      </c>
      <c r="N15" s="297">
        <v>1002</v>
      </c>
      <c r="O15" s="297">
        <v>1011</v>
      </c>
      <c r="P15" s="297">
        <v>1021</v>
      </c>
      <c r="Q15" s="297">
        <v>855</v>
      </c>
      <c r="R15" s="297">
        <v>889</v>
      </c>
      <c r="S15" s="297">
        <v>889</v>
      </c>
      <c r="T15" s="297">
        <v>889</v>
      </c>
      <c r="U15" s="261" t="s">
        <v>247</v>
      </c>
    </row>
    <row r="16" spans="1:21" ht="16.5" customHeight="1">
      <c r="A16" s="226"/>
      <c r="B16" s="291"/>
      <c r="C16" s="233"/>
      <c r="D16" s="219" t="s">
        <v>113</v>
      </c>
      <c r="E16" s="220"/>
      <c r="F16" s="220"/>
      <c r="G16" s="220"/>
      <c r="H16" s="220"/>
      <c r="I16" s="220"/>
      <c r="J16" s="220"/>
      <c r="K16" s="220"/>
      <c r="L16" s="221"/>
      <c r="M16" s="209"/>
      <c r="N16" s="298"/>
      <c r="O16" s="298"/>
      <c r="P16" s="298"/>
      <c r="Q16" s="298"/>
      <c r="R16" s="298"/>
      <c r="S16" s="298"/>
      <c r="T16" s="298"/>
      <c r="U16" s="262"/>
    </row>
    <row r="17" spans="1:21" ht="18" customHeight="1">
      <c r="A17" s="226"/>
      <c r="B17" s="291"/>
      <c r="C17" s="233"/>
      <c r="D17" s="22" t="s">
        <v>91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09"/>
      <c r="N17" s="298"/>
      <c r="O17" s="298"/>
      <c r="P17" s="298"/>
      <c r="Q17" s="298"/>
      <c r="R17" s="298"/>
      <c r="S17" s="298"/>
      <c r="T17" s="298"/>
      <c r="U17" s="262"/>
    </row>
    <row r="18" spans="1:21" ht="12.75" customHeight="1">
      <c r="A18" s="226"/>
      <c r="B18" s="291"/>
      <c r="C18" s="233"/>
      <c r="D18" s="22" t="s">
        <v>89</v>
      </c>
      <c r="E18" s="23">
        <f>F18+G18+H18+I18+J18+K18+L18</f>
        <v>100286900</v>
      </c>
      <c r="F18" s="23">
        <v>15275700</v>
      </c>
      <c r="G18" s="23">
        <v>12637800</v>
      </c>
      <c r="H18" s="23">
        <f>13137100+348700</f>
        <v>13485800</v>
      </c>
      <c r="I18" s="23">
        <f>13494200+775900</f>
        <v>14270100</v>
      </c>
      <c r="J18" s="23">
        <v>14872500</v>
      </c>
      <c r="K18" s="23">
        <v>14872500</v>
      </c>
      <c r="L18" s="23">
        <v>14872500</v>
      </c>
      <c r="M18" s="209"/>
      <c r="N18" s="298"/>
      <c r="O18" s="298"/>
      <c r="P18" s="298"/>
      <c r="Q18" s="298"/>
      <c r="R18" s="298"/>
      <c r="S18" s="298"/>
      <c r="T18" s="298"/>
      <c r="U18" s="262"/>
    </row>
    <row r="19" spans="1:21" ht="12.75" customHeight="1">
      <c r="A19" s="226"/>
      <c r="B19" s="291"/>
      <c r="C19" s="233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9"/>
      <c r="N19" s="298"/>
      <c r="O19" s="298"/>
      <c r="P19" s="298"/>
      <c r="Q19" s="298"/>
      <c r="R19" s="298"/>
      <c r="S19" s="298"/>
      <c r="T19" s="298"/>
      <c r="U19" s="262"/>
    </row>
    <row r="20" spans="1:21" ht="24" customHeight="1">
      <c r="A20" s="226"/>
      <c r="B20" s="292"/>
      <c r="C20" s="234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10"/>
      <c r="N20" s="299"/>
      <c r="O20" s="299"/>
      <c r="P20" s="299"/>
      <c r="Q20" s="299"/>
      <c r="R20" s="299"/>
      <c r="S20" s="299"/>
      <c r="T20" s="299"/>
      <c r="U20" s="263"/>
    </row>
    <row r="21" spans="1:21" ht="15" customHeight="1">
      <c r="A21" s="226" t="s">
        <v>123</v>
      </c>
      <c r="B21" s="290" t="s">
        <v>248</v>
      </c>
      <c r="C21" s="232" t="s">
        <v>78</v>
      </c>
      <c r="D21" s="22" t="s">
        <v>93</v>
      </c>
      <c r="E21" s="23">
        <f>E23+E24+E25+E26</f>
        <v>216460019.45</v>
      </c>
      <c r="F21" s="23">
        <f aca="true" t="shared" si="2" ref="F21:L21">F23+F24+F25+F26</f>
        <v>19837340</v>
      </c>
      <c r="G21" s="23">
        <f t="shared" si="2"/>
        <v>31512579.45</v>
      </c>
      <c r="H21" s="23">
        <f t="shared" si="2"/>
        <v>28310100</v>
      </c>
      <c r="I21" s="23">
        <f t="shared" si="2"/>
        <v>34200000</v>
      </c>
      <c r="J21" s="23">
        <f t="shared" si="2"/>
        <v>34200000</v>
      </c>
      <c r="K21" s="23">
        <f t="shared" si="2"/>
        <v>34200000</v>
      </c>
      <c r="L21" s="23">
        <f t="shared" si="2"/>
        <v>34200000</v>
      </c>
      <c r="M21" s="208" t="s">
        <v>249</v>
      </c>
      <c r="N21" s="297">
        <v>90</v>
      </c>
      <c r="O21" s="297">
        <v>93</v>
      </c>
      <c r="P21" s="297">
        <v>94</v>
      </c>
      <c r="Q21" s="297">
        <v>95</v>
      </c>
      <c r="R21" s="297">
        <v>100</v>
      </c>
      <c r="S21" s="297">
        <v>100</v>
      </c>
      <c r="T21" s="297">
        <v>100</v>
      </c>
      <c r="U21" s="261" t="s">
        <v>247</v>
      </c>
    </row>
    <row r="22" spans="1:21" ht="16.5" customHeight="1">
      <c r="A22" s="226"/>
      <c r="B22" s="291"/>
      <c r="C22" s="233"/>
      <c r="D22" s="219" t="s">
        <v>113</v>
      </c>
      <c r="E22" s="220"/>
      <c r="F22" s="220"/>
      <c r="G22" s="220"/>
      <c r="H22" s="220"/>
      <c r="I22" s="220"/>
      <c r="J22" s="220"/>
      <c r="K22" s="220"/>
      <c r="L22" s="221"/>
      <c r="M22" s="209"/>
      <c r="N22" s="298"/>
      <c r="O22" s="298"/>
      <c r="P22" s="298"/>
      <c r="Q22" s="298"/>
      <c r="R22" s="298"/>
      <c r="S22" s="298"/>
      <c r="T22" s="298"/>
      <c r="U22" s="262"/>
    </row>
    <row r="23" spans="1:21" ht="12.75" customHeight="1">
      <c r="A23" s="226"/>
      <c r="B23" s="291"/>
      <c r="C23" s="233"/>
      <c r="D23" s="22" t="s">
        <v>91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09"/>
      <c r="N23" s="298"/>
      <c r="O23" s="298"/>
      <c r="P23" s="298"/>
      <c r="Q23" s="298"/>
      <c r="R23" s="298"/>
      <c r="S23" s="298"/>
      <c r="T23" s="298"/>
      <c r="U23" s="262"/>
    </row>
    <row r="24" spans="1:21" ht="12.75" customHeight="1">
      <c r="A24" s="226"/>
      <c r="B24" s="291"/>
      <c r="C24" s="233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09"/>
      <c r="N24" s="298"/>
      <c r="O24" s="298"/>
      <c r="P24" s="298"/>
      <c r="Q24" s="298"/>
      <c r="R24" s="298"/>
      <c r="S24" s="298"/>
      <c r="T24" s="298"/>
      <c r="U24" s="262"/>
    </row>
    <row r="25" spans="1:21" ht="12.75" customHeight="1">
      <c r="A25" s="226"/>
      <c r="B25" s="291"/>
      <c r="C25" s="233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09"/>
      <c r="N25" s="298"/>
      <c r="O25" s="298"/>
      <c r="P25" s="298"/>
      <c r="Q25" s="298"/>
      <c r="R25" s="298"/>
      <c r="S25" s="298"/>
      <c r="T25" s="298"/>
      <c r="U25" s="262"/>
    </row>
    <row r="26" spans="1:21" ht="12.75" customHeight="1">
      <c r="A26" s="226"/>
      <c r="B26" s="292"/>
      <c r="C26" s="234"/>
      <c r="D26" s="22" t="s">
        <v>92</v>
      </c>
      <c r="E26" s="23">
        <f>F26+G26+H26+I26+J26+K26+L26</f>
        <v>216460019.45</v>
      </c>
      <c r="F26" s="23">
        <v>19837340</v>
      </c>
      <c r="G26" s="84">
        <v>31512579.45</v>
      </c>
      <c r="H26" s="84">
        <v>28310100</v>
      </c>
      <c r="I26" s="84">
        <v>34200000</v>
      </c>
      <c r="J26" s="84">
        <v>34200000</v>
      </c>
      <c r="K26" s="84">
        <v>34200000</v>
      </c>
      <c r="L26" s="84">
        <v>34200000</v>
      </c>
      <c r="M26" s="210"/>
      <c r="N26" s="299"/>
      <c r="O26" s="299"/>
      <c r="P26" s="299"/>
      <c r="Q26" s="299"/>
      <c r="R26" s="299"/>
      <c r="S26" s="299"/>
      <c r="T26" s="299"/>
      <c r="U26" s="263"/>
    </row>
    <row r="27" spans="1:21" ht="15" customHeight="1">
      <c r="A27" s="226" t="s">
        <v>124</v>
      </c>
      <c r="B27" s="290" t="s">
        <v>250</v>
      </c>
      <c r="C27" s="232" t="s">
        <v>78</v>
      </c>
      <c r="D27" s="22" t="s">
        <v>93</v>
      </c>
      <c r="E27" s="23">
        <f>E29+E30+E31+E32</f>
        <v>44288.86</v>
      </c>
      <c r="F27" s="23">
        <f aca="true" t="shared" si="3" ref="F27:L27">F29+F30+F31+F32</f>
        <v>33830</v>
      </c>
      <c r="G27" s="23">
        <f t="shared" si="3"/>
        <v>10458.86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08" t="s">
        <v>3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08" t="s">
        <v>251</v>
      </c>
    </row>
    <row r="28" spans="1:21" ht="16.5" customHeight="1">
      <c r="A28" s="226"/>
      <c r="B28" s="291"/>
      <c r="C28" s="233"/>
      <c r="D28" s="219" t="s">
        <v>113</v>
      </c>
      <c r="E28" s="220"/>
      <c r="F28" s="220"/>
      <c r="G28" s="220"/>
      <c r="H28" s="220"/>
      <c r="I28" s="220"/>
      <c r="J28" s="220"/>
      <c r="K28" s="220"/>
      <c r="L28" s="221"/>
      <c r="M28" s="209"/>
      <c r="N28" s="206"/>
      <c r="O28" s="206"/>
      <c r="P28" s="206"/>
      <c r="Q28" s="206"/>
      <c r="R28" s="206"/>
      <c r="S28" s="206"/>
      <c r="T28" s="206"/>
      <c r="U28" s="209"/>
    </row>
    <row r="29" spans="1:21" ht="12.75" customHeight="1">
      <c r="A29" s="226"/>
      <c r="B29" s="291"/>
      <c r="C29" s="233"/>
      <c r="D29" s="22" t="s">
        <v>91</v>
      </c>
      <c r="E29" s="23">
        <f>F29+G29+H29+I29+J29+K29+L29</f>
        <v>44288.86</v>
      </c>
      <c r="F29" s="23">
        <v>33830</v>
      </c>
      <c r="G29" s="23">
        <f>11046-587.32+0.18</f>
        <v>10458.86</v>
      </c>
      <c r="H29" s="23">
        <v>0</v>
      </c>
      <c r="I29" s="23">
        <v>0</v>
      </c>
      <c r="J29" s="23"/>
      <c r="K29" s="23"/>
      <c r="L29" s="23"/>
      <c r="M29" s="209"/>
      <c r="N29" s="206"/>
      <c r="O29" s="206"/>
      <c r="P29" s="206"/>
      <c r="Q29" s="206"/>
      <c r="R29" s="206"/>
      <c r="S29" s="206"/>
      <c r="T29" s="206"/>
      <c r="U29" s="209"/>
    </row>
    <row r="30" spans="1:21" ht="12.75" customHeight="1">
      <c r="A30" s="226"/>
      <c r="B30" s="291"/>
      <c r="C30" s="233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09"/>
      <c r="N30" s="206"/>
      <c r="O30" s="206"/>
      <c r="P30" s="206"/>
      <c r="Q30" s="206"/>
      <c r="R30" s="206"/>
      <c r="S30" s="206"/>
      <c r="T30" s="206"/>
      <c r="U30" s="209"/>
    </row>
    <row r="31" spans="1:21" ht="12.75" customHeight="1">
      <c r="A31" s="226"/>
      <c r="B31" s="291"/>
      <c r="C31" s="233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09"/>
      <c r="N31" s="206"/>
      <c r="O31" s="206"/>
      <c r="P31" s="206"/>
      <c r="Q31" s="206"/>
      <c r="R31" s="206"/>
      <c r="S31" s="206"/>
      <c r="T31" s="206"/>
      <c r="U31" s="209"/>
    </row>
    <row r="32" spans="1:21" ht="12.75" customHeight="1">
      <c r="A32" s="226"/>
      <c r="B32" s="292"/>
      <c r="C32" s="234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10"/>
      <c r="N32" s="207"/>
      <c r="O32" s="207"/>
      <c r="P32" s="207"/>
      <c r="Q32" s="207"/>
      <c r="R32" s="207"/>
      <c r="S32" s="207"/>
      <c r="T32" s="207"/>
      <c r="U32" s="210"/>
    </row>
    <row r="33" spans="1:21" ht="15" customHeight="1">
      <c r="A33" s="226" t="s">
        <v>125</v>
      </c>
      <c r="B33" s="290" t="s">
        <v>252</v>
      </c>
      <c r="C33" s="232" t="s">
        <v>78</v>
      </c>
      <c r="D33" s="22" t="s">
        <v>93</v>
      </c>
      <c r="E33" s="23">
        <f>E35+E36+E37+E38</f>
        <v>2834561.81</v>
      </c>
      <c r="F33" s="23">
        <f aca="true" t="shared" si="4" ref="F33:L33">F35+F36+F37+F38</f>
        <v>0</v>
      </c>
      <c r="G33" s="23">
        <f t="shared" si="4"/>
        <v>417908.01</v>
      </c>
      <c r="H33" s="23">
        <f t="shared" si="4"/>
        <v>295072.76</v>
      </c>
      <c r="I33" s="23">
        <f t="shared" si="4"/>
        <v>463553</v>
      </c>
      <c r="J33" s="23">
        <f t="shared" si="4"/>
        <v>505839.04</v>
      </c>
      <c r="K33" s="23">
        <f t="shared" si="4"/>
        <v>562043</v>
      </c>
      <c r="L33" s="23">
        <f t="shared" si="4"/>
        <v>590146</v>
      </c>
      <c r="M33" s="208" t="s">
        <v>264</v>
      </c>
      <c r="N33" s="205">
        <v>1</v>
      </c>
      <c r="O33" s="205">
        <v>1</v>
      </c>
      <c r="P33" s="205">
        <v>1</v>
      </c>
      <c r="Q33" s="205">
        <v>100</v>
      </c>
      <c r="R33" s="205">
        <v>100</v>
      </c>
      <c r="S33" s="205">
        <v>100</v>
      </c>
      <c r="T33" s="205">
        <v>100</v>
      </c>
      <c r="U33" s="208" t="s">
        <v>251</v>
      </c>
    </row>
    <row r="34" spans="1:21" ht="16.5" customHeight="1">
      <c r="A34" s="226"/>
      <c r="B34" s="291"/>
      <c r="C34" s="233"/>
      <c r="D34" s="219" t="s">
        <v>113</v>
      </c>
      <c r="E34" s="220"/>
      <c r="F34" s="220"/>
      <c r="G34" s="220"/>
      <c r="H34" s="220"/>
      <c r="I34" s="220"/>
      <c r="J34" s="220"/>
      <c r="K34" s="220"/>
      <c r="L34" s="221"/>
      <c r="M34" s="209"/>
      <c r="N34" s="206"/>
      <c r="O34" s="206"/>
      <c r="P34" s="206"/>
      <c r="Q34" s="206"/>
      <c r="R34" s="206"/>
      <c r="S34" s="206"/>
      <c r="T34" s="206"/>
      <c r="U34" s="209"/>
    </row>
    <row r="35" spans="1:21" ht="12.75" customHeight="1">
      <c r="A35" s="226"/>
      <c r="B35" s="291"/>
      <c r="C35" s="233"/>
      <c r="D35" s="22" t="s">
        <v>91</v>
      </c>
      <c r="E35" s="23">
        <f>F35+G35+H35+I35+J35+K35+L35</f>
        <v>2834561.81</v>
      </c>
      <c r="F35" s="23"/>
      <c r="G35" s="23">
        <f>592908.01-175000</f>
        <v>417908.01</v>
      </c>
      <c r="H35" s="23">
        <v>295072.76</v>
      </c>
      <c r="I35" s="23">
        <f>295072.76+168480.24</f>
        <v>463553</v>
      </c>
      <c r="J35" s="23">
        <v>505839.04</v>
      </c>
      <c r="K35" s="23">
        <v>562043</v>
      </c>
      <c r="L35" s="23">
        <v>590146</v>
      </c>
      <c r="M35" s="209"/>
      <c r="N35" s="206"/>
      <c r="O35" s="206"/>
      <c r="P35" s="206"/>
      <c r="Q35" s="206"/>
      <c r="R35" s="206"/>
      <c r="S35" s="206"/>
      <c r="T35" s="206"/>
      <c r="U35" s="209"/>
    </row>
    <row r="36" spans="1:21" ht="12.75" customHeight="1">
      <c r="A36" s="226"/>
      <c r="B36" s="291"/>
      <c r="C36" s="233"/>
      <c r="D36" s="22" t="s">
        <v>89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09"/>
      <c r="N36" s="206"/>
      <c r="O36" s="206"/>
      <c r="P36" s="206"/>
      <c r="Q36" s="206"/>
      <c r="R36" s="206"/>
      <c r="S36" s="206"/>
      <c r="T36" s="206"/>
      <c r="U36" s="209"/>
    </row>
    <row r="37" spans="1:21" ht="12.75" customHeight="1">
      <c r="A37" s="226"/>
      <c r="B37" s="291"/>
      <c r="C37" s="233"/>
      <c r="D37" s="22" t="s">
        <v>90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09"/>
      <c r="N37" s="206"/>
      <c r="O37" s="206"/>
      <c r="P37" s="206"/>
      <c r="Q37" s="206"/>
      <c r="R37" s="206"/>
      <c r="S37" s="206"/>
      <c r="T37" s="206"/>
      <c r="U37" s="209"/>
    </row>
    <row r="38" spans="1:21" ht="12.75" customHeight="1">
      <c r="A38" s="226"/>
      <c r="B38" s="292"/>
      <c r="C38" s="234"/>
      <c r="D38" s="22" t="s">
        <v>92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10"/>
      <c r="N38" s="207"/>
      <c r="O38" s="207"/>
      <c r="P38" s="207"/>
      <c r="Q38" s="207"/>
      <c r="R38" s="207"/>
      <c r="S38" s="207"/>
      <c r="T38" s="207"/>
      <c r="U38" s="210"/>
    </row>
    <row r="39" spans="1:21" ht="12.75" customHeight="1">
      <c r="A39" s="226" t="s">
        <v>126</v>
      </c>
      <c r="B39" s="290" t="s">
        <v>253</v>
      </c>
      <c r="C39" s="232" t="s">
        <v>78</v>
      </c>
      <c r="D39" s="22" t="s">
        <v>93</v>
      </c>
      <c r="E39" s="23">
        <f>E41+E42+E43+E44</f>
        <v>992500</v>
      </c>
      <c r="F39" s="23">
        <f aca="true" t="shared" si="5" ref="F39:L39">F41+F42+F43+F44</f>
        <v>450000</v>
      </c>
      <c r="G39" s="23">
        <f t="shared" si="5"/>
        <v>175000</v>
      </c>
      <c r="H39" s="23">
        <f t="shared" si="5"/>
        <v>175000</v>
      </c>
      <c r="I39" s="23">
        <f t="shared" si="5"/>
        <v>192500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8" t="s">
        <v>254</v>
      </c>
      <c r="N39" s="205">
        <v>1</v>
      </c>
      <c r="O39" s="205">
        <v>1</v>
      </c>
      <c r="P39" s="205">
        <v>1</v>
      </c>
      <c r="Q39" s="205">
        <v>1</v>
      </c>
      <c r="R39" s="205">
        <v>1</v>
      </c>
      <c r="S39" s="205">
        <v>1</v>
      </c>
      <c r="T39" s="205">
        <v>1</v>
      </c>
      <c r="U39" s="208" t="s">
        <v>251</v>
      </c>
    </row>
    <row r="40" spans="1:21" ht="12.75" customHeight="1">
      <c r="A40" s="226"/>
      <c r="B40" s="291"/>
      <c r="C40" s="233"/>
      <c r="D40" s="219" t="s">
        <v>113</v>
      </c>
      <c r="E40" s="220"/>
      <c r="F40" s="220"/>
      <c r="G40" s="220"/>
      <c r="H40" s="220"/>
      <c r="I40" s="220"/>
      <c r="J40" s="220"/>
      <c r="K40" s="220"/>
      <c r="L40" s="221"/>
      <c r="M40" s="209"/>
      <c r="N40" s="206"/>
      <c r="O40" s="206"/>
      <c r="P40" s="206"/>
      <c r="Q40" s="206"/>
      <c r="R40" s="206"/>
      <c r="S40" s="206"/>
      <c r="T40" s="206"/>
      <c r="U40" s="209"/>
    </row>
    <row r="41" spans="1:21" ht="12.75" customHeight="1">
      <c r="A41" s="226"/>
      <c r="B41" s="291"/>
      <c r="C41" s="233"/>
      <c r="D41" s="22" t="s">
        <v>91</v>
      </c>
      <c r="E41" s="23">
        <f>F41+G41+H41+I41+J41+K41+L41</f>
        <v>992500</v>
      </c>
      <c r="F41" s="23">
        <v>450000</v>
      </c>
      <c r="G41" s="23">
        <f>175000</f>
        <v>175000</v>
      </c>
      <c r="H41" s="23">
        <v>175000</v>
      </c>
      <c r="I41" s="23">
        <v>192500</v>
      </c>
      <c r="J41" s="23">
        <v>0</v>
      </c>
      <c r="K41" s="23">
        <v>0</v>
      </c>
      <c r="L41" s="23">
        <v>0</v>
      </c>
      <c r="M41" s="209"/>
      <c r="N41" s="206"/>
      <c r="O41" s="206"/>
      <c r="P41" s="206"/>
      <c r="Q41" s="206"/>
      <c r="R41" s="206"/>
      <c r="S41" s="206"/>
      <c r="T41" s="206"/>
      <c r="U41" s="209"/>
    </row>
    <row r="42" spans="1:21" ht="12.75" customHeight="1">
      <c r="A42" s="226"/>
      <c r="B42" s="291"/>
      <c r="C42" s="233"/>
      <c r="D42" s="22" t="s">
        <v>89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09"/>
      <c r="N42" s="206"/>
      <c r="O42" s="206"/>
      <c r="P42" s="206"/>
      <c r="Q42" s="206"/>
      <c r="R42" s="206"/>
      <c r="S42" s="206"/>
      <c r="T42" s="206"/>
      <c r="U42" s="209"/>
    </row>
    <row r="43" spans="1:21" ht="12.75" customHeight="1">
      <c r="A43" s="226"/>
      <c r="B43" s="291"/>
      <c r="C43" s="233"/>
      <c r="D43" s="22" t="s">
        <v>90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09"/>
      <c r="N43" s="206"/>
      <c r="O43" s="206"/>
      <c r="P43" s="206"/>
      <c r="Q43" s="206"/>
      <c r="R43" s="206"/>
      <c r="S43" s="206"/>
      <c r="T43" s="206"/>
      <c r="U43" s="209"/>
    </row>
    <row r="44" spans="1:21" ht="12.75" customHeight="1">
      <c r="A44" s="226"/>
      <c r="B44" s="292"/>
      <c r="C44" s="234"/>
      <c r="D44" s="22" t="s">
        <v>92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210"/>
      <c r="N44" s="207"/>
      <c r="O44" s="207"/>
      <c r="P44" s="207"/>
      <c r="Q44" s="207"/>
      <c r="R44" s="207"/>
      <c r="S44" s="207"/>
      <c r="T44" s="207"/>
      <c r="U44" s="210"/>
    </row>
    <row r="45" spans="1:21" ht="13.5" customHeight="1">
      <c r="A45" s="237"/>
      <c r="B45" s="267" t="s">
        <v>152</v>
      </c>
      <c r="C45" s="237"/>
      <c r="D45" s="102" t="s">
        <v>93</v>
      </c>
      <c r="E45" s="103">
        <f aca="true" t="shared" si="6" ref="E45:L45">E47+E48+E49+E50</f>
        <v>371192986.77</v>
      </c>
      <c r="F45" s="103">
        <f t="shared" si="6"/>
        <v>42388334</v>
      </c>
      <c r="G45" s="103">
        <f t="shared" si="6"/>
        <v>51554076.68</v>
      </c>
      <c r="H45" s="103">
        <f t="shared" si="6"/>
        <v>49201469.76</v>
      </c>
      <c r="I45" s="103">
        <f t="shared" si="6"/>
        <v>56565898</v>
      </c>
      <c r="J45" s="103">
        <f t="shared" si="6"/>
        <v>57114232.47</v>
      </c>
      <c r="K45" s="103">
        <f t="shared" si="6"/>
        <v>57170436.43</v>
      </c>
      <c r="L45" s="103">
        <f t="shared" si="6"/>
        <v>57198539.43</v>
      </c>
      <c r="M45" s="239"/>
      <c r="N45" s="247"/>
      <c r="O45" s="247"/>
      <c r="P45" s="247"/>
      <c r="Q45" s="247"/>
      <c r="R45" s="247"/>
      <c r="S45" s="247"/>
      <c r="T45" s="247"/>
      <c r="U45" s="250"/>
    </row>
    <row r="46" spans="1:21" ht="12.75" customHeight="1">
      <c r="A46" s="237"/>
      <c r="B46" s="268"/>
      <c r="C46" s="237"/>
      <c r="D46" s="242" t="s">
        <v>113</v>
      </c>
      <c r="E46" s="243"/>
      <c r="F46" s="243"/>
      <c r="G46" s="243"/>
      <c r="H46" s="243"/>
      <c r="I46" s="243"/>
      <c r="J46" s="243"/>
      <c r="K46" s="243"/>
      <c r="L46" s="244"/>
      <c r="M46" s="240"/>
      <c r="N46" s="248"/>
      <c r="O46" s="248"/>
      <c r="P46" s="248"/>
      <c r="Q46" s="248"/>
      <c r="R46" s="248"/>
      <c r="S46" s="248"/>
      <c r="T46" s="248"/>
      <c r="U46" s="251"/>
    </row>
    <row r="47" spans="1:21" ht="13.5" customHeight="1">
      <c r="A47" s="237"/>
      <c r="B47" s="268"/>
      <c r="C47" s="237"/>
      <c r="D47" s="104" t="s">
        <v>91</v>
      </c>
      <c r="E47" s="103">
        <f>F47+G47+H47+I47+J47+K47+L47</f>
        <v>44738467.32</v>
      </c>
      <c r="F47" s="105">
        <f>F11+F17+F23+F29+F35+F41</f>
        <v>6370094</v>
      </c>
      <c r="G47" s="105">
        <f>G11+G17+G23+G29+G35+G41</f>
        <v>6261697.23</v>
      </c>
      <c r="H47" s="105">
        <f>H11+H17+H23+H29+H35+H41</f>
        <v>5948669.76</v>
      </c>
      <c r="I47" s="105">
        <f>I11+I17+I23+I29+I35+I41</f>
        <v>6439998</v>
      </c>
      <c r="J47" s="105">
        <f>J11+J17+J23+J29+J35</f>
        <v>6525832.47</v>
      </c>
      <c r="K47" s="105">
        <f>K11+K17+K23+K29+K35</f>
        <v>6582036.43</v>
      </c>
      <c r="L47" s="105">
        <f>L11+L17+L23+L29+L35</f>
        <v>6610139.43</v>
      </c>
      <c r="M47" s="240"/>
      <c r="N47" s="248"/>
      <c r="O47" s="248"/>
      <c r="P47" s="248"/>
      <c r="Q47" s="248"/>
      <c r="R47" s="248"/>
      <c r="S47" s="248"/>
      <c r="T47" s="248"/>
      <c r="U47" s="251"/>
    </row>
    <row r="48" spans="1:21" ht="13.5" customHeight="1">
      <c r="A48" s="237"/>
      <c r="B48" s="268"/>
      <c r="C48" s="237"/>
      <c r="D48" s="104" t="s">
        <v>89</v>
      </c>
      <c r="E48" s="103">
        <f>F48+G48+H48+I48+J48+K48+L48</f>
        <v>109994500</v>
      </c>
      <c r="F48" s="105">
        <f aca="true" t="shared" si="7" ref="F48:H50">F12+F18+F24+F30+F36</f>
        <v>16180900</v>
      </c>
      <c r="G48" s="105">
        <f t="shared" si="7"/>
        <v>13779800</v>
      </c>
      <c r="H48" s="105">
        <f t="shared" si="7"/>
        <v>14942700</v>
      </c>
      <c r="I48" s="105">
        <f aca="true" t="shared" si="8" ref="I48:L50">I12+I18+I24+I30+I36</f>
        <v>15925900</v>
      </c>
      <c r="J48" s="105">
        <f t="shared" si="8"/>
        <v>16388400</v>
      </c>
      <c r="K48" s="105">
        <f t="shared" si="8"/>
        <v>16388400</v>
      </c>
      <c r="L48" s="105">
        <f t="shared" si="8"/>
        <v>16388400</v>
      </c>
      <c r="M48" s="240"/>
      <c r="N48" s="248"/>
      <c r="O48" s="248"/>
      <c r="P48" s="248"/>
      <c r="Q48" s="248"/>
      <c r="R48" s="248"/>
      <c r="S48" s="248"/>
      <c r="T48" s="248"/>
      <c r="U48" s="251"/>
    </row>
    <row r="49" spans="1:21" ht="13.5" customHeight="1">
      <c r="A49" s="237"/>
      <c r="B49" s="268"/>
      <c r="C49" s="237"/>
      <c r="D49" s="104" t="s">
        <v>90</v>
      </c>
      <c r="E49" s="103">
        <f>F49+G49+H49+I49+J49+K49+L49</f>
        <v>0</v>
      </c>
      <c r="F49" s="105">
        <f t="shared" si="7"/>
        <v>0</v>
      </c>
      <c r="G49" s="105">
        <f t="shared" si="7"/>
        <v>0</v>
      </c>
      <c r="H49" s="105">
        <f t="shared" si="7"/>
        <v>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240"/>
      <c r="N49" s="248"/>
      <c r="O49" s="248"/>
      <c r="P49" s="248"/>
      <c r="Q49" s="248"/>
      <c r="R49" s="248"/>
      <c r="S49" s="248"/>
      <c r="T49" s="248"/>
      <c r="U49" s="251"/>
    </row>
    <row r="50" spans="1:21" ht="13.5" customHeight="1">
      <c r="A50" s="237"/>
      <c r="B50" s="269"/>
      <c r="C50" s="237"/>
      <c r="D50" s="104" t="s">
        <v>92</v>
      </c>
      <c r="E50" s="103">
        <f>F50+G50+H50+I50+J50+K50+L50</f>
        <v>216460019.45</v>
      </c>
      <c r="F50" s="105">
        <f t="shared" si="7"/>
        <v>19837340</v>
      </c>
      <c r="G50" s="105">
        <f t="shared" si="7"/>
        <v>31512579.45</v>
      </c>
      <c r="H50" s="105">
        <f t="shared" si="7"/>
        <v>28310100</v>
      </c>
      <c r="I50" s="105">
        <f t="shared" si="8"/>
        <v>34200000</v>
      </c>
      <c r="J50" s="105">
        <f t="shared" si="8"/>
        <v>34200000</v>
      </c>
      <c r="K50" s="105">
        <f t="shared" si="8"/>
        <v>34200000</v>
      </c>
      <c r="L50" s="105">
        <f t="shared" si="8"/>
        <v>34200000</v>
      </c>
      <c r="M50" s="241"/>
      <c r="N50" s="249"/>
      <c r="O50" s="249"/>
      <c r="P50" s="249"/>
      <c r="Q50" s="249"/>
      <c r="R50" s="249"/>
      <c r="S50" s="249"/>
      <c r="T50" s="249"/>
      <c r="U50" s="252"/>
    </row>
    <row r="51" spans="1:21" ht="13.5" customHeight="1">
      <c r="A51" s="237"/>
      <c r="B51" s="267" t="s">
        <v>255</v>
      </c>
      <c r="C51" s="237"/>
      <c r="D51" s="102" t="s">
        <v>93</v>
      </c>
      <c r="E51" s="103">
        <f aca="true" t="shared" si="9" ref="E51:L51">E53+E54+E55+E56</f>
        <v>371192986.77</v>
      </c>
      <c r="F51" s="103">
        <f t="shared" si="9"/>
        <v>42388334</v>
      </c>
      <c r="G51" s="103">
        <f t="shared" si="9"/>
        <v>51554076.68</v>
      </c>
      <c r="H51" s="103">
        <f t="shared" si="9"/>
        <v>49201469.76</v>
      </c>
      <c r="I51" s="103">
        <f t="shared" si="9"/>
        <v>56565898</v>
      </c>
      <c r="J51" s="103">
        <f t="shared" si="9"/>
        <v>57114232.47</v>
      </c>
      <c r="K51" s="103">
        <f t="shared" si="9"/>
        <v>57170436.43</v>
      </c>
      <c r="L51" s="103">
        <f t="shared" si="9"/>
        <v>57198539.43</v>
      </c>
      <c r="M51" s="239"/>
      <c r="N51" s="247"/>
      <c r="O51" s="247"/>
      <c r="P51" s="247"/>
      <c r="Q51" s="247"/>
      <c r="R51" s="247"/>
      <c r="S51" s="247"/>
      <c r="T51" s="247"/>
      <c r="U51" s="250"/>
    </row>
    <row r="52" spans="1:21" ht="12.75" customHeight="1">
      <c r="A52" s="237"/>
      <c r="B52" s="268"/>
      <c r="C52" s="237"/>
      <c r="D52" s="242" t="s">
        <v>113</v>
      </c>
      <c r="E52" s="243"/>
      <c r="F52" s="243"/>
      <c r="G52" s="243"/>
      <c r="H52" s="243"/>
      <c r="I52" s="243"/>
      <c r="J52" s="243"/>
      <c r="K52" s="243"/>
      <c r="L52" s="244"/>
      <c r="M52" s="240"/>
      <c r="N52" s="248"/>
      <c r="O52" s="248"/>
      <c r="P52" s="248"/>
      <c r="Q52" s="248"/>
      <c r="R52" s="248"/>
      <c r="S52" s="248"/>
      <c r="T52" s="248"/>
      <c r="U52" s="251"/>
    </row>
    <row r="53" spans="1:21" ht="13.5" customHeight="1">
      <c r="A53" s="237"/>
      <c r="B53" s="268"/>
      <c r="C53" s="237"/>
      <c r="D53" s="104" t="s">
        <v>91</v>
      </c>
      <c r="E53" s="103">
        <f>F53+G53+H53+I53+J53+K53+L53</f>
        <v>44738467.32</v>
      </c>
      <c r="F53" s="105">
        <f aca="true" t="shared" si="10" ref="F53:L56">F47</f>
        <v>6370094</v>
      </c>
      <c r="G53" s="105">
        <f t="shared" si="10"/>
        <v>6261697.23</v>
      </c>
      <c r="H53" s="105">
        <f t="shared" si="10"/>
        <v>5948669.76</v>
      </c>
      <c r="I53" s="105">
        <f t="shared" si="10"/>
        <v>6439998</v>
      </c>
      <c r="J53" s="105">
        <f t="shared" si="10"/>
        <v>6525832.47</v>
      </c>
      <c r="K53" s="105">
        <f t="shared" si="10"/>
        <v>6582036.43</v>
      </c>
      <c r="L53" s="105">
        <f t="shared" si="10"/>
        <v>6610139.43</v>
      </c>
      <c r="M53" s="240"/>
      <c r="N53" s="248"/>
      <c r="O53" s="248"/>
      <c r="P53" s="248"/>
      <c r="Q53" s="248"/>
      <c r="R53" s="248"/>
      <c r="S53" s="248"/>
      <c r="T53" s="248"/>
      <c r="U53" s="251"/>
    </row>
    <row r="54" spans="1:21" ht="13.5" customHeight="1">
      <c r="A54" s="237"/>
      <c r="B54" s="268"/>
      <c r="C54" s="237"/>
      <c r="D54" s="104" t="s">
        <v>89</v>
      </c>
      <c r="E54" s="103">
        <f>F54+G54+H54+I54+J54+K54+L54</f>
        <v>109994500</v>
      </c>
      <c r="F54" s="105">
        <f t="shared" si="10"/>
        <v>16180900</v>
      </c>
      <c r="G54" s="105">
        <f t="shared" si="10"/>
        <v>13779800</v>
      </c>
      <c r="H54" s="105">
        <f t="shared" si="10"/>
        <v>14942700</v>
      </c>
      <c r="I54" s="105">
        <f t="shared" si="10"/>
        <v>15925900</v>
      </c>
      <c r="J54" s="105">
        <f t="shared" si="10"/>
        <v>16388400</v>
      </c>
      <c r="K54" s="105">
        <f t="shared" si="10"/>
        <v>16388400</v>
      </c>
      <c r="L54" s="105">
        <f t="shared" si="10"/>
        <v>16388400</v>
      </c>
      <c r="M54" s="240"/>
      <c r="N54" s="248"/>
      <c r="O54" s="248"/>
      <c r="P54" s="248"/>
      <c r="Q54" s="248"/>
      <c r="R54" s="248"/>
      <c r="S54" s="248"/>
      <c r="T54" s="248"/>
      <c r="U54" s="251"/>
    </row>
    <row r="55" spans="1:21" ht="13.5" customHeight="1">
      <c r="A55" s="237"/>
      <c r="B55" s="268"/>
      <c r="C55" s="237"/>
      <c r="D55" s="104" t="s">
        <v>90</v>
      </c>
      <c r="E55" s="103">
        <f>F55+G55+H55+I55+J55+K55+L55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240"/>
      <c r="N55" s="248"/>
      <c r="O55" s="248"/>
      <c r="P55" s="248"/>
      <c r="Q55" s="248"/>
      <c r="R55" s="248"/>
      <c r="S55" s="248"/>
      <c r="T55" s="248"/>
      <c r="U55" s="251"/>
    </row>
    <row r="56" spans="1:21" ht="13.5" customHeight="1">
      <c r="A56" s="237"/>
      <c r="B56" s="269"/>
      <c r="C56" s="237"/>
      <c r="D56" s="104" t="s">
        <v>92</v>
      </c>
      <c r="E56" s="103">
        <f>F56+G56+H56+I56+J56+K56+L56</f>
        <v>216460019.45</v>
      </c>
      <c r="F56" s="105">
        <f t="shared" si="10"/>
        <v>19837340</v>
      </c>
      <c r="G56" s="105">
        <f t="shared" si="10"/>
        <v>31512579.45</v>
      </c>
      <c r="H56" s="105">
        <f t="shared" si="10"/>
        <v>28310100</v>
      </c>
      <c r="I56" s="105">
        <f t="shared" si="10"/>
        <v>34200000</v>
      </c>
      <c r="J56" s="105">
        <f t="shared" si="10"/>
        <v>34200000</v>
      </c>
      <c r="K56" s="105">
        <f t="shared" si="10"/>
        <v>34200000</v>
      </c>
      <c r="L56" s="105">
        <f t="shared" si="10"/>
        <v>34200000</v>
      </c>
      <c r="M56" s="241"/>
      <c r="N56" s="249"/>
      <c r="O56" s="249"/>
      <c r="P56" s="249"/>
      <c r="Q56" s="249"/>
      <c r="R56" s="249"/>
      <c r="S56" s="249"/>
      <c r="T56" s="249"/>
      <c r="U56" s="252"/>
    </row>
    <row r="59" spans="8:9" ht="12.75">
      <c r="H59" s="116"/>
      <c r="I59" s="116"/>
    </row>
    <row r="60" spans="7:9" ht="12.75">
      <c r="G60" s="26"/>
      <c r="H60" s="116"/>
      <c r="I60" s="116"/>
    </row>
    <row r="61" spans="8:9" ht="12.75">
      <c r="H61" s="116"/>
      <c r="I61" s="116"/>
    </row>
    <row r="62" ht="12.75">
      <c r="H62" s="116"/>
    </row>
  </sheetData>
  <sheetProtection/>
  <mergeCells count="115">
    <mergeCell ref="U51:U56"/>
    <mergeCell ref="D52:L52"/>
    <mergeCell ref="O51:O56"/>
    <mergeCell ref="P51:P56"/>
    <mergeCell ref="Q51:Q56"/>
    <mergeCell ref="R51:R56"/>
    <mergeCell ref="S51:S56"/>
    <mergeCell ref="T51:T56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0" customWidth="1"/>
    <col min="2" max="2" width="18.28125" style="130" customWidth="1"/>
    <col min="3" max="7" width="14.28125" style="130" bestFit="1" customWidth="1"/>
    <col min="8" max="8" width="15.7109375" style="130" bestFit="1" customWidth="1"/>
    <col min="9" max="9" width="14.28125" style="130" bestFit="1" customWidth="1"/>
    <col min="10" max="16384" width="9.140625" style="130" customWidth="1"/>
  </cols>
  <sheetData>
    <row r="1" spans="6:10" s="92" customFormat="1" ht="79.5" customHeight="1">
      <c r="F1" s="178" t="s">
        <v>287</v>
      </c>
      <c r="G1" s="179"/>
      <c r="H1" s="179"/>
      <c r="I1" s="179"/>
      <c r="J1" s="129"/>
    </row>
    <row r="2" spans="5:10" ht="18.75" customHeight="1">
      <c r="E2" s="131"/>
      <c r="G2" s="106"/>
      <c r="H2" s="132" t="s">
        <v>39</v>
      </c>
      <c r="J2" s="106"/>
    </row>
    <row r="4" spans="1:9" ht="36.75" customHeight="1">
      <c r="A4" s="199" t="s">
        <v>18</v>
      </c>
      <c r="B4" s="199"/>
      <c r="C4" s="199"/>
      <c r="D4" s="199"/>
      <c r="E4" s="199"/>
      <c r="F4" s="199"/>
      <c r="G4" s="199"/>
      <c r="H4" s="199"/>
      <c r="I4" s="199"/>
    </row>
    <row r="5" spans="1:9" ht="30" customHeight="1">
      <c r="A5" s="200" t="s">
        <v>99</v>
      </c>
      <c r="B5" s="202" t="s">
        <v>100</v>
      </c>
      <c r="C5" s="204" t="s">
        <v>101</v>
      </c>
      <c r="D5" s="204"/>
      <c r="E5" s="204"/>
      <c r="F5" s="204"/>
      <c r="G5" s="204"/>
      <c r="H5" s="204"/>
      <c r="I5" s="204"/>
    </row>
    <row r="6" spans="1:9" ht="16.5" customHeight="1">
      <c r="A6" s="201"/>
      <c r="B6" s="203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57">
        <v>1</v>
      </c>
      <c r="B7" s="134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57">
        <v>9</v>
      </c>
    </row>
    <row r="8" spans="1:9" ht="34.5" customHeight="1">
      <c r="A8" s="136" t="s">
        <v>19</v>
      </c>
      <c r="B8" s="137">
        <f>B10+B11+B12+B13</f>
        <v>116248887.82</v>
      </c>
      <c r="C8" s="137">
        <f aca="true" t="shared" si="0" ref="C8:I8">C10+C11+C12+C13</f>
        <v>17676119</v>
      </c>
      <c r="D8" s="137">
        <f t="shared" si="0"/>
        <v>16780520.299999997</v>
      </c>
      <c r="E8" s="137">
        <f t="shared" si="0"/>
        <v>15441758.7</v>
      </c>
      <c r="F8" s="137">
        <f t="shared" si="0"/>
        <v>17031260</v>
      </c>
      <c r="G8" s="137">
        <f t="shared" si="0"/>
        <v>16449389.94</v>
      </c>
      <c r="H8" s="137">
        <f t="shared" si="0"/>
        <v>16434919.94</v>
      </c>
      <c r="I8" s="137">
        <f t="shared" si="0"/>
        <v>16434919.94</v>
      </c>
    </row>
    <row r="9" spans="1:9" ht="15.75">
      <c r="A9" s="193" t="s">
        <v>102</v>
      </c>
      <c r="B9" s="194"/>
      <c r="C9" s="194"/>
      <c r="D9" s="194"/>
      <c r="E9" s="194"/>
      <c r="F9" s="194"/>
      <c r="G9" s="194"/>
      <c r="H9" s="194"/>
      <c r="I9" s="195"/>
    </row>
    <row r="10" spans="1:9" ht="20.25" customHeight="1">
      <c r="A10" s="138" t="s">
        <v>103</v>
      </c>
      <c r="B10" s="137">
        <f>C10+D10+E10+F10+G10+H10+I10</f>
        <v>63201006.81999999</v>
      </c>
      <c r="C10" s="139">
        <f>C17</f>
        <v>10150939</v>
      </c>
      <c r="D10" s="139">
        <f aca="true" t="shared" si="1" ref="D10:I10">D17</f>
        <v>9058458.299999999</v>
      </c>
      <c r="E10" s="139">
        <f t="shared" si="1"/>
        <v>8455158.7</v>
      </c>
      <c r="F10" s="139">
        <f t="shared" si="1"/>
        <v>8846090</v>
      </c>
      <c r="G10" s="139">
        <f t="shared" si="1"/>
        <v>8896786.94</v>
      </c>
      <c r="H10" s="139">
        <f t="shared" si="1"/>
        <v>8896786.94</v>
      </c>
      <c r="I10" s="139">
        <f t="shared" si="1"/>
        <v>8896786.94</v>
      </c>
    </row>
    <row r="11" spans="1:9" ht="20.25" customHeight="1">
      <c r="A11" s="138" t="s">
        <v>20</v>
      </c>
      <c r="B11" s="137">
        <f>C11+D11+E11+F11+G11+H11+I11</f>
        <v>22561163</v>
      </c>
      <c r="C11" s="139">
        <f aca="true" t="shared" si="2" ref="C11:I13">C18</f>
        <v>3072400</v>
      </c>
      <c r="D11" s="139">
        <f t="shared" si="2"/>
        <v>2824004</v>
      </c>
      <c r="E11" s="139">
        <f t="shared" si="2"/>
        <v>3124600</v>
      </c>
      <c r="F11" s="139">
        <f t="shared" si="2"/>
        <v>3866700</v>
      </c>
      <c r="G11" s="139">
        <f t="shared" si="2"/>
        <v>3234133</v>
      </c>
      <c r="H11" s="139">
        <f t="shared" si="2"/>
        <v>3219663</v>
      </c>
      <c r="I11" s="139">
        <f t="shared" si="2"/>
        <v>3219663</v>
      </c>
    </row>
    <row r="12" spans="1:9" ht="20.25" customHeight="1">
      <c r="A12" s="138" t="s">
        <v>21</v>
      </c>
      <c r="B12" s="137">
        <f>C12+D12+E12+F12+G12+H12+I12</f>
        <v>0</v>
      </c>
      <c r="C12" s="139">
        <f>C19</f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20.25" customHeight="1">
      <c r="A13" s="138" t="s">
        <v>106</v>
      </c>
      <c r="B13" s="137">
        <f>C13+D13+E13+F13+G13+H13+I13</f>
        <v>30486718</v>
      </c>
      <c r="C13" s="139">
        <f t="shared" si="2"/>
        <v>4452780</v>
      </c>
      <c r="D13" s="139">
        <f t="shared" si="2"/>
        <v>4898058</v>
      </c>
      <c r="E13" s="139">
        <f t="shared" si="2"/>
        <v>3862000</v>
      </c>
      <c r="F13" s="139">
        <f t="shared" si="2"/>
        <v>4318470</v>
      </c>
      <c r="G13" s="139">
        <f t="shared" si="2"/>
        <v>4318470</v>
      </c>
      <c r="H13" s="139">
        <f t="shared" si="2"/>
        <v>4318470</v>
      </c>
      <c r="I13" s="139">
        <f t="shared" si="2"/>
        <v>4318470</v>
      </c>
    </row>
    <row r="14" spans="1:9" ht="20.25" customHeight="1">
      <c r="A14" s="196" t="s">
        <v>107</v>
      </c>
      <c r="B14" s="197"/>
      <c r="C14" s="197"/>
      <c r="D14" s="197"/>
      <c r="E14" s="197"/>
      <c r="F14" s="197"/>
      <c r="G14" s="197"/>
      <c r="H14" s="197"/>
      <c r="I14" s="198"/>
    </row>
    <row r="15" spans="1:9" ht="49.5" customHeight="1">
      <c r="A15" s="140" t="s">
        <v>114</v>
      </c>
      <c r="B15" s="137">
        <f>B17+B18+B19+B20</f>
        <v>116248887.82</v>
      </c>
      <c r="C15" s="137">
        <f>C17+C18+C19+C20</f>
        <v>17676119</v>
      </c>
      <c r="D15" s="137">
        <f aca="true" t="shared" si="3" ref="D15:I15">D17+D18+D19+D20</f>
        <v>16780520.299999997</v>
      </c>
      <c r="E15" s="137">
        <f t="shared" si="3"/>
        <v>15441758.7</v>
      </c>
      <c r="F15" s="137">
        <f t="shared" si="3"/>
        <v>17031260</v>
      </c>
      <c r="G15" s="137">
        <f t="shared" si="3"/>
        <v>16449389.94</v>
      </c>
      <c r="H15" s="137">
        <f t="shared" si="3"/>
        <v>16434919.94</v>
      </c>
      <c r="I15" s="137">
        <f t="shared" si="3"/>
        <v>16434919.94</v>
      </c>
    </row>
    <row r="16" spans="1:9" ht="15.75">
      <c r="A16" s="193" t="s">
        <v>102</v>
      </c>
      <c r="B16" s="194"/>
      <c r="C16" s="194"/>
      <c r="D16" s="194"/>
      <c r="E16" s="194"/>
      <c r="F16" s="194"/>
      <c r="G16" s="194"/>
      <c r="H16" s="194"/>
      <c r="I16" s="195"/>
    </row>
    <row r="17" spans="1:9" ht="25.5" customHeight="1">
      <c r="A17" s="138" t="s">
        <v>103</v>
      </c>
      <c r="B17" s="137">
        <f>C17+D17+E17+F17+G17+H17+I17</f>
        <v>63201006.81999999</v>
      </c>
      <c r="C17" s="139">
        <f>'таб 3(7)'!F30</f>
        <v>10150939</v>
      </c>
      <c r="D17" s="139">
        <f>+'таб 3(7)'!G30</f>
        <v>9058458.299999999</v>
      </c>
      <c r="E17" s="139">
        <f>+'таб 3(7)'!H30</f>
        <v>8455158.7</v>
      </c>
      <c r="F17" s="139">
        <f>+'таб 3(7)'!I30</f>
        <v>8846090</v>
      </c>
      <c r="G17" s="139">
        <f>+'таб 3(7)'!J30</f>
        <v>8896786.94</v>
      </c>
      <c r="H17" s="139">
        <f>+'таб 3(7)'!K30</f>
        <v>8896786.94</v>
      </c>
      <c r="I17" s="139">
        <f>+'таб 3(7)'!L30</f>
        <v>8896786.94</v>
      </c>
    </row>
    <row r="18" spans="1:9" ht="25.5" customHeight="1">
      <c r="A18" s="141" t="s">
        <v>20</v>
      </c>
      <c r="B18" s="137">
        <f>C18+D18+E18+F18+G18+H18+I18</f>
        <v>22561163</v>
      </c>
      <c r="C18" s="139">
        <v>3072400</v>
      </c>
      <c r="D18" s="139">
        <f>+'таб 3(7)'!G31</f>
        <v>2824004</v>
      </c>
      <c r="E18" s="139">
        <f>+'таб 3(7)'!H31</f>
        <v>3124600</v>
      </c>
      <c r="F18" s="139">
        <f>+'таб 3(7)'!I31</f>
        <v>3866700</v>
      </c>
      <c r="G18" s="139">
        <f>+'таб 3(7)'!J31</f>
        <v>3234133</v>
      </c>
      <c r="H18" s="139">
        <f>+'таб 3(7)'!K31</f>
        <v>3219663</v>
      </c>
      <c r="I18" s="139">
        <f>+'таб 3(7)'!L31</f>
        <v>3219663</v>
      </c>
    </row>
    <row r="19" spans="1:9" ht="25.5" customHeight="1">
      <c r="A19" s="138" t="s">
        <v>21</v>
      </c>
      <c r="B19" s="137">
        <f>C19+D19+E19+F19+G19+H19+I19</f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ht="25.5" customHeight="1">
      <c r="A20" s="138" t="s">
        <v>106</v>
      </c>
      <c r="B20" s="137">
        <f>C20+D20+E20+F20+G20+H20+I20</f>
        <v>30486718</v>
      </c>
      <c r="C20" s="139">
        <f>'таб 3(7)'!F33</f>
        <v>4452780</v>
      </c>
      <c r="D20" s="139">
        <f>+'таб 3(7)'!G33</f>
        <v>4898058</v>
      </c>
      <c r="E20" s="139">
        <f>+'таб 3(7)'!H33</f>
        <v>3862000</v>
      </c>
      <c r="F20" s="139">
        <f>+'таб 3(7)'!I33</f>
        <v>4318470</v>
      </c>
      <c r="G20" s="139">
        <f>+'таб 3(7)'!J33</f>
        <v>4318470</v>
      </c>
      <c r="H20" s="139">
        <f>+'таб 3(7)'!K33</f>
        <v>4318470</v>
      </c>
      <c r="I20" s="139">
        <f>+'таб 3(7)'!L33</f>
        <v>4318470</v>
      </c>
    </row>
    <row r="21" spans="1:9" ht="30.75" customHeight="1">
      <c r="A21" s="17" t="s">
        <v>108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N2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9" width="13.421875" style="19" customWidth="1"/>
    <col min="10" max="12" width="12.8515625" style="19" bestFit="1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P1" s="178" t="s">
        <v>288</v>
      </c>
      <c r="Q1" s="179"/>
      <c r="R1" s="179"/>
      <c r="S1" s="179"/>
      <c r="T1" s="179"/>
      <c r="U1" s="179"/>
    </row>
    <row r="2" spans="20:21" ht="27" customHeight="1">
      <c r="T2" s="100"/>
      <c r="U2" s="106" t="s">
        <v>169</v>
      </c>
    </row>
    <row r="3" spans="1:21" ht="15.75">
      <c r="A3" s="312" t="s">
        <v>22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</row>
    <row r="4" spans="1:2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7"/>
    </row>
    <row r="5" spans="1:21" ht="31.5" customHeight="1">
      <c r="A5" s="188" t="s">
        <v>97</v>
      </c>
      <c r="B5" s="188" t="s">
        <v>109</v>
      </c>
      <c r="C5" s="188" t="s">
        <v>110</v>
      </c>
      <c r="D5" s="188" t="s">
        <v>99</v>
      </c>
      <c r="E5" s="188" t="s">
        <v>111</v>
      </c>
      <c r="F5" s="188"/>
      <c r="G5" s="188"/>
      <c r="H5" s="188"/>
      <c r="I5" s="188"/>
      <c r="J5" s="188"/>
      <c r="K5" s="188"/>
      <c r="L5" s="188"/>
      <c r="M5" s="188" t="s">
        <v>32</v>
      </c>
      <c r="N5" s="188"/>
      <c r="O5" s="188"/>
      <c r="P5" s="188"/>
      <c r="Q5" s="188"/>
      <c r="R5" s="188"/>
      <c r="S5" s="188"/>
      <c r="T5" s="188"/>
      <c r="U5" s="235" t="s">
        <v>112</v>
      </c>
    </row>
    <row r="6" spans="1:21" ht="21" customHeight="1">
      <c r="A6" s="188"/>
      <c r="B6" s="188"/>
      <c r="C6" s="188"/>
      <c r="D6" s="188"/>
      <c r="E6" s="20" t="s">
        <v>93</v>
      </c>
      <c r="F6" s="6" t="s">
        <v>82</v>
      </c>
      <c r="G6" s="6" t="s">
        <v>83</v>
      </c>
      <c r="H6" s="6" t="s">
        <v>84</v>
      </c>
      <c r="I6" s="6" t="s">
        <v>85</v>
      </c>
      <c r="J6" s="6" t="s">
        <v>86</v>
      </c>
      <c r="K6" s="6" t="s">
        <v>87</v>
      </c>
      <c r="L6" s="6" t="s">
        <v>88</v>
      </c>
      <c r="M6" s="3" t="s">
        <v>98</v>
      </c>
      <c r="N6" s="6" t="s">
        <v>82</v>
      </c>
      <c r="O6" s="6" t="s">
        <v>83</v>
      </c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236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16" t="s">
        <v>170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2.75">
      <c r="A9" s="21">
        <v>1</v>
      </c>
      <c r="B9" s="58" t="s">
        <v>17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26" t="s">
        <v>121</v>
      </c>
      <c r="B10" s="290" t="s">
        <v>177</v>
      </c>
      <c r="C10" s="232" t="s">
        <v>78</v>
      </c>
      <c r="D10" s="22" t="s">
        <v>93</v>
      </c>
      <c r="E10" s="23">
        <f>E12+E13+E14+E15</f>
        <v>80355120.82999998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10293225.899999999</v>
      </c>
      <c r="I10" s="23">
        <f t="shared" si="0"/>
        <v>11893027.2</v>
      </c>
      <c r="J10" s="23">
        <f t="shared" si="0"/>
        <v>11296589.33</v>
      </c>
      <c r="K10" s="23">
        <f t="shared" si="0"/>
        <v>11296589.33</v>
      </c>
      <c r="L10" s="23">
        <f t="shared" si="0"/>
        <v>11296589.33</v>
      </c>
      <c r="M10" s="261" t="s">
        <v>4</v>
      </c>
      <c r="N10" s="211">
        <v>96</v>
      </c>
      <c r="O10" s="211">
        <v>96</v>
      </c>
      <c r="P10" s="211">
        <v>96</v>
      </c>
      <c r="Q10" s="211">
        <v>96</v>
      </c>
      <c r="R10" s="211">
        <v>96</v>
      </c>
      <c r="S10" s="211">
        <v>96</v>
      </c>
      <c r="T10" s="211">
        <v>96</v>
      </c>
      <c r="U10" s="261" t="s">
        <v>202</v>
      </c>
    </row>
    <row r="11" spans="1:21" ht="16.5" customHeight="1">
      <c r="A11" s="226"/>
      <c r="B11" s="291"/>
      <c r="C11" s="233"/>
      <c r="D11" s="219" t="s">
        <v>113</v>
      </c>
      <c r="E11" s="220"/>
      <c r="F11" s="220"/>
      <c r="G11" s="220"/>
      <c r="H11" s="220"/>
      <c r="I11" s="220"/>
      <c r="J11" s="220"/>
      <c r="K11" s="220"/>
      <c r="L11" s="221"/>
      <c r="M11" s="262"/>
      <c r="N11" s="212"/>
      <c r="O11" s="212"/>
      <c r="P11" s="212"/>
      <c r="Q11" s="212"/>
      <c r="R11" s="212"/>
      <c r="S11" s="212"/>
      <c r="T11" s="212"/>
      <c r="U11" s="262"/>
    </row>
    <row r="12" spans="1:21" ht="12.75">
      <c r="A12" s="226"/>
      <c r="B12" s="291"/>
      <c r="C12" s="233"/>
      <c r="D12" s="22" t="s">
        <v>91</v>
      </c>
      <c r="E12" s="23">
        <f>F12+G12+H12+I12+J12+K12+L12</f>
        <v>48648116.82999999</v>
      </c>
      <c r="F12" s="23">
        <f>7560259+440000</f>
        <v>8000259</v>
      </c>
      <c r="G12" s="23">
        <f>6820974.14+107028.6</f>
        <v>6928002.739999999</v>
      </c>
      <c r="H12" s="23">
        <f>7038601.3-607375.4</f>
        <v>6431225.899999999</v>
      </c>
      <c r="I12" s="61">
        <f>6822157.2</f>
        <v>6822157.2</v>
      </c>
      <c r="J12" s="61">
        <f>6472027.21+64013+286117.12</f>
        <v>6822157.33</v>
      </c>
      <c r="K12" s="61">
        <f>6472027.21+64013+286117.12</f>
        <v>6822157.33</v>
      </c>
      <c r="L12" s="61">
        <f>6472027.21+64013+286117.12</f>
        <v>6822157.33</v>
      </c>
      <c r="M12" s="262"/>
      <c r="N12" s="212"/>
      <c r="O12" s="212"/>
      <c r="P12" s="212"/>
      <c r="Q12" s="212"/>
      <c r="R12" s="212"/>
      <c r="S12" s="212"/>
      <c r="T12" s="212"/>
      <c r="U12" s="262"/>
    </row>
    <row r="13" spans="1:21" ht="12.75">
      <c r="A13" s="226"/>
      <c r="B13" s="291"/>
      <c r="C13" s="233"/>
      <c r="D13" s="22" t="s">
        <v>89</v>
      </c>
      <c r="E13" s="23">
        <f>F13+G13+H13+I13+J13+K13+L13</f>
        <v>1220286</v>
      </c>
      <c r="F13" s="23"/>
      <c r="G13" s="23"/>
      <c r="H13" s="23"/>
      <c r="I13" s="167">
        <v>752400</v>
      </c>
      <c r="J13" s="23">
        <v>155962</v>
      </c>
      <c r="K13" s="23">
        <f>155962</f>
        <v>155962</v>
      </c>
      <c r="L13" s="23">
        <v>155962</v>
      </c>
      <c r="M13" s="262"/>
      <c r="N13" s="212"/>
      <c r="O13" s="212"/>
      <c r="P13" s="212"/>
      <c r="Q13" s="212"/>
      <c r="R13" s="212"/>
      <c r="S13" s="212"/>
      <c r="T13" s="212"/>
      <c r="U13" s="262"/>
    </row>
    <row r="14" spans="1:21" ht="12.75" customHeight="1">
      <c r="A14" s="226"/>
      <c r="B14" s="291"/>
      <c r="C14" s="233"/>
      <c r="D14" s="22" t="s">
        <v>90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2"/>
      <c r="N14" s="212"/>
      <c r="O14" s="212"/>
      <c r="P14" s="212"/>
      <c r="Q14" s="212"/>
      <c r="R14" s="212"/>
      <c r="S14" s="212"/>
      <c r="T14" s="212"/>
      <c r="U14" s="262"/>
    </row>
    <row r="15" spans="1:21" ht="18.75" customHeight="1">
      <c r="A15" s="226"/>
      <c r="B15" s="292"/>
      <c r="C15" s="234"/>
      <c r="D15" s="22" t="s">
        <v>92</v>
      </c>
      <c r="E15" s="23">
        <f>F15+G15+H15+I15+J15+K15+L15</f>
        <v>30486718</v>
      </c>
      <c r="F15" s="62">
        <v>4452780</v>
      </c>
      <c r="G15" s="62">
        <v>4898058</v>
      </c>
      <c r="H15" s="62">
        <v>3862000</v>
      </c>
      <c r="I15" s="160">
        <v>4318470</v>
      </c>
      <c r="J15" s="160">
        <v>4318470</v>
      </c>
      <c r="K15" s="160">
        <v>4318470</v>
      </c>
      <c r="L15" s="160">
        <v>4318470</v>
      </c>
      <c r="M15" s="263"/>
      <c r="N15" s="213"/>
      <c r="O15" s="213"/>
      <c r="P15" s="213"/>
      <c r="Q15" s="213"/>
      <c r="R15" s="213"/>
      <c r="S15" s="213"/>
      <c r="T15" s="213"/>
      <c r="U15" s="263"/>
    </row>
    <row r="16" spans="1:21" ht="24" customHeight="1">
      <c r="A16" s="226" t="s">
        <v>122</v>
      </c>
      <c r="B16" s="290" t="s">
        <v>167</v>
      </c>
      <c r="C16" s="232" t="s">
        <v>78</v>
      </c>
      <c r="D16" s="22" t="s">
        <v>93</v>
      </c>
      <c r="E16" s="23">
        <f>E18+E19+E20+E21</f>
        <v>35893766.989999995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5138232.8</v>
      </c>
      <c r="J16" s="23">
        <f t="shared" si="1"/>
        <v>5152800.61</v>
      </c>
      <c r="K16" s="23">
        <f t="shared" si="1"/>
        <v>5138330.61</v>
      </c>
      <c r="L16" s="23">
        <f t="shared" si="1"/>
        <v>5138330.61</v>
      </c>
      <c r="M16" s="261" t="s">
        <v>168</v>
      </c>
      <c r="N16" s="313">
        <v>100</v>
      </c>
      <c r="O16" s="313">
        <v>100</v>
      </c>
      <c r="P16" s="313">
        <v>100</v>
      </c>
      <c r="Q16" s="313">
        <v>100</v>
      </c>
      <c r="R16" s="313">
        <v>100</v>
      </c>
      <c r="S16" s="313">
        <v>100</v>
      </c>
      <c r="T16" s="313">
        <v>100</v>
      </c>
      <c r="U16" s="261" t="s">
        <v>198</v>
      </c>
    </row>
    <row r="17" spans="1:21" ht="16.5" customHeight="1">
      <c r="A17" s="226"/>
      <c r="B17" s="291"/>
      <c r="C17" s="233"/>
      <c r="D17" s="219" t="s">
        <v>113</v>
      </c>
      <c r="E17" s="220"/>
      <c r="F17" s="220"/>
      <c r="G17" s="220"/>
      <c r="H17" s="220"/>
      <c r="I17" s="220"/>
      <c r="J17" s="220"/>
      <c r="K17" s="220"/>
      <c r="L17" s="221"/>
      <c r="M17" s="262"/>
      <c r="N17" s="314"/>
      <c r="O17" s="314"/>
      <c r="P17" s="314"/>
      <c r="Q17" s="314"/>
      <c r="R17" s="314"/>
      <c r="S17" s="314"/>
      <c r="T17" s="314"/>
      <c r="U17" s="262"/>
    </row>
    <row r="18" spans="1:21" ht="18" customHeight="1">
      <c r="A18" s="226"/>
      <c r="B18" s="291"/>
      <c r="C18" s="233"/>
      <c r="D18" s="22" t="s">
        <v>91</v>
      </c>
      <c r="E18" s="23">
        <f>F18+G18+H18+I18+J18+K18+L18</f>
        <v>14552889.989999998</v>
      </c>
      <c r="F18" s="23">
        <v>2150680</v>
      </c>
      <c r="G18" s="23">
        <f>2250093-119637.44</f>
        <v>2130455.56</v>
      </c>
      <c r="H18" s="23">
        <v>2023932.8</v>
      </c>
      <c r="I18" s="23">
        <f>2023932.8</f>
        <v>2023932.8</v>
      </c>
      <c r="J18" s="23">
        <v>2074629.61</v>
      </c>
      <c r="K18" s="23">
        <v>2074629.61</v>
      </c>
      <c r="L18" s="23">
        <v>2074629.61</v>
      </c>
      <c r="M18" s="262"/>
      <c r="N18" s="314"/>
      <c r="O18" s="314"/>
      <c r="P18" s="314"/>
      <c r="Q18" s="314"/>
      <c r="R18" s="314"/>
      <c r="S18" s="314"/>
      <c r="T18" s="314"/>
      <c r="U18" s="262"/>
    </row>
    <row r="19" spans="1:21" ht="12.75" customHeight="1">
      <c r="A19" s="226"/>
      <c r="B19" s="291"/>
      <c r="C19" s="233"/>
      <c r="D19" s="22" t="s">
        <v>89</v>
      </c>
      <c r="E19" s="23">
        <f>F19+G19+H19+I19+J19+K19+L19</f>
        <v>21340877</v>
      </c>
      <c r="F19" s="23">
        <v>3072400</v>
      </c>
      <c r="G19" s="84">
        <f>2920100-96096</f>
        <v>2824004</v>
      </c>
      <c r="H19" s="84">
        <v>3124600</v>
      </c>
      <c r="I19" s="84">
        <f>3866700-752400</f>
        <v>3114300</v>
      </c>
      <c r="J19" s="84">
        <v>3078171</v>
      </c>
      <c r="K19" s="84">
        <v>3063701</v>
      </c>
      <c r="L19" s="84">
        <v>3063701</v>
      </c>
      <c r="M19" s="262"/>
      <c r="N19" s="314"/>
      <c r="O19" s="314"/>
      <c r="P19" s="314"/>
      <c r="Q19" s="314"/>
      <c r="R19" s="314"/>
      <c r="S19" s="314"/>
      <c r="T19" s="314"/>
      <c r="U19" s="262"/>
    </row>
    <row r="20" spans="1:21" ht="12.75" customHeight="1">
      <c r="A20" s="226"/>
      <c r="B20" s="291"/>
      <c r="C20" s="233"/>
      <c r="D20" s="22" t="s">
        <v>90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2"/>
      <c r="N20" s="314"/>
      <c r="O20" s="314"/>
      <c r="P20" s="314"/>
      <c r="Q20" s="314"/>
      <c r="R20" s="314"/>
      <c r="S20" s="314"/>
      <c r="T20" s="314"/>
      <c r="U20" s="262"/>
    </row>
    <row r="21" spans="1:21" ht="24" customHeight="1">
      <c r="A21" s="226"/>
      <c r="B21" s="292"/>
      <c r="C21" s="234"/>
      <c r="D21" s="22" t="s">
        <v>92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63"/>
      <c r="N21" s="315"/>
      <c r="O21" s="315"/>
      <c r="P21" s="315"/>
      <c r="Q21" s="315"/>
      <c r="R21" s="315"/>
      <c r="S21" s="315"/>
      <c r="T21" s="315"/>
      <c r="U21" s="263"/>
    </row>
    <row r="22" spans="1:21" ht="13.5" customHeight="1">
      <c r="A22" s="237"/>
      <c r="B22" s="267" t="s">
        <v>152</v>
      </c>
      <c r="C22" s="237"/>
      <c r="D22" s="102" t="s">
        <v>93</v>
      </c>
      <c r="E22" s="103">
        <f aca="true" t="shared" si="2" ref="E22:L22">E24+E25+E26+E27</f>
        <v>116248887.82</v>
      </c>
      <c r="F22" s="103">
        <f t="shared" si="2"/>
        <v>17676119</v>
      </c>
      <c r="G22" s="103">
        <f>G24+G25+G26+G27</f>
        <v>16780520.299999997</v>
      </c>
      <c r="H22" s="103">
        <f t="shared" si="2"/>
        <v>15441758.7</v>
      </c>
      <c r="I22" s="103">
        <f t="shared" si="2"/>
        <v>17031260</v>
      </c>
      <c r="J22" s="103">
        <f t="shared" si="2"/>
        <v>16449389.94</v>
      </c>
      <c r="K22" s="103">
        <f t="shared" si="2"/>
        <v>16434919.94</v>
      </c>
      <c r="L22" s="103">
        <f t="shared" si="2"/>
        <v>16434919.94</v>
      </c>
      <c r="M22" s="239"/>
      <c r="N22" s="247"/>
      <c r="O22" s="247"/>
      <c r="P22" s="247"/>
      <c r="Q22" s="247"/>
      <c r="R22" s="247"/>
      <c r="S22" s="247"/>
      <c r="T22" s="247"/>
      <c r="U22" s="250"/>
    </row>
    <row r="23" spans="1:21" ht="12.75" customHeight="1">
      <c r="A23" s="237"/>
      <c r="B23" s="268"/>
      <c r="C23" s="237"/>
      <c r="D23" s="242" t="s">
        <v>113</v>
      </c>
      <c r="E23" s="243"/>
      <c r="F23" s="243"/>
      <c r="G23" s="243"/>
      <c r="H23" s="243"/>
      <c r="I23" s="243"/>
      <c r="J23" s="243"/>
      <c r="K23" s="243"/>
      <c r="L23" s="244"/>
      <c r="M23" s="240"/>
      <c r="N23" s="248"/>
      <c r="O23" s="248"/>
      <c r="P23" s="248"/>
      <c r="Q23" s="248"/>
      <c r="R23" s="248"/>
      <c r="S23" s="248"/>
      <c r="T23" s="248"/>
      <c r="U23" s="251"/>
    </row>
    <row r="24" spans="1:21" ht="13.5" customHeight="1">
      <c r="A24" s="237"/>
      <c r="B24" s="268"/>
      <c r="C24" s="237"/>
      <c r="D24" s="104" t="s">
        <v>91</v>
      </c>
      <c r="E24" s="103">
        <f>F24+G24+H24+I24+J24+K24+L24</f>
        <v>63201006.81999999</v>
      </c>
      <c r="F24" s="105">
        <f aca="true" t="shared" si="3" ref="F24:L27">F12+F18</f>
        <v>10150939</v>
      </c>
      <c r="G24" s="105">
        <f t="shared" si="3"/>
        <v>9058458.299999999</v>
      </c>
      <c r="H24" s="105">
        <f t="shared" si="3"/>
        <v>8455158.7</v>
      </c>
      <c r="I24" s="105">
        <f t="shared" si="3"/>
        <v>8846090</v>
      </c>
      <c r="J24" s="105">
        <f t="shared" si="3"/>
        <v>8896786.94</v>
      </c>
      <c r="K24" s="105">
        <f t="shared" si="3"/>
        <v>8896786.94</v>
      </c>
      <c r="L24" s="105">
        <f t="shared" si="3"/>
        <v>8896786.94</v>
      </c>
      <c r="M24" s="240"/>
      <c r="N24" s="248"/>
      <c r="O24" s="248"/>
      <c r="P24" s="248"/>
      <c r="Q24" s="248"/>
      <c r="R24" s="248"/>
      <c r="S24" s="248"/>
      <c r="T24" s="248"/>
      <c r="U24" s="251"/>
    </row>
    <row r="25" spans="1:21" ht="13.5" customHeight="1">
      <c r="A25" s="237"/>
      <c r="B25" s="268"/>
      <c r="C25" s="237"/>
      <c r="D25" s="104" t="s">
        <v>89</v>
      </c>
      <c r="E25" s="103">
        <f>F25+G25+H25+I25+J25+K25+L25</f>
        <v>22561163</v>
      </c>
      <c r="F25" s="105">
        <f aca="true" t="shared" si="4" ref="F25:H27">F13+F19</f>
        <v>3072400</v>
      </c>
      <c r="G25" s="105">
        <f t="shared" si="4"/>
        <v>2824004</v>
      </c>
      <c r="H25" s="105">
        <f t="shared" si="4"/>
        <v>3124600</v>
      </c>
      <c r="I25" s="105">
        <f t="shared" si="3"/>
        <v>3866700</v>
      </c>
      <c r="J25" s="105">
        <f t="shared" si="3"/>
        <v>3234133</v>
      </c>
      <c r="K25" s="105">
        <f t="shared" si="3"/>
        <v>3219663</v>
      </c>
      <c r="L25" s="105">
        <f t="shared" si="3"/>
        <v>3219663</v>
      </c>
      <c r="M25" s="240"/>
      <c r="N25" s="248"/>
      <c r="O25" s="248"/>
      <c r="P25" s="248"/>
      <c r="Q25" s="248"/>
      <c r="R25" s="248"/>
      <c r="S25" s="248"/>
      <c r="T25" s="248"/>
      <c r="U25" s="251"/>
    </row>
    <row r="26" spans="1:21" ht="13.5" customHeight="1">
      <c r="A26" s="237"/>
      <c r="B26" s="268"/>
      <c r="C26" s="237"/>
      <c r="D26" s="104" t="s">
        <v>90</v>
      </c>
      <c r="E26" s="103">
        <f>F26+G26+H26+I26+J26+K26+L26</f>
        <v>0</v>
      </c>
      <c r="F26" s="105">
        <f t="shared" si="4"/>
        <v>0</v>
      </c>
      <c r="G26" s="105">
        <f t="shared" si="4"/>
        <v>0</v>
      </c>
      <c r="H26" s="105">
        <f t="shared" si="4"/>
        <v>0</v>
      </c>
      <c r="I26" s="105">
        <f t="shared" si="3"/>
        <v>0</v>
      </c>
      <c r="J26" s="105">
        <f t="shared" si="3"/>
        <v>0</v>
      </c>
      <c r="K26" s="105">
        <f t="shared" si="3"/>
        <v>0</v>
      </c>
      <c r="L26" s="105">
        <f t="shared" si="3"/>
        <v>0</v>
      </c>
      <c r="M26" s="240"/>
      <c r="N26" s="248"/>
      <c r="O26" s="248"/>
      <c r="P26" s="248"/>
      <c r="Q26" s="248"/>
      <c r="R26" s="248"/>
      <c r="S26" s="248"/>
      <c r="T26" s="248"/>
      <c r="U26" s="251"/>
    </row>
    <row r="27" spans="1:21" ht="13.5" customHeight="1">
      <c r="A27" s="237"/>
      <c r="B27" s="269"/>
      <c r="C27" s="237"/>
      <c r="D27" s="104" t="s">
        <v>92</v>
      </c>
      <c r="E27" s="103">
        <f>F27+G27+H27+I27+J27+K27+L27</f>
        <v>30486718</v>
      </c>
      <c r="F27" s="105">
        <f t="shared" si="4"/>
        <v>4452780</v>
      </c>
      <c r="G27" s="105">
        <f t="shared" si="4"/>
        <v>4898058</v>
      </c>
      <c r="H27" s="105">
        <f t="shared" si="4"/>
        <v>3862000</v>
      </c>
      <c r="I27" s="105">
        <f t="shared" si="3"/>
        <v>4318470</v>
      </c>
      <c r="J27" s="105">
        <f t="shared" si="3"/>
        <v>4318470</v>
      </c>
      <c r="K27" s="105">
        <f t="shared" si="3"/>
        <v>4318470</v>
      </c>
      <c r="L27" s="105">
        <f t="shared" si="3"/>
        <v>4318470</v>
      </c>
      <c r="M27" s="241"/>
      <c r="N27" s="249"/>
      <c r="O27" s="249"/>
      <c r="P27" s="249"/>
      <c r="Q27" s="249"/>
      <c r="R27" s="249"/>
      <c r="S27" s="249"/>
      <c r="T27" s="249"/>
      <c r="U27" s="252"/>
    </row>
    <row r="28" spans="1:21" ht="13.5" customHeight="1">
      <c r="A28" s="237"/>
      <c r="B28" s="267" t="s">
        <v>23</v>
      </c>
      <c r="C28" s="237"/>
      <c r="D28" s="102" t="s">
        <v>93</v>
      </c>
      <c r="E28" s="103">
        <f>E30+E31+E32+E33</f>
        <v>116248887.82</v>
      </c>
      <c r="F28" s="105">
        <f>F16+F22</f>
        <v>22899199</v>
      </c>
      <c r="G28" s="105">
        <f aca="true" t="shared" si="5" ref="G28:L28">+G30+G31+G33</f>
        <v>16780520.299999997</v>
      </c>
      <c r="H28" s="105">
        <f t="shared" si="5"/>
        <v>15441758.7</v>
      </c>
      <c r="I28" s="105">
        <f t="shared" si="5"/>
        <v>17031260</v>
      </c>
      <c r="J28" s="105">
        <f t="shared" si="5"/>
        <v>16449389.94</v>
      </c>
      <c r="K28" s="105">
        <f t="shared" si="5"/>
        <v>16434919.94</v>
      </c>
      <c r="L28" s="105">
        <f t="shared" si="5"/>
        <v>16434919.94</v>
      </c>
      <c r="M28" s="239"/>
      <c r="N28" s="247"/>
      <c r="O28" s="247"/>
      <c r="P28" s="247"/>
      <c r="Q28" s="247"/>
      <c r="R28" s="247"/>
      <c r="S28" s="247"/>
      <c r="T28" s="247"/>
      <c r="U28" s="250"/>
    </row>
    <row r="29" spans="1:21" ht="12.75" customHeight="1">
      <c r="A29" s="237"/>
      <c r="B29" s="268"/>
      <c r="C29" s="237"/>
      <c r="D29" s="242" t="s">
        <v>113</v>
      </c>
      <c r="E29" s="243"/>
      <c r="F29" s="243"/>
      <c r="G29" s="243"/>
      <c r="H29" s="243"/>
      <c r="I29" s="243"/>
      <c r="J29" s="243"/>
      <c r="K29" s="243"/>
      <c r="L29" s="244"/>
      <c r="M29" s="240"/>
      <c r="N29" s="248"/>
      <c r="O29" s="248"/>
      <c r="P29" s="248"/>
      <c r="Q29" s="248"/>
      <c r="R29" s="248"/>
      <c r="S29" s="248"/>
      <c r="T29" s="248"/>
      <c r="U29" s="251"/>
    </row>
    <row r="30" spans="1:21" ht="13.5" customHeight="1">
      <c r="A30" s="237"/>
      <c r="B30" s="268"/>
      <c r="C30" s="237"/>
      <c r="D30" s="104" t="s">
        <v>91</v>
      </c>
      <c r="E30" s="103">
        <f>F30+G30+H30+I30+J30+K30+L30</f>
        <v>63201006.81999999</v>
      </c>
      <c r="F30" s="105">
        <f>F24</f>
        <v>10150939</v>
      </c>
      <c r="G30" s="105">
        <f aca="true" t="shared" si="6" ref="G30:L33">G24</f>
        <v>9058458.299999999</v>
      </c>
      <c r="H30" s="105">
        <f t="shared" si="6"/>
        <v>8455158.7</v>
      </c>
      <c r="I30" s="105">
        <f t="shared" si="6"/>
        <v>8846090</v>
      </c>
      <c r="J30" s="105">
        <f t="shared" si="6"/>
        <v>8896786.94</v>
      </c>
      <c r="K30" s="105">
        <f t="shared" si="6"/>
        <v>8896786.94</v>
      </c>
      <c r="L30" s="105">
        <f t="shared" si="6"/>
        <v>8896786.94</v>
      </c>
      <c r="M30" s="240"/>
      <c r="N30" s="248"/>
      <c r="O30" s="248"/>
      <c r="P30" s="248"/>
      <c r="Q30" s="248"/>
      <c r="R30" s="248"/>
      <c r="S30" s="248"/>
      <c r="T30" s="248"/>
      <c r="U30" s="251"/>
    </row>
    <row r="31" spans="1:21" ht="13.5" customHeight="1">
      <c r="A31" s="237"/>
      <c r="B31" s="268"/>
      <c r="C31" s="237"/>
      <c r="D31" s="104" t="s">
        <v>89</v>
      </c>
      <c r="E31" s="103">
        <f>F31+G31+H31+I31+J31+K31+L31</f>
        <v>22561163</v>
      </c>
      <c r="F31" s="105">
        <f>F25</f>
        <v>3072400</v>
      </c>
      <c r="G31" s="105">
        <f aca="true" t="shared" si="7" ref="G31:H33">G25</f>
        <v>2824004</v>
      </c>
      <c r="H31" s="105">
        <f t="shared" si="7"/>
        <v>3124600</v>
      </c>
      <c r="I31" s="105">
        <f t="shared" si="6"/>
        <v>3866700</v>
      </c>
      <c r="J31" s="105">
        <f t="shared" si="6"/>
        <v>3234133</v>
      </c>
      <c r="K31" s="105">
        <f t="shared" si="6"/>
        <v>3219663</v>
      </c>
      <c r="L31" s="105">
        <f t="shared" si="6"/>
        <v>3219663</v>
      </c>
      <c r="M31" s="240"/>
      <c r="N31" s="248"/>
      <c r="O31" s="248"/>
      <c r="P31" s="248"/>
      <c r="Q31" s="248"/>
      <c r="R31" s="248"/>
      <c r="S31" s="248"/>
      <c r="T31" s="248"/>
      <c r="U31" s="251"/>
    </row>
    <row r="32" spans="1:21" ht="13.5" customHeight="1">
      <c r="A32" s="237"/>
      <c r="B32" s="268"/>
      <c r="C32" s="237"/>
      <c r="D32" s="104" t="s">
        <v>90</v>
      </c>
      <c r="E32" s="103">
        <f>F32+G32+H32+I32+J32+K32+L32</f>
        <v>0</v>
      </c>
      <c r="F32" s="105">
        <f>F26</f>
        <v>0</v>
      </c>
      <c r="G32" s="105">
        <f t="shared" si="7"/>
        <v>0</v>
      </c>
      <c r="H32" s="105">
        <f t="shared" si="7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240"/>
      <c r="N32" s="248"/>
      <c r="O32" s="248"/>
      <c r="P32" s="248"/>
      <c r="Q32" s="248"/>
      <c r="R32" s="248"/>
      <c r="S32" s="248"/>
      <c r="T32" s="248"/>
      <c r="U32" s="251"/>
    </row>
    <row r="33" spans="1:21" ht="13.5" customHeight="1">
      <c r="A33" s="237"/>
      <c r="B33" s="269"/>
      <c r="C33" s="237"/>
      <c r="D33" s="104" t="s">
        <v>92</v>
      </c>
      <c r="E33" s="103">
        <f>F33+G33+H33+I33+J33+K33+L33</f>
        <v>30486718</v>
      </c>
      <c r="F33" s="105">
        <f>F27</f>
        <v>4452780</v>
      </c>
      <c r="G33" s="105">
        <f t="shared" si="7"/>
        <v>4898058</v>
      </c>
      <c r="H33" s="105">
        <f t="shared" si="7"/>
        <v>3862000</v>
      </c>
      <c r="I33" s="105">
        <f t="shared" si="6"/>
        <v>4318470</v>
      </c>
      <c r="J33" s="105">
        <f t="shared" si="6"/>
        <v>4318470</v>
      </c>
      <c r="K33" s="105">
        <f t="shared" si="6"/>
        <v>4318470</v>
      </c>
      <c r="L33" s="105">
        <f t="shared" si="6"/>
        <v>4318470</v>
      </c>
      <c r="M33" s="241"/>
      <c r="N33" s="249"/>
      <c r="O33" s="249"/>
      <c r="P33" s="249"/>
      <c r="Q33" s="249"/>
      <c r="R33" s="249"/>
      <c r="S33" s="249"/>
      <c r="T33" s="249"/>
      <c r="U33" s="252"/>
    </row>
    <row r="36" spans="6:7" ht="12.75">
      <c r="F36" s="108"/>
      <c r="G36" s="26"/>
    </row>
    <row r="37" spans="6:8" ht="12.75">
      <c r="F37" s="108"/>
      <c r="H37" s="25"/>
    </row>
    <row r="38" ht="12.75">
      <c r="F38" s="108"/>
    </row>
    <row r="39" spans="6:8" ht="12.75">
      <c r="F39" s="108"/>
      <c r="H39" s="27"/>
    </row>
    <row r="40" ht="12.75">
      <c r="F40" s="108"/>
    </row>
    <row r="41" ht="12.75">
      <c r="F41" s="108"/>
    </row>
    <row r="42" ht="12.75">
      <c r="F42" s="108"/>
    </row>
  </sheetData>
  <sheetProtection/>
  <mergeCells count="62"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C22:C27"/>
    <mergeCell ref="M22:M27"/>
    <mergeCell ref="R10:R15"/>
    <mergeCell ref="S10:S15"/>
    <mergeCell ref="T10:T15"/>
    <mergeCell ref="T22:T27"/>
    <mergeCell ref="U10:U15"/>
    <mergeCell ref="A16:A21"/>
    <mergeCell ref="M16:M21"/>
    <mergeCell ref="O16:O21"/>
    <mergeCell ref="B16:B21"/>
    <mergeCell ref="C16:C21"/>
    <mergeCell ref="N16:N21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P1:U1"/>
    <mergeCell ref="A3:U3"/>
    <mergeCell ref="A5:A6"/>
    <mergeCell ref="B5:B6"/>
    <mergeCell ref="C5:C6"/>
    <mergeCell ref="D5:D6"/>
    <mergeCell ref="E5:L5"/>
    <mergeCell ref="M5:T5"/>
    <mergeCell ref="U5:U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tabSelected="1" zoomScaleSheetLayoutView="115" zoomScalePageLayoutView="0" workbookViewId="0" topLeftCell="C1">
      <selection activeCell="F1" sqref="F1:I1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8" width="14.28125" style="52" bestFit="1" customWidth="1"/>
    <col min="9" max="9" width="15.140625" style="52" bestFit="1" customWidth="1"/>
    <col min="10" max="10" width="15.57421875" style="52" customWidth="1"/>
    <col min="11" max="11" width="12.57421875" style="52" bestFit="1" customWidth="1"/>
    <col min="12" max="16384" width="9.140625" style="52" customWidth="1"/>
  </cols>
  <sheetData>
    <row r="1" spans="6:10" ht="79.5" customHeight="1">
      <c r="F1" s="316" t="s">
        <v>289</v>
      </c>
      <c r="G1" s="317"/>
      <c r="H1" s="317"/>
      <c r="I1" s="317"/>
      <c r="J1" s="111"/>
    </row>
    <row r="2" spans="5:9" ht="18.75" customHeight="1">
      <c r="E2" s="7"/>
      <c r="G2" s="71"/>
      <c r="H2" s="71"/>
      <c r="I2" s="1" t="s">
        <v>171</v>
      </c>
    </row>
    <row r="4" spans="1:9" ht="36.75" customHeight="1">
      <c r="A4" s="321" t="s">
        <v>25</v>
      </c>
      <c r="B4" s="321"/>
      <c r="C4" s="321"/>
      <c r="D4" s="321"/>
      <c r="E4" s="321"/>
      <c r="F4" s="321"/>
      <c r="G4" s="321"/>
      <c r="H4" s="321"/>
      <c r="I4" s="321"/>
    </row>
    <row r="5" spans="1:9" ht="30" customHeight="1">
      <c r="A5" s="322" t="s">
        <v>99</v>
      </c>
      <c r="B5" s="324" t="s">
        <v>100</v>
      </c>
      <c r="C5" s="326" t="s">
        <v>101</v>
      </c>
      <c r="D5" s="326"/>
      <c r="E5" s="326"/>
      <c r="F5" s="326"/>
      <c r="G5" s="326"/>
      <c r="H5" s="326"/>
      <c r="I5" s="326"/>
    </row>
    <row r="6" spans="1:9" ht="16.5" customHeight="1">
      <c r="A6" s="323"/>
      <c r="B6" s="325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26</v>
      </c>
      <c r="B8" s="70">
        <f>B10+B11+B12+B13</f>
        <v>760019900.78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75942400.7</v>
      </c>
      <c r="F8" s="70">
        <f t="shared" si="0"/>
        <v>19417416.71</v>
      </c>
      <c r="G8" s="70">
        <f t="shared" si="0"/>
        <v>17100000</v>
      </c>
      <c r="H8" s="70">
        <f t="shared" si="0"/>
        <v>0</v>
      </c>
      <c r="I8" s="70">
        <f t="shared" si="0"/>
        <v>0</v>
      </c>
    </row>
    <row r="9" spans="1:9" ht="16.5" customHeight="1">
      <c r="A9" s="318" t="s">
        <v>102</v>
      </c>
      <c r="B9" s="319"/>
      <c r="C9" s="319"/>
      <c r="D9" s="319"/>
      <c r="E9" s="319"/>
      <c r="F9" s="319"/>
      <c r="G9" s="319"/>
      <c r="H9" s="319"/>
      <c r="I9" s="320"/>
    </row>
    <row r="10" spans="1:9" ht="16.5" customHeight="1">
      <c r="A10" s="65" t="s">
        <v>103</v>
      </c>
      <c r="B10" s="70">
        <f>C10+D10+E10+F10+G10+H10+I10</f>
        <v>501068402.86999995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60942400.7</v>
      </c>
      <c r="F10" s="66">
        <f t="shared" si="1"/>
        <v>18642902.98</v>
      </c>
      <c r="G10" s="66">
        <f t="shared" si="1"/>
        <v>17100000</v>
      </c>
      <c r="H10" s="66">
        <f t="shared" si="1"/>
        <v>0</v>
      </c>
      <c r="I10" s="66">
        <f t="shared" si="1"/>
        <v>0</v>
      </c>
    </row>
    <row r="11" spans="1:9" ht="16.5" customHeight="1">
      <c r="A11" s="65" t="s">
        <v>20</v>
      </c>
      <c r="B11" s="70">
        <f>C11+D11+E11+F11+G11+H11+I11</f>
        <v>36380613.73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774513.73</v>
      </c>
      <c r="G11" s="66">
        <f t="shared" si="2"/>
        <v>0</v>
      </c>
      <c r="H11" s="66">
        <f t="shared" si="2"/>
        <v>0</v>
      </c>
      <c r="I11" s="66">
        <f t="shared" si="2"/>
        <v>0</v>
      </c>
    </row>
    <row r="12" spans="1:9" ht="16.5" customHeight="1">
      <c r="A12" s="65" t="s">
        <v>21</v>
      </c>
      <c r="B12" s="70">
        <f>C12+D12+E12+F12+G12+H12+I12</f>
        <v>222570884.18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</row>
    <row r="13" spans="1:9" ht="16.5" customHeight="1">
      <c r="A13" s="65" t="s">
        <v>106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27" t="s">
        <v>107</v>
      </c>
      <c r="B14" s="328"/>
      <c r="C14" s="328"/>
      <c r="D14" s="328"/>
      <c r="E14" s="328"/>
      <c r="F14" s="328"/>
      <c r="G14" s="328"/>
      <c r="H14" s="328"/>
      <c r="I14" s="329"/>
    </row>
    <row r="15" spans="1:11" ht="47.25" customHeight="1">
      <c r="A15" s="73" t="s">
        <v>114</v>
      </c>
      <c r="B15" s="70">
        <f>B17+B18+B19+B20</f>
        <v>111993198.36000001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18380002.98</v>
      </c>
      <c r="G15" s="70">
        <f t="shared" si="3"/>
        <v>15200000</v>
      </c>
      <c r="H15" s="70">
        <f t="shared" si="3"/>
        <v>0</v>
      </c>
      <c r="I15" s="70">
        <f t="shared" si="3"/>
        <v>0</v>
      </c>
      <c r="K15" s="91"/>
    </row>
    <row r="16" spans="1:10" ht="16.5" customHeight="1">
      <c r="A16" s="318" t="s">
        <v>102</v>
      </c>
      <c r="B16" s="319"/>
      <c r="C16" s="319"/>
      <c r="D16" s="319"/>
      <c r="E16" s="319"/>
      <c r="F16" s="319"/>
      <c r="G16" s="319"/>
      <c r="H16" s="319"/>
      <c r="I16" s="320"/>
      <c r="J16" s="91"/>
    </row>
    <row r="17" spans="1:9" ht="16.5" customHeight="1">
      <c r="A17" s="65" t="s">
        <v>103</v>
      </c>
      <c r="B17" s="70">
        <f>C17+D17+E17+F17+G17+H17+I17</f>
        <v>106387098.36000001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f>'таб 3(8)'!I62+'таб 3(8)'!I74+'таб 3(8)'!I80+'таб 3(8)'!I68-262900</f>
        <v>18380002.98</v>
      </c>
      <c r="G17" s="66">
        <f>'таб 3(8)'!J98-1900000</f>
        <v>15200000</v>
      </c>
      <c r="H17" s="66">
        <f>'таб 3(8)'!K98</f>
        <v>0</v>
      </c>
      <c r="I17" s="66">
        <v>0</v>
      </c>
    </row>
    <row r="18" spans="1:10" ht="16.5" customHeight="1">
      <c r="A18" s="65" t="s">
        <v>20</v>
      </c>
      <c r="B18" s="70">
        <f>C18+D18+E18+F18+G18+H18+I18</f>
        <v>5606100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f>'таб 3(8)'!J69</f>
        <v>0</v>
      </c>
      <c r="H18" s="66">
        <v>0</v>
      </c>
      <c r="I18" s="66">
        <v>0</v>
      </c>
      <c r="J18" s="128"/>
    </row>
    <row r="19" spans="1:9" ht="16.5" customHeight="1">
      <c r="A19" s="65" t="s">
        <v>21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106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108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178</v>
      </c>
      <c r="B22" s="70">
        <f>B24+B25+B26+B27</f>
        <v>648026702.4200001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67887939.75</v>
      </c>
      <c r="F22" s="70">
        <f>F24+F25+F26+F27</f>
        <v>1037413.73</v>
      </c>
      <c r="G22" s="70">
        <f t="shared" si="4"/>
        <v>1900000</v>
      </c>
      <c r="H22" s="70">
        <f t="shared" si="4"/>
        <v>0</v>
      </c>
      <c r="I22" s="70">
        <f t="shared" si="4"/>
        <v>0</v>
      </c>
    </row>
    <row r="23" spans="1:9" ht="16.5" customHeight="1">
      <c r="A23" s="318" t="s">
        <v>102</v>
      </c>
      <c r="B23" s="319"/>
      <c r="C23" s="319"/>
      <c r="D23" s="319"/>
      <c r="E23" s="319"/>
      <c r="F23" s="319"/>
      <c r="G23" s="319"/>
      <c r="H23" s="319"/>
      <c r="I23" s="320"/>
    </row>
    <row r="24" spans="1:9" ht="16.5" customHeight="1">
      <c r="A24" s="65" t="s">
        <v>103</v>
      </c>
      <c r="B24" s="70">
        <f>C24+D24+E24+F24+G24+H24+I24</f>
        <v>394681304.51</v>
      </c>
      <c r="C24" s="66">
        <v>186951018.57</v>
      </c>
      <c r="D24" s="88">
        <v>152679446.19</v>
      </c>
      <c r="E24" s="88">
        <f>49779000-15000000+2702387.68+9207002.98+4989967.13+1209581.96</f>
        <v>52887939.75</v>
      </c>
      <c r="F24" s="66">
        <f>'таб 3(8)'!I33+262900</f>
        <v>262900</v>
      </c>
      <c r="G24" s="66">
        <v>1900000</v>
      </c>
      <c r="H24" s="66"/>
      <c r="I24" s="66"/>
    </row>
    <row r="25" spans="1:10" ht="16.5" customHeight="1">
      <c r="A25" s="65" t="s">
        <v>20</v>
      </c>
      <c r="B25" s="70">
        <f>C25+D25+E25+F25+G25+H25+I25</f>
        <v>30774513.73</v>
      </c>
      <c r="C25" s="68"/>
      <c r="D25" s="66">
        <f>+'таб 3(8)'!G12</f>
        <v>15000000</v>
      </c>
      <c r="E25" s="88">
        <v>15000000</v>
      </c>
      <c r="F25" s="66">
        <f>'таб 3(8)'!I12</f>
        <v>774513.73</v>
      </c>
      <c r="G25" s="66"/>
      <c r="H25" s="66"/>
      <c r="I25" s="66"/>
      <c r="J25" s="128"/>
    </row>
    <row r="26" spans="1:9" ht="16.5" customHeight="1">
      <c r="A26" s="65" t="s">
        <v>21</v>
      </c>
      <c r="B26" s="70">
        <f>C26+D26+E26+F26+G26+H26+I26</f>
        <v>222570884.18</v>
      </c>
      <c r="C26" s="66">
        <f>'таб 3(8)'!F100</f>
        <v>153856484.18</v>
      </c>
      <c r="D26" s="66">
        <f>+'таб 3(8)'!G13</f>
        <v>68714400</v>
      </c>
      <c r="E26" s="66">
        <f>+'таб 3(8)'!H100</f>
        <v>0</v>
      </c>
      <c r="F26" s="66"/>
      <c r="G26" s="66"/>
      <c r="H26" s="66"/>
      <c r="I26" s="66"/>
    </row>
    <row r="27" spans="1:9" ht="16.5" customHeight="1">
      <c r="A27" s="65" t="s">
        <v>106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3(8)'!I101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108</v>
      </c>
      <c r="B28" s="70">
        <f>B22</f>
        <v>648026702.4200001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67887939.75</v>
      </c>
      <c r="F28" s="67">
        <f t="shared" si="6"/>
        <v>1037413.73</v>
      </c>
      <c r="G28" s="67">
        <f t="shared" si="6"/>
        <v>1900000</v>
      </c>
      <c r="H28" s="67">
        <f t="shared" si="6"/>
        <v>0</v>
      </c>
      <c r="I28" s="67">
        <f t="shared" si="6"/>
        <v>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9"/>
  <sheetViews>
    <sheetView zoomScaleSheetLayoutView="115" zoomScalePageLayoutView="0" workbookViewId="0" topLeftCell="A1">
      <pane xSplit="3" ySplit="8" topLeftCell="L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8:21" ht="79.5" customHeight="1">
      <c r="H1" s="26"/>
      <c r="J1" s="129"/>
      <c r="K1" s="92"/>
      <c r="L1" s="92"/>
      <c r="P1" s="316" t="s">
        <v>290</v>
      </c>
      <c r="Q1" s="317"/>
      <c r="R1" s="317"/>
      <c r="S1" s="317"/>
      <c r="T1" s="317"/>
      <c r="U1" s="317"/>
    </row>
    <row r="2" spans="20:21" ht="15" customHeight="1">
      <c r="T2" s="100"/>
      <c r="U2" s="106" t="s">
        <v>172</v>
      </c>
    </row>
    <row r="3" spans="1:21" ht="15.75">
      <c r="A3" s="246" t="s">
        <v>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1:21" ht="24.75" customHeight="1">
      <c r="A4" s="188" t="s">
        <v>97</v>
      </c>
      <c r="B4" s="188" t="s">
        <v>109</v>
      </c>
      <c r="C4" s="188" t="s">
        <v>110</v>
      </c>
      <c r="D4" s="188" t="s">
        <v>99</v>
      </c>
      <c r="E4" s="188" t="s">
        <v>111</v>
      </c>
      <c r="F4" s="188"/>
      <c r="G4" s="188"/>
      <c r="H4" s="188"/>
      <c r="I4" s="188"/>
      <c r="J4" s="188"/>
      <c r="K4" s="188"/>
      <c r="L4" s="188"/>
      <c r="M4" s="188" t="s">
        <v>31</v>
      </c>
      <c r="N4" s="188"/>
      <c r="O4" s="188"/>
      <c r="P4" s="188"/>
      <c r="Q4" s="188"/>
      <c r="R4" s="188"/>
      <c r="S4" s="188"/>
      <c r="T4" s="188"/>
      <c r="U4" s="235" t="s">
        <v>112</v>
      </c>
    </row>
    <row r="5" spans="1:21" ht="27.75" customHeight="1">
      <c r="A5" s="188"/>
      <c r="B5" s="188"/>
      <c r="C5" s="188"/>
      <c r="D5" s="188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36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6" t="s">
        <v>29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12.75">
      <c r="A8" s="21">
        <v>1</v>
      </c>
      <c r="B8" s="216" t="s">
        <v>179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2.75">
      <c r="A9" s="336" t="s">
        <v>95</v>
      </c>
      <c r="B9" s="290" t="s">
        <v>53</v>
      </c>
      <c r="C9" s="237">
        <v>2015</v>
      </c>
      <c r="D9" s="109" t="s">
        <v>93</v>
      </c>
      <c r="E9" s="23">
        <f aca="true" t="shared" si="0" ref="E9:L9">E11+E12+E13+E14</f>
        <v>370505619.30999994</v>
      </c>
      <c r="F9" s="23">
        <f t="shared" si="0"/>
        <v>155467418.57</v>
      </c>
      <c r="G9" s="23">
        <f t="shared" si="0"/>
        <v>158184676.87</v>
      </c>
      <c r="H9" s="23">
        <f t="shared" si="0"/>
        <v>56079010.14</v>
      </c>
      <c r="I9" s="23">
        <f t="shared" si="0"/>
        <v>774513.73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31" t="s">
        <v>186</v>
      </c>
      <c r="N9" s="334"/>
      <c r="O9" s="337">
        <v>0</v>
      </c>
      <c r="P9" s="335">
        <v>1</v>
      </c>
      <c r="Q9" s="334"/>
      <c r="R9" s="334"/>
      <c r="S9" s="334"/>
      <c r="T9" s="334"/>
      <c r="U9" s="250" t="s">
        <v>201</v>
      </c>
    </row>
    <row r="10" spans="1:21" ht="12.75">
      <c r="A10" s="237"/>
      <c r="B10" s="291"/>
      <c r="C10" s="237"/>
      <c r="D10" s="219" t="s">
        <v>113</v>
      </c>
      <c r="E10" s="220"/>
      <c r="F10" s="220"/>
      <c r="G10" s="220"/>
      <c r="H10" s="220"/>
      <c r="I10" s="220"/>
      <c r="J10" s="220"/>
      <c r="K10" s="220"/>
      <c r="L10" s="221"/>
      <c r="M10" s="332"/>
      <c r="N10" s="334"/>
      <c r="O10" s="337"/>
      <c r="P10" s="335"/>
      <c r="Q10" s="334"/>
      <c r="R10" s="334"/>
      <c r="S10" s="334"/>
      <c r="T10" s="334"/>
      <c r="U10" s="251"/>
    </row>
    <row r="11" spans="1:21" ht="12.75">
      <c r="A11" s="237"/>
      <c r="B11" s="291"/>
      <c r="C11" s="237"/>
      <c r="D11" s="22" t="s">
        <v>91</v>
      </c>
      <c r="E11" s="23">
        <f>F11+G11+H11+I11+J11+K11+L11</f>
        <v>146266705.57999998</v>
      </c>
      <c r="F11" s="23">
        <f>53237500-22520081.43</f>
        <v>30717418.57</v>
      </c>
      <c r="G11" s="23">
        <v>74470276.87</v>
      </c>
      <c r="H11" s="23">
        <f>34779000+6300010.14</f>
        <v>41079010.14</v>
      </c>
      <c r="I11" s="23">
        <v>0</v>
      </c>
      <c r="J11" s="23">
        <v>0</v>
      </c>
      <c r="K11" s="23">
        <v>0</v>
      </c>
      <c r="L11" s="23">
        <v>0</v>
      </c>
      <c r="M11" s="332"/>
      <c r="N11" s="334"/>
      <c r="O11" s="337"/>
      <c r="P11" s="335"/>
      <c r="Q11" s="334"/>
      <c r="R11" s="334"/>
      <c r="S11" s="334"/>
      <c r="T11" s="334"/>
      <c r="U11" s="251"/>
    </row>
    <row r="12" spans="1:21" ht="12.75">
      <c r="A12" s="237"/>
      <c r="B12" s="291"/>
      <c r="C12" s="237"/>
      <c r="D12" s="22" t="s">
        <v>89</v>
      </c>
      <c r="E12" s="23">
        <f>F12+G12+H12+I12+J12+K12+L12</f>
        <v>30774513.73</v>
      </c>
      <c r="F12" s="23">
        <v>0</v>
      </c>
      <c r="G12" s="23">
        <v>15000000</v>
      </c>
      <c r="H12" s="23">
        <v>15000000</v>
      </c>
      <c r="I12" s="23">
        <v>774513.73</v>
      </c>
      <c r="J12" s="23">
        <v>0</v>
      </c>
      <c r="K12" s="23">
        <v>0</v>
      </c>
      <c r="L12" s="23">
        <v>0</v>
      </c>
      <c r="M12" s="332"/>
      <c r="N12" s="334"/>
      <c r="O12" s="337"/>
      <c r="P12" s="335"/>
      <c r="Q12" s="334"/>
      <c r="R12" s="334"/>
      <c r="S12" s="334"/>
      <c r="T12" s="334"/>
      <c r="U12" s="251"/>
    </row>
    <row r="13" spans="1:21" ht="12.75">
      <c r="A13" s="237"/>
      <c r="B13" s="291"/>
      <c r="C13" s="237"/>
      <c r="D13" s="22" t="s">
        <v>90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32"/>
      <c r="N13" s="334"/>
      <c r="O13" s="337"/>
      <c r="P13" s="335"/>
      <c r="Q13" s="334"/>
      <c r="R13" s="334"/>
      <c r="S13" s="334"/>
      <c r="T13" s="334"/>
      <c r="U13" s="251"/>
    </row>
    <row r="14" spans="1:21" ht="12.75">
      <c r="A14" s="237"/>
      <c r="B14" s="292"/>
      <c r="C14" s="237"/>
      <c r="D14" s="22" t="s">
        <v>92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33"/>
      <c r="N14" s="334"/>
      <c r="O14" s="337"/>
      <c r="P14" s="335"/>
      <c r="Q14" s="334"/>
      <c r="R14" s="334"/>
      <c r="S14" s="334"/>
      <c r="T14" s="334"/>
      <c r="U14" s="252"/>
    </row>
    <row r="15" spans="1:21" ht="12.75">
      <c r="A15" s="336" t="s">
        <v>94</v>
      </c>
      <c r="B15" s="290" t="s">
        <v>208</v>
      </c>
      <c r="C15" s="237">
        <v>2015</v>
      </c>
      <c r="D15" s="109" t="s">
        <v>93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31" t="s">
        <v>205</v>
      </c>
      <c r="N15" s="334"/>
      <c r="O15" s="337">
        <v>1</v>
      </c>
      <c r="P15" s="335"/>
      <c r="Q15" s="334"/>
      <c r="R15" s="334"/>
      <c r="S15" s="334"/>
      <c r="T15" s="334"/>
      <c r="U15" s="250" t="s">
        <v>201</v>
      </c>
    </row>
    <row r="16" spans="1:21" ht="12.75">
      <c r="A16" s="237"/>
      <c r="B16" s="291"/>
      <c r="C16" s="237"/>
      <c r="D16" s="219" t="s">
        <v>113</v>
      </c>
      <c r="E16" s="220"/>
      <c r="F16" s="220"/>
      <c r="G16" s="220"/>
      <c r="H16" s="220"/>
      <c r="I16" s="220"/>
      <c r="J16" s="220"/>
      <c r="K16" s="220"/>
      <c r="L16" s="221"/>
      <c r="M16" s="332"/>
      <c r="N16" s="334"/>
      <c r="O16" s="337"/>
      <c r="P16" s="335"/>
      <c r="Q16" s="334"/>
      <c r="R16" s="334"/>
      <c r="S16" s="334"/>
      <c r="T16" s="334"/>
      <c r="U16" s="251"/>
    </row>
    <row r="17" spans="1:21" ht="14.25" customHeight="1">
      <c r="A17" s="237"/>
      <c r="B17" s="291"/>
      <c r="C17" s="237"/>
      <c r="D17" s="22" t="s">
        <v>91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32"/>
      <c r="N17" s="334"/>
      <c r="O17" s="337"/>
      <c r="P17" s="335"/>
      <c r="Q17" s="334"/>
      <c r="R17" s="334"/>
      <c r="S17" s="334"/>
      <c r="T17" s="334"/>
      <c r="U17" s="251"/>
    </row>
    <row r="18" spans="1:21" ht="12.75">
      <c r="A18" s="237"/>
      <c r="B18" s="291"/>
      <c r="C18" s="237"/>
      <c r="D18" s="22" t="s">
        <v>89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32"/>
      <c r="N18" s="334"/>
      <c r="O18" s="337"/>
      <c r="P18" s="335"/>
      <c r="Q18" s="334"/>
      <c r="R18" s="334"/>
      <c r="S18" s="334"/>
      <c r="T18" s="334"/>
      <c r="U18" s="251"/>
    </row>
    <row r="19" spans="1:21" ht="12.75">
      <c r="A19" s="237"/>
      <c r="B19" s="291"/>
      <c r="C19" s="237"/>
      <c r="D19" s="22" t="s">
        <v>90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32"/>
      <c r="N19" s="334"/>
      <c r="O19" s="337"/>
      <c r="P19" s="335"/>
      <c r="Q19" s="334"/>
      <c r="R19" s="334"/>
      <c r="S19" s="334"/>
      <c r="T19" s="334"/>
      <c r="U19" s="251"/>
    </row>
    <row r="20" spans="1:21" ht="12.75">
      <c r="A20" s="237"/>
      <c r="B20" s="292"/>
      <c r="C20" s="237"/>
      <c r="D20" s="22" t="s">
        <v>92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33"/>
      <c r="N20" s="334"/>
      <c r="O20" s="337"/>
      <c r="P20" s="335"/>
      <c r="Q20" s="334"/>
      <c r="R20" s="334"/>
      <c r="S20" s="334"/>
      <c r="T20" s="334"/>
      <c r="U20" s="252"/>
    </row>
    <row r="21" spans="1:21" ht="12.75" customHeight="1" hidden="1">
      <c r="A21" s="237" t="s">
        <v>96</v>
      </c>
      <c r="B21" s="290" t="s">
        <v>206</v>
      </c>
      <c r="C21" s="237">
        <v>2015</v>
      </c>
      <c r="D21" s="22" t="s">
        <v>93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31" t="s">
        <v>186</v>
      </c>
      <c r="N21" s="211"/>
      <c r="O21" s="205">
        <v>1</v>
      </c>
      <c r="P21" s="345"/>
      <c r="Q21" s="211"/>
      <c r="R21" s="211"/>
      <c r="S21" s="211"/>
      <c r="T21" s="211"/>
      <c r="U21" s="250" t="s">
        <v>201</v>
      </c>
    </row>
    <row r="22" spans="1:21" ht="12.75" hidden="1">
      <c r="A22" s="237"/>
      <c r="B22" s="291"/>
      <c r="C22" s="237"/>
      <c r="D22" s="219" t="s">
        <v>113</v>
      </c>
      <c r="E22" s="220"/>
      <c r="F22" s="220"/>
      <c r="G22" s="220"/>
      <c r="H22" s="220"/>
      <c r="I22" s="220"/>
      <c r="J22" s="220"/>
      <c r="K22" s="220"/>
      <c r="L22" s="221"/>
      <c r="M22" s="338"/>
      <c r="N22" s="276"/>
      <c r="O22" s="276"/>
      <c r="P22" s="346"/>
      <c r="Q22" s="276"/>
      <c r="R22" s="276"/>
      <c r="S22" s="276"/>
      <c r="T22" s="276"/>
      <c r="U22" s="251"/>
    </row>
    <row r="23" spans="1:21" ht="14.25" customHeight="1" hidden="1">
      <c r="A23" s="237"/>
      <c r="B23" s="291"/>
      <c r="C23" s="237"/>
      <c r="D23" s="22" t="s">
        <v>91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39"/>
      <c r="N23" s="277"/>
      <c r="O23" s="277"/>
      <c r="P23" s="347"/>
      <c r="Q23" s="277"/>
      <c r="R23" s="277"/>
      <c r="S23" s="277"/>
      <c r="T23" s="277"/>
      <c r="U23" s="251"/>
    </row>
    <row r="24" spans="1:21" ht="12.75" hidden="1">
      <c r="A24" s="237"/>
      <c r="B24" s="291"/>
      <c r="C24" s="237"/>
      <c r="D24" s="22" t="s">
        <v>89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31" t="s">
        <v>204</v>
      </c>
      <c r="N24" s="211"/>
      <c r="O24" s="205"/>
      <c r="P24" s="345">
        <v>1</v>
      </c>
      <c r="Q24" s="211"/>
      <c r="R24" s="211"/>
      <c r="S24" s="211"/>
      <c r="T24" s="211"/>
      <c r="U24" s="251"/>
    </row>
    <row r="25" spans="1:21" ht="12.75" hidden="1">
      <c r="A25" s="237"/>
      <c r="B25" s="291"/>
      <c r="C25" s="237"/>
      <c r="D25" s="22" t="s">
        <v>90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38"/>
      <c r="N25" s="276"/>
      <c r="O25" s="276"/>
      <c r="P25" s="346"/>
      <c r="Q25" s="276"/>
      <c r="R25" s="276"/>
      <c r="S25" s="276"/>
      <c r="T25" s="276"/>
      <c r="U25" s="251"/>
    </row>
    <row r="26" spans="1:21" ht="27.75" customHeight="1" hidden="1">
      <c r="A26" s="237"/>
      <c r="B26" s="292"/>
      <c r="C26" s="237"/>
      <c r="D26" s="22" t="s">
        <v>92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39"/>
      <c r="N26" s="277"/>
      <c r="O26" s="277"/>
      <c r="P26" s="347"/>
      <c r="Q26" s="277"/>
      <c r="R26" s="277"/>
      <c r="S26" s="277"/>
      <c r="T26" s="277"/>
      <c r="U26" s="252"/>
    </row>
    <row r="27" spans="1:21" ht="12.75" hidden="1">
      <c r="A27" s="237" t="s">
        <v>197</v>
      </c>
      <c r="B27" s="227" t="s">
        <v>207</v>
      </c>
      <c r="C27" s="237">
        <v>2015</v>
      </c>
      <c r="D27" s="22" t="s">
        <v>93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31" t="s">
        <v>205</v>
      </c>
      <c r="N27" s="211"/>
      <c r="O27" s="205">
        <v>1</v>
      </c>
      <c r="P27" s="345"/>
      <c r="Q27" s="211"/>
      <c r="R27" s="211"/>
      <c r="S27" s="211"/>
      <c r="T27" s="211"/>
      <c r="U27" s="250" t="s">
        <v>201</v>
      </c>
    </row>
    <row r="28" spans="1:21" ht="12.75" customHeight="1" hidden="1">
      <c r="A28" s="237"/>
      <c r="B28" s="227"/>
      <c r="C28" s="237"/>
      <c r="D28" s="219" t="s">
        <v>113</v>
      </c>
      <c r="E28" s="220"/>
      <c r="F28" s="220"/>
      <c r="G28" s="220"/>
      <c r="H28" s="220"/>
      <c r="I28" s="220"/>
      <c r="J28" s="220"/>
      <c r="K28" s="220"/>
      <c r="L28" s="221"/>
      <c r="M28" s="338"/>
      <c r="N28" s="276"/>
      <c r="O28" s="276"/>
      <c r="P28" s="276"/>
      <c r="Q28" s="276"/>
      <c r="R28" s="276"/>
      <c r="S28" s="276"/>
      <c r="T28" s="276"/>
      <c r="U28" s="251"/>
    </row>
    <row r="29" spans="1:21" ht="15" customHeight="1" hidden="1">
      <c r="A29" s="237"/>
      <c r="B29" s="227"/>
      <c r="C29" s="237"/>
      <c r="D29" s="22" t="s">
        <v>91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38"/>
      <c r="N29" s="276"/>
      <c r="O29" s="276"/>
      <c r="P29" s="276"/>
      <c r="Q29" s="276"/>
      <c r="R29" s="276"/>
      <c r="S29" s="276"/>
      <c r="T29" s="276"/>
      <c r="U29" s="251"/>
    </row>
    <row r="30" spans="1:21" ht="12.75" hidden="1">
      <c r="A30" s="237"/>
      <c r="B30" s="227"/>
      <c r="C30" s="237"/>
      <c r="D30" s="22" t="s">
        <v>89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38"/>
      <c r="N30" s="276"/>
      <c r="O30" s="276"/>
      <c r="P30" s="276"/>
      <c r="Q30" s="276"/>
      <c r="R30" s="276"/>
      <c r="S30" s="276"/>
      <c r="T30" s="276"/>
      <c r="U30" s="251"/>
    </row>
    <row r="31" spans="1:21" ht="12.75" customHeight="1" hidden="1">
      <c r="A31" s="237"/>
      <c r="B31" s="227"/>
      <c r="C31" s="237"/>
      <c r="D31" s="22" t="s">
        <v>90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38"/>
      <c r="N31" s="276"/>
      <c r="O31" s="276"/>
      <c r="P31" s="276"/>
      <c r="Q31" s="276"/>
      <c r="R31" s="276"/>
      <c r="S31" s="276"/>
      <c r="T31" s="276"/>
      <c r="U31" s="251"/>
    </row>
    <row r="32" spans="1:21" ht="29.25" customHeight="1" hidden="1">
      <c r="A32" s="237"/>
      <c r="B32" s="227"/>
      <c r="C32" s="237"/>
      <c r="D32" s="22" t="s">
        <v>92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39"/>
      <c r="N32" s="277"/>
      <c r="O32" s="277"/>
      <c r="P32" s="277"/>
      <c r="Q32" s="277"/>
      <c r="R32" s="277"/>
      <c r="S32" s="277"/>
      <c r="T32" s="277"/>
      <c r="U32" s="252"/>
    </row>
    <row r="33" spans="1:21" ht="12.75">
      <c r="A33" s="330" t="s">
        <v>96</v>
      </c>
      <c r="B33" s="227" t="s">
        <v>54</v>
      </c>
      <c r="C33" s="237">
        <v>2017</v>
      </c>
      <c r="D33" s="22" t="s">
        <v>93</v>
      </c>
      <c r="E33" s="23">
        <f aca="true" t="shared" si="4" ref="E33:L33">E35+E36+E37+E38</f>
        <v>2430000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31" t="s">
        <v>186</v>
      </c>
      <c r="N33" s="334"/>
      <c r="O33" s="337">
        <v>1</v>
      </c>
      <c r="P33" s="337"/>
      <c r="Q33" s="337"/>
      <c r="R33" s="334"/>
      <c r="S33" s="334"/>
      <c r="T33" s="334"/>
      <c r="U33" s="250" t="s">
        <v>187</v>
      </c>
    </row>
    <row r="34" spans="1:21" ht="12.75">
      <c r="A34" s="237"/>
      <c r="B34" s="227"/>
      <c r="C34" s="237"/>
      <c r="D34" s="219" t="s">
        <v>113</v>
      </c>
      <c r="E34" s="220"/>
      <c r="F34" s="220"/>
      <c r="G34" s="220"/>
      <c r="H34" s="220"/>
      <c r="I34" s="220"/>
      <c r="J34" s="220"/>
      <c r="K34" s="220"/>
      <c r="L34" s="221"/>
      <c r="M34" s="332"/>
      <c r="N34" s="334"/>
      <c r="O34" s="337"/>
      <c r="P34" s="337"/>
      <c r="Q34" s="337"/>
      <c r="R34" s="334"/>
      <c r="S34" s="334"/>
      <c r="T34" s="334"/>
      <c r="U34" s="251"/>
    </row>
    <row r="35" spans="1:21" ht="12.75">
      <c r="A35" s="237"/>
      <c r="B35" s="227"/>
      <c r="C35" s="237"/>
      <c r="D35" s="22" t="s">
        <v>91</v>
      </c>
      <c r="E35" s="23">
        <f>F35+G35+H35+I35+J35+K35+L35</f>
        <v>2430000</v>
      </c>
      <c r="F35" s="23">
        <v>0</v>
      </c>
      <c r="G35" s="23">
        <v>2430000</v>
      </c>
      <c r="H35" s="23">
        <v>0</v>
      </c>
      <c r="I35" s="23"/>
      <c r="J35" s="23">
        <v>0</v>
      </c>
      <c r="K35" s="23">
        <v>0</v>
      </c>
      <c r="L35" s="23">
        <v>0</v>
      </c>
      <c r="M35" s="332"/>
      <c r="N35" s="334"/>
      <c r="O35" s="337"/>
      <c r="P35" s="337"/>
      <c r="Q35" s="337"/>
      <c r="R35" s="334"/>
      <c r="S35" s="334"/>
      <c r="T35" s="334"/>
      <c r="U35" s="251"/>
    </row>
    <row r="36" spans="1:21" ht="12.75">
      <c r="A36" s="237"/>
      <c r="B36" s="227"/>
      <c r="C36" s="237"/>
      <c r="D36" s="22" t="s">
        <v>89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32"/>
      <c r="N36" s="334"/>
      <c r="O36" s="337"/>
      <c r="P36" s="337"/>
      <c r="Q36" s="337"/>
      <c r="R36" s="334"/>
      <c r="S36" s="334"/>
      <c r="T36" s="334"/>
      <c r="U36" s="251"/>
    </row>
    <row r="37" spans="1:21" ht="12.75">
      <c r="A37" s="237"/>
      <c r="B37" s="227"/>
      <c r="C37" s="237"/>
      <c r="D37" s="22" t="s">
        <v>90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32"/>
      <c r="N37" s="334"/>
      <c r="O37" s="337"/>
      <c r="P37" s="337"/>
      <c r="Q37" s="337"/>
      <c r="R37" s="334"/>
      <c r="S37" s="334"/>
      <c r="T37" s="334"/>
      <c r="U37" s="251"/>
    </row>
    <row r="38" spans="1:21" ht="12.75">
      <c r="A38" s="237"/>
      <c r="B38" s="227"/>
      <c r="C38" s="237"/>
      <c r="D38" s="22" t="s">
        <v>92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33"/>
      <c r="N38" s="334"/>
      <c r="O38" s="337"/>
      <c r="P38" s="337"/>
      <c r="Q38" s="337"/>
      <c r="R38" s="334"/>
      <c r="S38" s="334"/>
      <c r="T38" s="334"/>
      <c r="U38" s="252"/>
    </row>
    <row r="39" spans="1:21" ht="12.75">
      <c r="A39" s="226" t="s">
        <v>197</v>
      </c>
      <c r="B39" s="290" t="s">
        <v>199</v>
      </c>
      <c r="C39" s="232" t="s">
        <v>78</v>
      </c>
      <c r="D39" s="22" t="s">
        <v>93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31" t="s">
        <v>186</v>
      </c>
      <c r="N39" s="205">
        <v>1</v>
      </c>
      <c r="O39" s="205"/>
      <c r="P39" s="211"/>
      <c r="Q39" s="211"/>
      <c r="R39" s="211"/>
      <c r="S39" s="211"/>
      <c r="T39" s="211"/>
      <c r="U39" s="261" t="s">
        <v>28</v>
      </c>
    </row>
    <row r="40" spans="1:21" ht="12.75">
      <c r="A40" s="226"/>
      <c r="B40" s="291"/>
      <c r="C40" s="233"/>
      <c r="D40" s="219" t="s">
        <v>113</v>
      </c>
      <c r="E40" s="220"/>
      <c r="F40" s="220"/>
      <c r="G40" s="220"/>
      <c r="H40" s="220"/>
      <c r="I40" s="220"/>
      <c r="J40" s="220"/>
      <c r="K40" s="220"/>
      <c r="L40" s="221"/>
      <c r="M40" s="332"/>
      <c r="N40" s="206"/>
      <c r="O40" s="206"/>
      <c r="P40" s="212"/>
      <c r="Q40" s="212"/>
      <c r="R40" s="212"/>
      <c r="S40" s="212"/>
      <c r="T40" s="212"/>
      <c r="U40" s="262"/>
    </row>
    <row r="41" spans="1:21" ht="12.75">
      <c r="A41" s="226"/>
      <c r="B41" s="291"/>
      <c r="C41" s="233"/>
      <c r="D41" s="22" t="s">
        <v>91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32"/>
      <c r="N41" s="206"/>
      <c r="O41" s="206"/>
      <c r="P41" s="212"/>
      <c r="Q41" s="212"/>
      <c r="R41" s="212"/>
      <c r="S41" s="212"/>
      <c r="T41" s="212"/>
      <c r="U41" s="262"/>
    </row>
    <row r="42" spans="1:21" ht="12.75">
      <c r="A42" s="226"/>
      <c r="B42" s="291"/>
      <c r="C42" s="233"/>
      <c r="D42" s="22" t="s">
        <v>89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32"/>
      <c r="N42" s="206"/>
      <c r="O42" s="206"/>
      <c r="P42" s="212"/>
      <c r="Q42" s="212"/>
      <c r="R42" s="212"/>
      <c r="S42" s="212"/>
      <c r="T42" s="212"/>
      <c r="U42" s="262"/>
    </row>
    <row r="43" spans="1:21" ht="12.75">
      <c r="A43" s="226"/>
      <c r="B43" s="291"/>
      <c r="C43" s="233"/>
      <c r="D43" s="22" t="s">
        <v>90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32"/>
      <c r="N43" s="206"/>
      <c r="O43" s="206"/>
      <c r="P43" s="212"/>
      <c r="Q43" s="212"/>
      <c r="R43" s="212"/>
      <c r="S43" s="212"/>
      <c r="T43" s="212"/>
      <c r="U43" s="262"/>
    </row>
    <row r="44" spans="1:21" ht="43.5" customHeight="1">
      <c r="A44" s="226"/>
      <c r="B44" s="292"/>
      <c r="C44" s="234"/>
      <c r="D44" s="22" t="s">
        <v>92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33"/>
      <c r="N44" s="207"/>
      <c r="O44" s="207"/>
      <c r="P44" s="213"/>
      <c r="Q44" s="213"/>
      <c r="R44" s="213"/>
      <c r="S44" s="213"/>
      <c r="T44" s="213"/>
      <c r="U44" s="263"/>
    </row>
    <row r="45" spans="1:21" ht="32.25" customHeight="1">
      <c r="A45" s="278" t="s">
        <v>209</v>
      </c>
      <c r="B45" s="290" t="s">
        <v>200</v>
      </c>
      <c r="C45" s="232">
        <v>2015</v>
      </c>
      <c r="D45" s="22" t="s">
        <v>93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38"/>
      <c r="B46" s="340"/>
      <c r="C46" s="338"/>
      <c r="D46" s="22" t="s">
        <v>113</v>
      </c>
      <c r="E46" s="342"/>
      <c r="F46" s="343"/>
      <c r="G46" s="343"/>
      <c r="H46" s="343"/>
      <c r="I46" s="343"/>
      <c r="J46" s="343"/>
      <c r="K46" s="343"/>
      <c r="L46" s="344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38"/>
      <c r="B47" s="340"/>
      <c r="C47" s="338"/>
      <c r="D47" s="22" t="s">
        <v>91</v>
      </c>
      <c r="E47" s="23">
        <v>0</v>
      </c>
      <c r="F47" s="23">
        <v>0</v>
      </c>
      <c r="G47" s="23">
        <v>1398920.28</v>
      </c>
      <c r="H47" s="110"/>
      <c r="I47" s="110"/>
      <c r="J47" s="110"/>
      <c r="K47" s="110"/>
      <c r="L47" s="110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39"/>
      <c r="B48" s="341"/>
      <c r="C48" s="339"/>
      <c r="D48" s="22" t="s">
        <v>89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21.75" customHeight="1">
      <c r="A49" s="349" t="s">
        <v>271</v>
      </c>
      <c r="B49" s="350" t="s">
        <v>272</v>
      </c>
      <c r="C49" s="349">
        <v>2018</v>
      </c>
      <c r="D49" s="22" t="s">
        <v>93</v>
      </c>
      <c r="E49" s="23">
        <f>E51+E52</f>
        <v>1900000</v>
      </c>
      <c r="F49" s="23">
        <f aca="true" t="shared" si="7" ref="F49:L49">F51+F52</f>
        <v>0</v>
      </c>
      <c r="G49" s="23">
        <f t="shared" si="7"/>
        <v>0</v>
      </c>
      <c r="H49" s="23">
        <f t="shared" si="7"/>
        <v>0</v>
      </c>
      <c r="I49" s="23">
        <f t="shared" si="7"/>
        <v>0</v>
      </c>
      <c r="J49" s="23">
        <f t="shared" si="7"/>
        <v>1900000</v>
      </c>
      <c r="K49" s="23">
        <f t="shared" si="7"/>
        <v>0</v>
      </c>
      <c r="L49" s="23">
        <f t="shared" si="7"/>
        <v>0</v>
      </c>
      <c r="M49" s="353" t="s">
        <v>273</v>
      </c>
      <c r="N49" s="337"/>
      <c r="O49" s="337"/>
      <c r="P49" s="337"/>
      <c r="Q49" s="337"/>
      <c r="R49" s="337">
        <v>100</v>
      </c>
      <c r="S49" s="337"/>
      <c r="T49" s="337"/>
      <c r="U49" s="348" t="s">
        <v>187</v>
      </c>
    </row>
    <row r="50" spans="1:21" ht="15" customHeight="1">
      <c r="A50" s="338"/>
      <c r="B50" s="351"/>
      <c r="C50" s="338"/>
      <c r="D50" s="22" t="s">
        <v>113</v>
      </c>
      <c r="E50" s="23"/>
      <c r="F50" s="23"/>
      <c r="G50" s="23"/>
      <c r="H50" s="23"/>
      <c r="I50" s="23"/>
      <c r="J50" s="23"/>
      <c r="K50" s="23"/>
      <c r="L50" s="23"/>
      <c r="M50" s="353"/>
      <c r="N50" s="337"/>
      <c r="O50" s="337"/>
      <c r="P50" s="337"/>
      <c r="Q50" s="337"/>
      <c r="R50" s="337"/>
      <c r="S50" s="337"/>
      <c r="T50" s="337"/>
      <c r="U50" s="348"/>
    </row>
    <row r="51" spans="1:21" ht="15" customHeight="1">
      <c r="A51" s="338"/>
      <c r="B51" s="351"/>
      <c r="C51" s="338"/>
      <c r="D51" s="22" t="s">
        <v>91</v>
      </c>
      <c r="E51" s="23">
        <f>F51+G51+H51+I51+J51+K51+L51</f>
        <v>1900000</v>
      </c>
      <c r="F51" s="23"/>
      <c r="G51" s="23"/>
      <c r="H51" s="23"/>
      <c r="I51" s="23"/>
      <c r="J51" s="23">
        <v>1900000</v>
      </c>
      <c r="K51" s="23"/>
      <c r="L51" s="23"/>
      <c r="M51" s="353"/>
      <c r="N51" s="337"/>
      <c r="O51" s="337"/>
      <c r="P51" s="337"/>
      <c r="Q51" s="337"/>
      <c r="R51" s="337"/>
      <c r="S51" s="337"/>
      <c r="T51" s="337"/>
      <c r="U51" s="348"/>
    </row>
    <row r="52" spans="1:21" ht="15" customHeight="1">
      <c r="A52" s="339"/>
      <c r="B52" s="352"/>
      <c r="C52" s="339"/>
      <c r="D52" s="22" t="s">
        <v>89</v>
      </c>
      <c r="E52" s="23">
        <f>F52+G52+H52+I52+J52+K52+L52</f>
        <v>0</v>
      </c>
      <c r="F52" s="23"/>
      <c r="G52" s="23"/>
      <c r="H52" s="23"/>
      <c r="I52" s="23"/>
      <c r="J52" s="23"/>
      <c r="K52" s="23"/>
      <c r="L52" s="23"/>
      <c r="M52" s="353"/>
      <c r="N52" s="337"/>
      <c r="O52" s="337"/>
      <c r="P52" s="337"/>
      <c r="Q52" s="337"/>
      <c r="R52" s="337"/>
      <c r="S52" s="337"/>
      <c r="T52" s="337"/>
      <c r="U52" s="348"/>
    </row>
    <row r="53" spans="1:21" ht="15" customHeight="1">
      <c r="A53" s="264"/>
      <c r="B53" s="267" t="s">
        <v>152</v>
      </c>
      <c r="C53" s="264"/>
      <c r="D53" s="102" t="s">
        <v>93</v>
      </c>
      <c r="E53" s="103">
        <f aca="true" t="shared" si="8" ref="E53:L53">E55+E56+E57+E58</f>
        <v>677928457.6700001</v>
      </c>
      <c r="F53" s="103">
        <f t="shared" si="8"/>
        <v>361141052.47</v>
      </c>
      <c r="G53" s="103">
        <f>G55+G56+G57+G58</f>
        <v>255331493.65</v>
      </c>
      <c r="H53" s="103">
        <f t="shared" si="8"/>
        <v>58781397.82</v>
      </c>
      <c r="I53" s="103">
        <f t="shared" si="8"/>
        <v>774513.73</v>
      </c>
      <c r="J53" s="103">
        <f t="shared" si="8"/>
        <v>1900000</v>
      </c>
      <c r="K53" s="103">
        <f t="shared" si="8"/>
        <v>0</v>
      </c>
      <c r="L53" s="103">
        <f t="shared" si="8"/>
        <v>0</v>
      </c>
      <c r="M53" s="239"/>
      <c r="N53" s="247"/>
      <c r="O53" s="247"/>
      <c r="P53" s="247"/>
      <c r="Q53" s="247"/>
      <c r="R53" s="247"/>
      <c r="S53" s="247"/>
      <c r="T53" s="247"/>
      <c r="U53" s="250"/>
    </row>
    <row r="54" spans="1:21" ht="12.75" customHeight="1">
      <c r="A54" s="265"/>
      <c r="B54" s="268"/>
      <c r="C54" s="265"/>
      <c r="D54" s="242" t="s">
        <v>113</v>
      </c>
      <c r="E54" s="243"/>
      <c r="F54" s="243"/>
      <c r="G54" s="243"/>
      <c r="H54" s="243"/>
      <c r="I54" s="243"/>
      <c r="J54" s="243"/>
      <c r="K54" s="243"/>
      <c r="L54" s="244"/>
      <c r="M54" s="240"/>
      <c r="N54" s="248"/>
      <c r="O54" s="248"/>
      <c r="P54" s="248"/>
      <c r="Q54" s="248"/>
      <c r="R54" s="248"/>
      <c r="S54" s="248"/>
      <c r="T54" s="248"/>
      <c r="U54" s="251"/>
    </row>
    <row r="55" spans="1:21" ht="13.5">
      <c r="A55" s="265"/>
      <c r="B55" s="268"/>
      <c r="C55" s="265"/>
      <c r="D55" s="104" t="s">
        <v>91</v>
      </c>
      <c r="E55" s="103">
        <f>F55+G55+H55+I55+J55+K55+L55</f>
        <v>418976959.76</v>
      </c>
      <c r="F55" s="105">
        <f>F11+F23+F35+F41+F17</f>
        <v>207284568.29</v>
      </c>
      <c r="G55" s="105">
        <f>G11+G23+G35+G41+G47+G17+G29</f>
        <v>166010993.65</v>
      </c>
      <c r="H55" s="105">
        <f>H11+H23+H35+H41+H17</f>
        <v>43781397.82</v>
      </c>
      <c r="I55" s="105">
        <f>I11+I23+I35+I41</f>
        <v>0</v>
      </c>
      <c r="J55" s="105">
        <f>J11+J23+J35+J41+J51</f>
        <v>1900000</v>
      </c>
      <c r="K55" s="105">
        <f aca="true" t="shared" si="9" ref="K55:L57">K11+K23+K35+K41</f>
        <v>0</v>
      </c>
      <c r="L55" s="105">
        <f t="shared" si="9"/>
        <v>0</v>
      </c>
      <c r="M55" s="240"/>
      <c r="N55" s="248"/>
      <c r="O55" s="248"/>
      <c r="P55" s="248"/>
      <c r="Q55" s="248"/>
      <c r="R55" s="248"/>
      <c r="S55" s="248"/>
      <c r="T55" s="248"/>
      <c r="U55" s="251"/>
    </row>
    <row r="56" spans="1:21" ht="13.5">
      <c r="A56" s="265"/>
      <c r="B56" s="268"/>
      <c r="C56" s="265"/>
      <c r="D56" s="104" t="s">
        <v>89</v>
      </c>
      <c r="E56" s="103">
        <f>F56+G56+H56+I56+J56+K56+L56</f>
        <v>36380613.73</v>
      </c>
      <c r="F56" s="105">
        <f>F12+F24+F36+F42</f>
        <v>0</v>
      </c>
      <c r="G56" s="105">
        <f>+G24+G12+G30+G48+G18</f>
        <v>20606100</v>
      </c>
      <c r="H56" s="105">
        <f>H12+H24+H36+H42</f>
        <v>15000000</v>
      </c>
      <c r="I56" s="105">
        <f>I12+I24+I36+I42</f>
        <v>774513.73</v>
      </c>
      <c r="J56" s="105">
        <f>J12+J24+J36+J42</f>
        <v>0</v>
      </c>
      <c r="K56" s="105">
        <f t="shared" si="9"/>
        <v>0</v>
      </c>
      <c r="L56" s="105">
        <f t="shared" si="9"/>
        <v>0</v>
      </c>
      <c r="M56" s="240"/>
      <c r="N56" s="248"/>
      <c r="O56" s="248"/>
      <c r="P56" s="248"/>
      <c r="Q56" s="248"/>
      <c r="R56" s="248"/>
      <c r="S56" s="248"/>
      <c r="T56" s="248"/>
      <c r="U56" s="251"/>
    </row>
    <row r="57" spans="1:21" ht="13.5">
      <c r="A57" s="265"/>
      <c r="B57" s="268"/>
      <c r="C57" s="265"/>
      <c r="D57" s="104" t="s">
        <v>90</v>
      </c>
      <c r="E57" s="103">
        <f>F57+G57+H57+I57+J57+K57+L57</f>
        <v>222570884.18</v>
      </c>
      <c r="F57" s="105">
        <f>F13+F25+F37+F43+F19</f>
        <v>153856484.18</v>
      </c>
      <c r="G57" s="105">
        <f>G13+G25+G37+G43</f>
        <v>68714400</v>
      </c>
      <c r="H57" s="105">
        <f>H13+H25+H37+H43</f>
        <v>0</v>
      </c>
      <c r="I57" s="105">
        <f>I13+I25+I37+I43</f>
        <v>0</v>
      </c>
      <c r="J57" s="105">
        <f>J13+J25+J37+J43</f>
        <v>0</v>
      </c>
      <c r="K57" s="105">
        <f t="shared" si="9"/>
        <v>0</v>
      </c>
      <c r="L57" s="105">
        <f t="shared" si="9"/>
        <v>0</v>
      </c>
      <c r="M57" s="240"/>
      <c r="N57" s="248"/>
      <c r="O57" s="248"/>
      <c r="P57" s="248"/>
      <c r="Q57" s="248"/>
      <c r="R57" s="248"/>
      <c r="S57" s="248"/>
      <c r="T57" s="248"/>
      <c r="U57" s="251"/>
    </row>
    <row r="58" spans="1:21" ht="13.5">
      <c r="A58" s="266"/>
      <c r="B58" s="269"/>
      <c r="C58" s="266"/>
      <c r="D58" s="104" t="s">
        <v>92</v>
      </c>
      <c r="E58" s="103">
        <f>F58+G58+H58+I58+J58+K58+L58</f>
        <v>0</v>
      </c>
      <c r="F58" s="105"/>
      <c r="G58" s="105"/>
      <c r="H58" s="105"/>
      <c r="I58" s="105"/>
      <c r="J58" s="105"/>
      <c r="K58" s="105"/>
      <c r="L58" s="105"/>
      <c r="M58" s="241"/>
      <c r="N58" s="249"/>
      <c r="O58" s="249"/>
      <c r="P58" s="249"/>
      <c r="Q58" s="249"/>
      <c r="R58" s="249"/>
      <c r="S58" s="249"/>
      <c r="T58" s="249"/>
      <c r="U58" s="252"/>
    </row>
    <row r="59" spans="1:21" ht="12.75">
      <c r="A59" s="21">
        <v>2</v>
      </c>
      <c r="B59" s="216" t="s">
        <v>24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8"/>
    </row>
    <row r="60" spans="1:21" ht="12.75">
      <c r="A60" s="226" t="s">
        <v>127</v>
      </c>
      <c r="B60" s="290" t="s">
        <v>173</v>
      </c>
      <c r="C60" s="232" t="s">
        <v>78</v>
      </c>
      <c r="D60" s="22" t="s">
        <v>93</v>
      </c>
      <c r="E60" s="23">
        <f>E62+E63+E64+E65</f>
        <v>8344335.53</v>
      </c>
      <c r="F60" s="23">
        <f aca="true" t="shared" si="10" ref="F60:L60">F62+F63+F64+F65</f>
        <v>4391930.86</v>
      </c>
      <c r="G60" s="23">
        <f t="shared" si="10"/>
        <v>1573281.96</v>
      </c>
      <c r="H60" s="23">
        <f t="shared" si="10"/>
        <v>0</v>
      </c>
      <c r="I60" s="23">
        <f t="shared" si="10"/>
        <v>1179122.71</v>
      </c>
      <c r="J60" s="23">
        <f t="shared" si="10"/>
        <v>1200000</v>
      </c>
      <c r="K60" s="23">
        <f t="shared" si="10"/>
        <v>0</v>
      </c>
      <c r="L60" s="23">
        <f t="shared" si="10"/>
        <v>0</v>
      </c>
      <c r="M60" s="261" t="s">
        <v>267</v>
      </c>
      <c r="N60" s="205">
        <v>1</v>
      </c>
      <c r="O60" s="205">
        <v>1</v>
      </c>
      <c r="P60" s="205">
        <v>1</v>
      </c>
      <c r="Q60" s="205">
        <v>100</v>
      </c>
      <c r="R60" s="205">
        <v>100</v>
      </c>
      <c r="S60" s="205">
        <v>100</v>
      </c>
      <c r="T60" s="205">
        <v>100</v>
      </c>
      <c r="U60" s="261" t="s">
        <v>196</v>
      </c>
    </row>
    <row r="61" spans="1:21" ht="12.75">
      <c r="A61" s="226"/>
      <c r="B61" s="291"/>
      <c r="C61" s="233"/>
      <c r="D61" s="219" t="s">
        <v>113</v>
      </c>
      <c r="E61" s="220"/>
      <c r="F61" s="220"/>
      <c r="G61" s="220"/>
      <c r="H61" s="220"/>
      <c r="I61" s="220"/>
      <c r="J61" s="220"/>
      <c r="K61" s="220"/>
      <c r="L61" s="221"/>
      <c r="M61" s="262"/>
      <c r="N61" s="206"/>
      <c r="O61" s="206"/>
      <c r="P61" s="206"/>
      <c r="Q61" s="206"/>
      <c r="R61" s="206"/>
      <c r="S61" s="206"/>
      <c r="T61" s="206"/>
      <c r="U61" s="262"/>
    </row>
    <row r="62" spans="1:21" ht="12.75">
      <c r="A62" s="226"/>
      <c r="B62" s="291"/>
      <c r="C62" s="233"/>
      <c r="D62" s="22" t="s">
        <v>91</v>
      </c>
      <c r="E62" s="23">
        <f>F62+G62+H62+I62+J62+K62+L62</f>
        <v>8344335.53</v>
      </c>
      <c r="F62" s="23">
        <v>4391930.86</v>
      </c>
      <c r="G62" s="23">
        <v>1573281.96</v>
      </c>
      <c r="H62" s="23"/>
      <c r="I62" s="23">
        <f>1187188+464000-472065.29</f>
        <v>1179122.71</v>
      </c>
      <c r="J62" s="23">
        <v>1200000</v>
      </c>
      <c r="K62" s="23"/>
      <c r="L62" s="23"/>
      <c r="M62" s="262"/>
      <c r="N62" s="206"/>
      <c r="O62" s="206"/>
      <c r="P62" s="206"/>
      <c r="Q62" s="206"/>
      <c r="R62" s="206"/>
      <c r="S62" s="206"/>
      <c r="T62" s="206"/>
      <c r="U62" s="262"/>
    </row>
    <row r="63" spans="1:21" ht="12.75">
      <c r="A63" s="226"/>
      <c r="B63" s="291"/>
      <c r="C63" s="233"/>
      <c r="D63" s="22" t="s">
        <v>89</v>
      </c>
      <c r="E63" s="23">
        <f>F63+G63+H63+I63+J63+K63+L63</f>
        <v>0</v>
      </c>
      <c r="F63" s="23"/>
      <c r="G63" s="23"/>
      <c r="H63" s="23"/>
      <c r="I63" s="23"/>
      <c r="J63" s="23"/>
      <c r="K63" s="23"/>
      <c r="L63" s="23"/>
      <c r="M63" s="262"/>
      <c r="N63" s="206"/>
      <c r="O63" s="206"/>
      <c r="P63" s="206"/>
      <c r="Q63" s="206"/>
      <c r="R63" s="206"/>
      <c r="S63" s="206"/>
      <c r="T63" s="206"/>
      <c r="U63" s="262"/>
    </row>
    <row r="64" spans="1:21" ht="12.75">
      <c r="A64" s="226"/>
      <c r="B64" s="291"/>
      <c r="C64" s="233"/>
      <c r="D64" s="22" t="s">
        <v>90</v>
      </c>
      <c r="E64" s="23">
        <f>F64+G64+H64+I64+J64+K64+L64</f>
        <v>0</v>
      </c>
      <c r="F64" s="23"/>
      <c r="G64" s="23"/>
      <c r="H64" s="23"/>
      <c r="I64" s="23"/>
      <c r="J64" s="23"/>
      <c r="K64" s="23"/>
      <c r="L64" s="23"/>
      <c r="M64" s="262"/>
      <c r="N64" s="206"/>
      <c r="O64" s="206"/>
      <c r="P64" s="206"/>
      <c r="Q64" s="206"/>
      <c r="R64" s="206"/>
      <c r="S64" s="206"/>
      <c r="T64" s="206"/>
      <c r="U64" s="262"/>
    </row>
    <row r="65" spans="1:21" ht="12.75">
      <c r="A65" s="226"/>
      <c r="B65" s="292"/>
      <c r="C65" s="234"/>
      <c r="D65" s="22" t="s">
        <v>92</v>
      </c>
      <c r="E65" s="23">
        <f>F65+G65+H65+I65+J65+K65+L65</f>
        <v>0</v>
      </c>
      <c r="F65" s="23"/>
      <c r="G65" s="23"/>
      <c r="H65" s="23"/>
      <c r="I65" s="23"/>
      <c r="J65" s="23"/>
      <c r="K65" s="23"/>
      <c r="L65" s="23"/>
      <c r="M65" s="263"/>
      <c r="N65" s="207"/>
      <c r="O65" s="207"/>
      <c r="P65" s="207"/>
      <c r="Q65" s="207"/>
      <c r="R65" s="207"/>
      <c r="S65" s="207"/>
      <c r="T65" s="207"/>
      <c r="U65" s="263"/>
    </row>
    <row r="66" spans="1:21" ht="12.75" customHeight="1">
      <c r="A66" s="226" t="s">
        <v>128</v>
      </c>
      <c r="B66" s="290" t="s">
        <v>174</v>
      </c>
      <c r="C66" s="232" t="s">
        <v>78</v>
      </c>
      <c r="D66" s="22" t="s">
        <v>93</v>
      </c>
      <c r="E66" s="23">
        <f>E68+E69+E70+E71</f>
        <v>53913519.38</v>
      </c>
      <c r="F66" s="23">
        <f aca="true" t="shared" si="11" ref="F66:L66">F68+F69+F70+F71</f>
        <v>9671279.75</v>
      </c>
      <c r="G66" s="23">
        <f t="shared" si="11"/>
        <v>11246543.73</v>
      </c>
      <c r="H66" s="23">
        <f t="shared" si="11"/>
        <v>9573888.58</v>
      </c>
      <c r="I66" s="23">
        <f t="shared" si="11"/>
        <v>11421807.32</v>
      </c>
      <c r="J66" s="23">
        <f t="shared" si="11"/>
        <v>12000000</v>
      </c>
      <c r="K66" s="23">
        <f t="shared" si="11"/>
        <v>0</v>
      </c>
      <c r="L66" s="23">
        <f t="shared" si="11"/>
        <v>0</v>
      </c>
      <c r="M66" s="261" t="s">
        <v>268</v>
      </c>
      <c r="N66" s="205">
        <v>1</v>
      </c>
      <c r="O66" s="205">
        <v>1</v>
      </c>
      <c r="P66" s="205">
        <v>1</v>
      </c>
      <c r="Q66" s="205">
        <v>100</v>
      </c>
      <c r="R66" s="205">
        <v>100</v>
      </c>
      <c r="S66" s="205">
        <v>100</v>
      </c>
      <c r="T66" s="205">
        <v>100</v>
      </c>
      <c r="U66" s="261" t="s">
        <v>203</v>
      </c>
    </row>
    <row r="67" spans="1:21" ht="12.75">
      <c r="A67" s="226"/>
      <c r="B67" s="291"/>
      <c r="C67" s="233"/>
      <c r="D67" s="219" t="s">
        <v>113</v>
      </c>
      <c r="E67" s="220"/>
      <c r="F67" s="220"/>
      <c r="G67" s="220"/>
      <c r="H67" s="220"/>
      <c r="I67" s="220"/>
      <c r="J67" s="220"/>
      <c r="K67" s="220"/>
      <c r="L67" s="221"/>
      <c r="M67" s="262"/>
      <c r="N67" s="206"/>
      <c r="O67" s="206"/>
      <c r="P67" s="206"/>
      <c r="Q67" s="206"/>
      <c r="R67" s="206"/>
      <c r="S67" s="206"/>
      <c r="T67" s="206"/>
      <c r="U67" s="262"/>
    </row>
    <row r="68" spans="1:21" ht="12.75">
      <c r="A68" s="226"/>
      <c r="B68" s="291"/>
      <c r="C68" s="233"/>
      <c r="D68" s="22" t="s">
        <v>91</v>
      </c>
      <c r="E68" s="23">
        <f>F68+G68+H68+I68+J68+K68+L68</f>
        <v>53913519.38</v>
      </c>
      <c r="F68" s="23">
        <v>9671279.75</v>
      </c>
      <c r="G68" s="23">
        <v>11246543.73</v>
      </c>
      <c r="H68" s="23">
        <f>9207002.98+366885.6</f>
        <v>9573888.58</v>
      </c>
      <c r="I68" s="23">
        <f>944051+9786493.98+262900+428362.34</f>
        <v>11421807.32</v>
      </c>
      <c r="J68" s="23">
        <f>6000000+6000000</f>
        <v>12000000</v>
      </c>
      <c r="K68" s="23"/>
      <c r="L68" s="23"/>
      <c r="M68" s="262"/>
      <c r="N68" s="206"/>
      <c r="O68" s="206"/>
      <c r="P68" s="206"/>
      <c r="Q68" s="206"/>
      <c r="R68" s="206"/>
      <c r="S68" s="206"/>
      <c r="T68" s="206"/>
      <c r="U68" s="262"/>
    </row>
    <row r="69" spans="1:21" ht="12.75">
      <c r="A69" s="226"/>
      <c r="B69" s="291"/>
      <c r="C69" s="233"/>
      <c r="D69" s="22" t="s">
        <v>89</v>
      </c>
      <c r="E69" s="23">
        <f>F69+G69+H69+I69+J69+K69+L69</f>
        <v>0</v>
      </c>
      <c r="F69" s="23"/>
      <c r="G69" s="23"/>
      <c r="H69" s="23"/>
      <c r="I69" s="23"/>
      <c r="J69" s="23"/>
      <c r="K69" s="23"/>
      <c r="L69" s="23"/>
      <c r="M69" s="262"/>
      <c r="N69" s="206"/>
      <c r="O69" s="206"/>
      <c r="P69" s="206"/>
      <c r="Q69" s="206"/>
      <c r="R69" s="206"/>
      <c r="S69" s="206"/>
      <c r="T69" s="206"/>
      <c r="U69" s="262"/>
    </row>
    <row r="70" spans="1:21" ht="12.75">
      <c r="A70" s="226"/>
      <c r="B70" s="291"/>
      <c r="C70" s="233"/>
      <c r="D70" s="22" t="s">
        <v>90</v>
      </c>
      <c r="E70" s="23">
        <f>F70+G70+H70+I70+J70+K70+L70</f>
        <v>0</v>
      </c>
      <c r="F70" s="23"/>
      <c r="G70" s="23"/>
      <c r="H70" s="23"/>
      <c r="I70" s="23"/>
      <c r="J70" s="23"/>
      <c r="K70" s="23"/>
      <c r="L70" s="23"/>
      <c r="M70" s="262"/>
      <c r="N70" s="206"/>
      <c r="O70" s="206"/>
      <c r="P70" s="206"/>
      <c r="Q70" s="206"/>
      <c r="R70" s="206"/>
      <c r="S70" s="206"/>
      <c r="T70" s="206"/>
      <c r="U70" s="262"/>
    </row>
    <row r="71" spans="1:21" ht="12.75">
      <c r="A71" s="226"/>
      <c r="B71" s="292"/>
      <c r="C71" s="234"/>
      <c r="D71" s="22" t="s">
        <v>92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63"/>
      <c r="N71" s="207"/>
      <c r="O71" s="207"/>
      <c r="P71" s="207"/>
      <c r="Q71" s="207"/>
      <c r="R71" s="207"/>
      <c r="S71" s="207"/>
      <c r="T71" s="207"/>
      <c r="U71" s="263"/>
    </row>
    <row r="72" spans="1:21" ht="12.75">
      <c r="A72" s="226" t="s">
        <v>129</v>
      </c>
      <c r="B72" s="290" t="s">
        <v>175</v>
      </c>
      <c r="C72" s="232" t="s">
        <v>78</v>
      </c>
      <c r="D72" s="22" t="s">
        <v>93</v>
      </c>
      <c r="E72" s="23">
        <f>E74+E75+E76+E77</f>
        <v>3617636</v>
      </c>
      <c r="F72" s="23">
        <f aca="true" t="shared" si="12" ref="F72:L72">F74+F75+F76+F77</f>
        <v>0</v>
      </c>
      <c r="G72" s="23">
        <f t="shared" si="12"/>
        <v>0</v>
      </c>
      <c r="H72" s="23">
        <f t="shared" si="12"/>
        <v>0</v>
      </c>
      <c r="I72" s="23">
        <f t="shared" si="12"/>
        <v>3617636</v>
      </c>
      <c r="J72" s="23">
        <f t="shared" si="12"/>
        <v>0</v>
      </c>
      <c r="K72" s="23">
        <f t="shared" si="12"/>
        <v>0</v>
      </c>
      <c r="L72" s="23">
        <f t="shared" si="12"/>
        <v>0</v>
      </c>
      <c r="M72" s="261" t="s">
        <v>269</v>
      </c>
      <c r="N72" s="205">
        <v>1</v>
      </c>
      <c r="O72" s="205">
        <v>1</v>
      </c>
      <c r="P72" s="205">
        <v>1</v>
      </c>
      <c r="Q72" s="205">
        <v>100</v>
      </c>
      <c r="R72" s="205">
        <v>100</v>
      </c>
      <c r="S72" s="205">
        <v>100</v>
      </c>
      <c r="T72" s="205">
        <v>100</v>
      </c>
      <c r="U72" s="261" t="s">
        <v>196</v>
      </c>
    </row>
    <row r="73" spans="1:21" ht="12.75">
      <c r="A73" s="226"/>
      <c r="B73" s="291"/>
      <c r="C73" s="233"/>
      <c r="D73" s="219" t="s">
        <v>113</v>
      </c>
      <c r="E73" s="220"/>
      <c r="F73" s="220"/>
      <c r="G73" s="220"/>
      <c r="H73" s="220"/>
      <c r="I73" s="220"/>
      <c r="J73" s="220"/>
      <c r="K73" s="220"/>
      <c r="L73" s="221"/>
      <c r="M73" s="262"/>
      <c r="N73" s="206"/>
      <c r="O73" s="206"/>
      <c r="P73" s="206"/>
      <c r="Q73" s="206"/>
      <c r="R73" s="206"/>
      <c r="S73" s="206"/>
      <c r="T73" s="206"/>
      <c r="U73" s="262"/>
    </row>
    <row r="74" spans="1:21" ht="12.75">
      <c r="A74" s="226"/>
      <c r="B74" s="291"/>
      <c r="C74" s="233"/>
      <c r="D74" s="22" t="s">
        <v>91</v>
      </c>
      <c r="E74" s="23">
        <f>F74+G74+H74+I74+J74+K74+L74</f>
        <v>3617636</v>
      </c>
      <c r="F74" s="23"/>
      <c r="G74" s="23"/>
      <c r="H74" s="23"/>
      <c r="I74" s="23">
        <v>3617636</v>
      </c>
      <c r="J74" s="23"/>
      <c r="K74" s="23"/>
      <c r="L74" s="23"/>
      <c r="M74" s="262"/>
      <c r="N74" s="206"/>
      <c r="O74" s="206"/>
      <c r="P74" s="206"/>
      <c r="Q74" s="206"/>
      <c r="R74" s="206"/>
      <c r="S74" s="206"/>
      <c r="T74" s="206"/>
      <c r="U74" s="262"/>
    </row>
    <row r="75" spans="1:21" ht="12.75">
      <c r="A75" s="226"/>
      <c r="B75" s="291"/>
      <c r="C75" s="233"/>
      <c r="D75" s="22" t="s">
        <v>89</v>
      </c>
      <c r="E75" s="23">
        <f>F75+G75+H75+I75+J75+K75+L75</f>
        <v>0</v>
      </c>
      <c r="F75" s="23"/>
      <c r="G75" s="23"/>
      <c r="H75" s="23"/>
      <c r="I75" s="23"/>
      <c r="J75" s="23"/>
      <c r="K75" s="23"/>
      <c r="L75" s="23"/>
      <c r="M75" s="262"/>
      <c r="N75" s="206"/>
      <c r="O75" s="206"/>
      <c r="P75" s="206"/>
      <c r="Q75" s="206"/>
      <c r="R75" s="206"/>
      <c r="S75" s="206"/>
      <c r="T75" s="206"/>
      <c r="U75" s="262"/>
    </row>
    <row r="76" spans="1:21" ht="12.75">
      <c r="A76" s="226"/>
      <c r="B76" s="291"/>
      <c r="C76" s="233"/>
      <c r="D76" s="22" t="s">
        <v>90</v>
      </c>
      <c r="E76" s="23">
        <f>F76+G76+H76+I76+J76+K76+L76</f>
        <v>0</v>
      </c>
      <c r="F76" s="23"/>
      <c r="G76" s="23"/>
      <c r="H76" s="23"/>
      <c r="I76" s="23"/>
      <c r="J76" s="23"/>
      <c r="K76" s="23"/>
      <c r="L76" s="23"/>
      <c r="M76" s="262"/>
      <c r="N76" s="206"/>
      <c r="O76" s="206"/>
      <c r="P76" s="206"/>
      <c r="Q76" s="206"/>
      <c r="R76" s="206"/>
      <c r="S76" s="206"/>
      <c r="T76" s="206"/>
      <c r="U76" s="262"/>
    </row>
    <row r="77" spans="1:21" ht="12.75">
      <c r="A77" s="226"/>
      <c r="B77" s="292"/>
      <c r="C77" s="234"/>
      <c r="D77" s="22" t="s">
        <v>92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63"/>
      <c r="N77" s="207"/>
      <c r="O77" s="207"/>
      <c r="P77" s="207"/>
      <c r="Q77" s="207"/>
      <c r="R77" s="207"/>
      <c r="S77" s="207"/>
      <c r="T77" s="207"/>
      <c r="U77" s="263"/>
    </row>
    <row r="78" spans="1:21" ht="12.75" customHeight="1">
      <c r="A78" s="226" t="s">
        <v>148</v>
      </c>
      <c r="B78" s="290" t="s">
        <v>176</v>
      </c>
      <c r="C78" s="232" t="s">
        <v>78</v>
      </c>
      <c r="D78" s="22" t="s">
        <v>93</v>
      </c>
      <c r="E78" s="23">
        <f>E80+E81+E82+E83</f>
        <v>15006370.239999998</v>
      </c>
      <c r="F78" s="23">
        <f aca="true" t="shared" si="13" ref="F78:L78">F80+F81+F82+F83</f>
        <v>3493297.62</v>
      </c>
      <c r="G78" s="23">
        <f t="shared" si="13"/>
        <v>711203.33</v>
      </c>
      <c r="H78" s="23">
        <f t="shared" si="13"/>
        <v>6377532.34</v>
      </c>
      <c r="I78" s="23">
        <f t="shared" si="13"/>
        <v>2424336.95</v>
      </c>
      <c r="J78" s="23">
        <f t="shared" si="13"/>
        <v>2000000</v>
      </c>
      <c r="K78" s="23">
        <f t="shared" si="13"/>
        <v>0</v>
      </c>
      <c r="L78" s="23">
        <f t="shared" si="13"/>
        <v>0</v>
      </c>
      <c r="M78" s="261" t="s">
        <v>270</v>
      </c>
      <c r="N78" s="205">
        <v>1</v>
      </c>
      <c r="O78" s="205">
        <v>1</v>
      </c>
      <c r="P78" s="205">
        <v>1</v>
      </c>
      <c r="Q78" s="205">
        <v>100</v>
      </c>
      <c r="R78" s="205">
        <v>100</v>
      </c>
      <c r="S78" s="205">
        <v>100</v>
      </c>
      <c r="T78" s="205">
        <v>100</v>
      </c>
      <c r="U78" s="261" t="s">
        <v>203</v>
      </c>
    </row>
    <row r="79" spans="1:21" ht="12.75">
      <c r="A79" s="226"/>
      <c r="B79" s="291"/>
      <c r="C79" s="233"/>
      <c r="D79" s="219" t="s">
        <v>113</v>
      </c>
      <c r="E79" s="220"/>
      <c r="F79" s="220"/>
      <c r="G79" s="220"/>
      <c r="H79" s="220"/>
      <c r="I79" s="220"/>
      <c r="J79" s="220"/>
      <c r="K79" s="220"/>
      <c r="L79" s="221"/>
      <c r="M79" s="262"/>
      <c r="N79" s="206"/>
      <c r="O79" s="206"/>
      <c r="P79" s="206"/>
      <c r="Q79" s="206"/>
      <c r="R79" s="206"/>
      <c r="S79" s="206"/>
      <c r="T79" s="206"/>
      <c r="U79" s="262"/>
    </row>
    <row r="80" spans="1:21" ht="12.75">
      <c r="A80" s="226"/>
      <c r="B80" s="291"/>
      <c r="C80" s="233"/>
      <c r="D80" s="22" t="s">
        <v>91</v>
      </c>
      <c r="E80" s="23">
        <f>F80+G80+H80+I80+J80+K80+L80</f>
        <v>15006370.239999998</v>
      </c>
      <c r="F80" s="23">
        <v>3493297.62</v>
      </c>
      <c r="G80" s="23">
        <v>711203.33</v>
      </c>
      <c r="H80" s="23">
        <f>4989967.13+1387565.21</f>
        <v>6377532.34</v>
      </c>
      <c r="I80" s="23">
        <f>180030+469737+843817+887050+43702.95</f>
        <v>2424336.95</v>
      </c>
      <c r="J80" s="23">
        <f>2000000</f>
        <v>2000000</v>
      </c>
      <c r="K80" s="23"/>
      <c r="L80" s="23"/>
      <c r="M80" s="262"/>
      <c r="N80" s="206"/>
      <c r="O80" s="206"/>
      <c r="P80" s="206"/>
      <c r="Q80" s="206"/>
      <c r="R80" s="206"/>
      <c r="S80" s="206"/>
      <c r="T80" s="206"/>
      <c r="U80" s="262"/>
    </row>
    <row r="81" spans="1:21" ht="12.75">
      <c r="A81" s="226"/>
      <c r="B81" s="291"/>
      <c r="C81" s="233"/>
      <c r="D81" s="22" t="s">
        <v>89</v>
      </c>
      <c r="E81" s="23">
        <f>F81+G81+H81+I81+J81+K81+L81</f>
        <v>0</v>
      </c>
      <c r="F81" s="23"/>
      <c r="G81" s="23"/>
      <c r="H81" s="23"/>
      <c r="I81" s="23"/>
      <c r="J81" s="23"/>
      <c r="K81" s="23"/>
      <c r="L81" s="23"/>
      <c r="M81" s="262"/>
      <c r="N81" s="206"/>
      <c r="O81" s="206"/>
      <c r="P81" s="206"/>
      <c r="Q81" s="206"/>
      <c r="R81" s="206"/>
      <c r="S81" s="206"/>
      <c r="T81" s="206"/>
      <c r="U81" s="262"/>
    </row>
    <row r="82" spans="1:21" ht="12.75">
      <c r="A82" s="226"/>
      <c r="B82" s="291"/>
      <c r="C82" s="233"/>
      <c r="D82" s="22" t="s">
        <v>90</v>
      </c>
      <c r="E82" s="23">
        <f>F82+G82+H82+I82+J82+K82+L82</f>
        <v>0</v>
      </c>
      <c r="F82" s="23"/>
      <c r="G82" s="23"/>
      <c r="H82" s="23"/>
      <c r="I82" s="23"/>
      <c r="J82" s="23"/>
      <c r="K82" s="23"/>
      <c r="L82" s="23"/>
      <c r="M82" s="262"/>
      <c r="N82" s="206"/>
      <c r="O82" s="206"/>
      <c r="P82" s="206"/>
      <c r="Q82" s="206"/>
      <c r="R82" s="206"/>
      <c r="S82" s="206"/>
      <c r="T82" s="206"/>
      <c r="U82" s="262"/>
    </row>
    <row r="83" spans="1:21" ht="12.75">
      <c r="A83" s="226"/>
      <c r="B83" s="292"/>
      <c r="C83" s="234"/>
      <c r="D83" s="22" t="s">
        <v>92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63"/>
      <c r="N83" s="207"/>
      <c r="O83" s="207"/>
      <c r="P83" s="207"/>
      <c r="Q83" s="207"/>
      <c r="R83" s="207"/>
      <c r="S83" s="207"/>
      <c r="T83" s="207"/>
      <c r="U83" s="263"/>
    </row>
    <row r="84" spans="1:21" ht="12.75" customHeight="1">
      <c r="A84" s="226" t="s">
        <v>256</v>
      </c>
      <c r="B84" s="290" t="s">
        <v>210</v>
      </c>
      <c r="C84" s="232" t="s">
        <v>78</v>
      </c>
      <c r="D84" s="22" t="s">
        <v>93</v>
      </c>
      <c r="E84" s="23">
        <f>E86+E87+E88+E89</f>
        <v>1209581.96</v>
      </c>
      <c r="F84" s="23">
        <f aca="true" t="shared" si="14" ref="F84:L84">F86+F87+F88+F89</f>
        <v>0</v>
      </c>
      <c r="G84" s="23">
        <f t="shared" si="14"/>
        <v>0</v>
      </c>
      <c r="H84" s="23">
        <f t="shared" si="14"/>
        <v>1209581.96</v>
      </c>
      <c r="I84" s="23">
        <f t="shared" si="14"/>
        <v>0</v>
      </c>
      <c r="J84" s="23">
        <f t="shared" si="14"/>
        <v>0</v>
      </c>
      <c r="K84" s="23">
        <f t="shared" si="14"/>
        <v>0</v>
      </c>
      <c r="L84" s="23">
        <f t="shared" si="14"/>
        <v>0</v>
      </c>
      <c r="M84" s="261" t="s">
        <v>257</v>
      </c>
      <c r="N84" s="205">
        <v>1</v>
      </c>
      <c r="O84" s="205">
        <v>1</v>
      </c>
      <c r="P84" s="205">
        <v>1</v>
      </c>
      <c r="Q84" s="205">
        <v>1</v>
      </c>
      <c r="R84" s="205">
        <v>1</v>
      </c>
      <c r="S84" s="205">
        <v>1</v>
      </c>
      <c r="T84" s="205">
        <v>1</v>
      </c>
      <c r="U84" s="208" t="s">
        <v>187</v>
      </c>
    </row>
    <row r="85" spans="1:21" ht="12.75">
      <c r="A85" s="226"/>
      <c r="B85" s="291"/>
      <c r="C85" s="233"/>
      <c r="D85" s="219" t="s">
        <v>113</v>
      </c>
      <c r="E85" s="220"/>
      <c r="F85" s="220"/>
      <c r="G85" s="220"/>
      <c r="H85" s="220"/>
      <c r="I85" s="220"/>
      <c r="J85" s="220"/>
      <c r="K85" s="220"/>
      <c r="L85" s="221"/>
      <c r="M85" s="262"/>
      <c r="N85" s="206"/>
      <c r="O85" s="206"/>
      <c r="P85" s="206"/>
      <c r="Q85" s="206"/>
      <c r="R85" s="206"/>
      <c r="S85" s="206"/>
      <c r="T85" s="206"/>
      <c r="U85" s="209"/>
    </row>
    <row r="86" spans="1:21" ht="12.75">
      <c r="A86" s="226"/>
      <c r="B86" s="291"/>
      <c r="C86" s="233"/>
      <c r="D86" s="22" t="s">
        <v>91</v>
      </c>
      <c r="E86" s="23">
        <f>F86+G86+H86+I86+J86+K86+L86</f>
        <v>1209581.96</v>
      </c>
      <c r="F86" s="23"/>
      <c r="G86" s="23"/>
      <c r="H86" s="23">
        <v>1209581.96</v>
      </c>
      <c r="I86" s="23"/>
      <c r="J86" s="23"/>
      <c r="K86" s="23"/>
      <c r="L86" s="23"/>
      <c r="M86" s="262"/>
      <c r="N86" s="206"/>
      <c r="O86" s="206"/>
      <c r="P86" s="206"/>
      <c r="Q86" s="206"/>
      <c r="R86" s="206"/>
      <c r="S86" s="206"/>
      <c r="T86" s="206"/>
      <c r="U86" s="209"/>
    </row>
    <row r="87" spans="1:21" ht="12.75">
      <c r="A87" s="226"/>
      <c r="B87" s="291"/>
      <c r="C87" s="233"/>
      <c r="D87" s="22" t="s">
        <v>89</v>
      </c>
      <c r="E87" s="23">
        <f>F87+G87+H87+I87+J87+K87+L87</f>
        <v>0</v>
      </c>
      <c r="F87" s="23"/>
      <c r="G87" s="23"/>
      <c r="H87" s="23"/>
      <c r="I87" s="23"/>
      <c r="J87" s="23"/>
      <c r="K87" s="23"/>
      <c r="L87" s="23"/>
      <c r="M87" s="262"/>
      <c r="N87" s="206"/>
      <c r="O87" s="206"/>
      <c r="P87" s="206"/>
      <c r="Q87" s="206"/>
      <c r="R87" s="206"/>
      <c r="S87" s="206"/>
      <c r="T87" s="206"/>
      <c r="U87" s="209"/>
    </row>
    <row r="88" spans="1:21" ht="12.75">
      <c r="A88" s="226"/>
      <c r="B88" s="291"/>
      <c r="C88" s="233"/>
      <c r="D88" s="22" t="s">
        <v>90</v>
      </c>
      <c r="E88" s="23">
        <f>F88+G88+H88+I88+J88+K88+L88</f>
        <v>0</v>
      </c>
      <c r="F88" s="23"/>
      <c r="G88" s="23"/>
      <c r="H88" s="23"/>
      <c r="I88" s="23"/>
      <c r="J88" s="23"/>
      <c r="K88" s="23"/>
      <c r="L88" s="23"/>
      <c r="M88" s="262"/>
      <c r="N88" s="206"/>
      <c r="O88" s="206"/>
      <c r="P88" s="206"/>
      <c r="Q88" s="206"/>
      <c r="R88" s="206"/>
      <c r="S88" s="206"/>
      <c r="T88" s="206"/>
      <c r="U88" s="209"/>
    </row>
    <row r="89" spans="1:21" ht="12.75">
      <c r="A89" s="226"/>
      <c r="B89" s="292"/>
      <c r="C89" s="234"/>
      <c r="D89" s="22" t="s">
        <v>92</v>
      </c>
      <c r="E89" s="23">
        <f>F89+G89+H89+I89+J89+K89+L89</f>
        <v>0</v>
      </c>
      <c r="F89" s="23"/>
      <c r="G89" s="23"/>
      <c r="H89" s="23"/>
      <c r="I89" s="23"/>
      <c r="J89" s="23"/>
      <c r="K89" s="23"/>
      <c r="L89" s="23"/>
      <c r="M89" s="263"/>
      <c r="N89" s="207"/>
      <c r="O89" s="207"/>
      <c r="P89" s="207"/>
      <c r="Q89" s="207"/>
      <c r="R89" s="207"/>
      <c r="S89" s="207"/>
      <c r="T89" s="207"/>
      <c r="U89" s="210"/>
    </row>
    <row r="90" spans="1:21" ht="13.5" customHeight="1">
      <c r="A90" s="237"/>
      <c r="B90" s="267" t="s">
        <v>151</v>
      </c>
      <c r="C90" s="237"/>
      <c r="D90" s="102" t="s">
        <v>93</v>
      </c>
      <c r="E90" s="103">
        <f aca="true" t="shared" si="15" ref="E90:L90">E92+E93+E94+E95</f>
        <v>82091443.11</v>
      </c>
      <c r="F90" s="103">
        <f t="shared" si="15"/>
        <v>17556508.23</v>
      </c>
      <c r="G90" s="103">
        <f t="shared" si="15"/>
        <v>13531029.020000001</v>
      </c>
      <c r="H90" s="103">
        <f t="shared" si="15"/>
        <v>17161002.88</v>
      </c>
      <c r="I90" s="103">
        <f t="shared" si="15"/>
        <v>18642902.98</v>
      </c>
      <c r="J90" s="103">
        <f t="shared" si="15"/>
        <v>15200000</v>
      </c>
      <c r="K90" s="103">
        <f t="shared" si="15"/>
        <v>0</v>
      </c>
      <c r="L90" s="103">
        <f t="shared" si="15"/>
        <v>0</v>
      </c>
      <c r="M90" s="239"/>
      <c r="N90" s="247"/>
      <c r="O90" s="247"/>
      <c r="P90" s="247"/>
      <c r="Q90" s="247"/>
      <c r="R90" s="247"/>
      <c r="S90" s="247"/>
      <c r="T90" s="247"/>
      <c r="U90" s="250"/>
    </row>
    <row r="91" spans="1:21" ht="12.75" customHeight="1">
      <c r="A91" s="237"/>
      <c r="B91" s="268"/>
      <c r="C91" s="237"/>
      <c r="D91" s="242" t="s">
        <v>113</v>
      </c>
      <c r="E91" s="243"/>
      <c r="F91" s="243"/>
      <c r="G91" s="243"/>
      <c r="H91" s="243"/>
      <c r="I91" s="243"/>
      <c r="J91" s="243"/>
      <c r="K91" s="243"/>
      <c r="L91" s="244"/>
      <c r="M91" s="240"/>
      <c r="N91" s="248"/>
      <c r="O91" s="248"/>
      <c r="P91" s="248"/>
      <c r="Q91" s="248"/>
      <c r="R91" s="248"/>
      <c r="S91" s="248"/>
      <c r="T91" s="248"/>
      <c r="U91" s="251"/>
    </row>
    <row r="92" spans="1:21" ht="13.5" customHeight="1">
      <c r="A92" s="237"/>
      <c r="B92" s="268"/>
      <c r="C92" s="237"/>
      <c r="D92" s="104" t="s">
        <v>91</v>
      </c>
      <c r="E92" s="103">
        <f>F92+G92+H92+I92+J92+K92+L92</f>
        <v>82091443.11</v>
      </c>
      <c r="F92" s="105">
        <f>F62+F68+F74+F80+F86</f>
        <v>17556508.23</v>
      </c>
      <c r="G92" s="105">
        <f aca="true" t="shared" si="16" ref="G92:L95">G62+G68+G74+G80+G86</f>
        <v>13531029.020000001</v>
      </c>
      <c r="H92" s="105">
        <f t="shared" si="16"/>
        <v>17161002.88</v>
      </c>
      <c r="I92" s="105">
        <f t="shared" si="16"/>
        <v>18642902.98</v>
      </c>
      <c r="J92" s="105">
        <f t="shared" si="16"/>
        <v>15200000</v>
      </c>
      <c r="K92" s="105">
        <f t="shared" si="16"/>
        <v>0</v>
      </c>
      <c r="L92" s="105">
        <f t="shared" si="16"/>
        <v>0</v>
      </c>
      <c r="M92" s="240"/>
      <c r="N92" s="248"/>
      <c r="O92" s="248"/>
      <c r="P92" s="248"/>
      <c r="Q92" s="248"/>
      <c r="R92" s="248"/>
      <c r="S92" s="248"/>
      <c r="T92" s="248"/>
      <c r="U92" s="251"/>
    </row>
    <row r="93" spans="1:21" ht="13.5" customHeight="1">
      <c r="A93" s="237"/>
      <c r="B93" s="268"/>
      <c r="C93" s="237"/>
      <c r="D93" s="104" t="s">
        <v>89</v>
      </c>
      <c r="E93" s="103">
        <f>F93+G93+H93+I93+J93+K93+L93</f>
        <v>0</v>
      </c>
      <c r="F93" s="105">
        <f>F63+F69+F75+F81+F87</f>
        <v>0</v>
      </c>
      <c r="G93" s="105">
        <f aca="true" t="shared" si="17" ref="G93:H95">G63+G69+G75+G81+G87</f>
        <v>0</v>
      </c>
      <c r="H93" s="105">
        <f t="shared" si="17"/>
        <v>0</v>
      </c>
      <c r="I93" s="105">
        <f t="shared" si="16"/>
        <v>0</v>
      </c>
      <c r="J93" s="105">
        <f t="shared" si="16"/>
        <v>0</v>
      </c>
      <c r="K93" s="105">
        <f t="shared" si="16"/>
        <v>0</v>
      </c>
      <c r="L93" s="105">
        <f t="shared" si="16"/>
        <v>0</v>
      </c>
      <c r="M93" s="240"/>
      <c r="N93" s="248"/>
      <c r="O93" s="248"/>
      <c r="P93" s="248"/>
      <c r="Q93" s="248"/>
      <c r="R93" s="248"/>
      <c r="S93" s="248"/>
      <c r="T93" s="248"/>
      <c r="U93" s="251"/>
    </row>
    <row r="94" spans="1:21" ht="13.5" customHeight="1">
      <c r="A94" s="237"/>
      <c r="B94" s="268"/>
      <c r="C94" s="237"/>
      <c r="D94" s="104" t="s">
        <v>90</v>
      </c>
      <c r="E94" s="103">
        <f>F94+G94+H94+I94+J94+K94+L94</f>
        <v>0</v>
      </c>
      <c r="F94" s="105">
        <f>F64+F70+F76+F82+F88</f>
        <v>0</v>
      </c>
      <c r="G94" s="105">
        <f t="shared" si="17"/>
        <v>0</v>
      </c>
      <c r="H94" s="105">
        <f t="shared" si="17"/>
        <v>0</v>
      </c>
      <c r="I94" s="105">
        <f t="shared" si="16"/>
        <v>0</v>
      </c>
      <c r="J94" s="105">
        <f t="shared" si="16"/>
        <v>0</v>
      </c>
      <c r="K94" s="105">
        <f t="shared" si="16"/>
        <v>0</v>
      </c>
      <c r="L94" s="105">
        <f t="shared" si="16"/>
        <v>0</v>
      </c>
      <c r="M94" s="240"/>
      <c r="N94" s="248"/>
      <c r="O94" s="248"/>
      <c r="P94" s="248"/>
      <c r="Q94" s="248"/>
      <c r="R94" s="248"/>
      <c r="S94" s="248"/>
      <c r="T94" s="248"/>
      <c r="U94" s="251"/>
    </row>
    <row r="95" spans="1:21" ht="13.5" customHeight="1">
      <c r="A95" s="237"/>
      <c r="B95" s="269"/>
      <c r="C95" s="237"/>
      <c r="D95" s="104" t="s">
        <v>92</v>
      </c>
      <c r="E95" s="103">
        <f>F95+G95+H95+I95+J95+K95+L95</f>
        <v>0</v>
      </c>
      <c r="F95" s="105">
        <f>F65+F71+F77+F83+F89</f>
        <v>0</v>
      </c>
      <c r="G95" s="105">
        <f t="shared" si="17"/>
        <v>0</v>
      </c>
      <c r="H95" s="105">
        <f t="shared" si="17"/>
        <v>0</v>
      </c>
      <c r="I95" s="105">
        <f t="shared" si="16"/>
        <v>0</v>
      </c>
      <c r="J95" s="105">
        <f t="shared" si="16"/>
        <v>0</v>
      </c>
      <c r="K95" s="105">
        <f t="shared" si="16"/>
        <v>0</v>
      </c>
      <c r="L95" s="105">
        <f t="shared" si="16"/>
        <v>0</v>
      </c>
      <c r="M95" s="241"/>
      <c r="N95" s="249"/>
      <c r="O95" s="249"/>
      <c r="P95" s="249"/>
      <c r="Q95" s="249"/>
      <c r="R95" s="249"/>
      <c r="S95" s="249"/>
      <c r="T95" s="249"/>
      <c r="U95" s="252"/>
    </row>
    <row r="96" spans="1:21" ht="13.5" customHeight="1">
      <c r="A96" s="237"/>
      <c r="B96" s="267" t="s">
        <v>30</v>
      </c>
      <c r="C96" s="237"/>
      <c r="D96" s="102" t="s">
        <v>93</v>
      </c>
      <c r="E96" s="103">
        <f aca="true" t="shared" si="18" ref="E96:L96">E98+E99+E100+E101</f>
        <v>760019900.78</v>
      </c>
      <c r="F96" s="103">
        <f t="shared" si="18"/>
        <v>378697560.7</v>
      </c>
      <c r="G96" s="103">
        <f t="shared" si="18"/>
        <v>268862522.67</v>
      </c>
      <c r="H96" s="103">
        <f t="shared" si="18"/>
        <v>75942400.7</v>
      </c>
      <c r="I96" s="103">
        <f t="shared" si="18"/>
        <v>19417416.71</v>
      </c>
      <c r="J96" s="103">
        <f t="shared" si="18"/>
        <v>17100000</v>
      </c>
      <c r="K96" s="103">
        <f t="shared" si="18"/>
        <v>0</v>
      </c>
      <c r="L96" s="103">
        <f t="shared" si="18"/>
        <v>0</v>
      </c>
      <c r="M96" s="239"/>
      <c r="N96" s="247"/>
      <c r="O96" s="247"/>
      <c r="P96" s="247"/>
      <c r="Q96" s="247"/>
      <c r="R96" s="247"/>
      <c r="S96" s="247"/>
      <c r="T96" s="247"/>
      <c r="U96" s="250"/>
    </row>
    <row r="97" spans="1:21" ht="12.75" customHeight="1">
      <c r="A97" s="237"/>
      <c r="B97" s="268"/>
      <c r="C97" s="237"/>
      <c r="D97" s="242" t="s">
        <v>113</v>
      </c>
      <c r="E97" s="243"/>
      <c r="F97" s="243"/>
      <c r="G97" s="243"/>
      <c r="H97" s="243"/>
      <c r="I97" s="243"/>
      <c r="J97" s="243"/>
      <c r="K97" s="243"/>
      <c r="L97" s="244"/>
      <c r="M97" s="240"/>
      <c r="N97" s="248"/>
      <c r="O97" s="248"/>
      <c r="P97" s="248"/>
      <c r="Q97" s="248"/>
      <c r="R97" s="248"/>
      <c r="S97" s="248"/>
      <c r="T97" s="248"/>
      <c r="U97" s="251"/>
    </row>
    <row r="98" spans="1:21" ht="13.5" customHeight="1">
      <c r="A98" s="237"/>
      <c r="B98" s="268"/>
      <c r="C98" s="237"/>
      <c r="D98" s="104" t="s">
        <v>91</v>
      </c>
      <c r="E98" s="103">
        <f>F98+G98+H98+I98+J98+K98+L98</f>
        <v>501068402.87</v>
      </c>
      <c r="F98" s="105">
        <f aca="true" t="shared" si="19" ref="F98:L101">F55+F92</f>
        <v>224841076.51999998</v>
      </c>
      <c r="G98" s="105">
        <f t="shared" si="19"/>
        <v>179542022.67000002</v>
      </c>
      <c r="H98" s="105">
        <f t="shared" si="19"/>
        <v>60942400.7</v>
      </c>
      <c r="I98" s="105">
        <f t="shared" si="19"/>
        <v>18642902.98</v>
      </c>
      <c r="J98" s="105">
        <f t="shared" si="19"/>
        <v>17100000</v>
      </c>
      <c r="K98" s="105">
        <f t="shared" si="19"/>
        <v>0</v>
      </c>
      <c r="L98" s="105">
        <f t="shared" si="19"/>
        <v>0</v>
      </c>
      <c r="M98" s="240"/>
      <c r="N98" s="248"/>
      <c r="O98" s="248"/>
      <c r="P98" s="248"/>
      <c r="Q98" s="248"/>
      <c r="R98" s="248"/>
      <c r="S98" s="248"/>
      <c r="T98" s="248"/>
      <c r="U98" s="251"/>
    </row>
    <row r="99" spans="1:21" ht="13.5" customHeight="1">
      <c r="A99" s="237"/>
      <c r="B99" s="268"/>
      <c r="C99" s="237"/>
      <c r="D99" s="104" t="s">
        <v>89</v>
      </c>
      <c r="E99" s="103">
        <f>F99+G99+H99+I99+J99+K99+L99</f>
        <v>36380613.73</v>
      </c>
      <c r="F99" s="105">
        <f aca="true" t="shared" si="20" ref="F99:H101">F56+F93</f>
        <v>0</v>
      </c>
      <c r="G99" s="105">
        <f t="shared" si="20"/>
        <v>20606100</v>
      </c>
      <c r="H99" s="105">
        <f t="shared" si="20"/>
        <v>15000000</v>
      </c>
      <c r="I99" s="105">
        <f t="shared" si="19"/>
        <v>774513.73</v>
      </c>
      <c r="J99" s="105">
        <f t="shared" si="19"/>
        <v>0</v>
      </c>
      <c r="K99" s="105">
        <f t="shared" si="19"/>
        <v>0</v>
      </c>
      <c r="L99" s="105">
        <f t="shared" si="19"/>
        <v>0</v>
      </c>
      <c r="M99" s="240"/>
      <c r="N99" s="248"/>
      <c r="O99" s="248"/>
      <c r="P99" s="248"/>
      <c r="Q99" s="248"/>
      <c r="R99" s="248"/>
      <c r="S99" s="248"/>
      <c r="T99" s="248"/>
      <c r="U99" s="251"/>
    </row>
    <row r="100" spans="1:21" ht="13.5" customHeight="1">
      <c r="A100" s="237"/>
      <c r="B100" s="268"/>
      <c r="C100" s="237"/>
      <c r="D100" s="104" t="s">
        <v>90</v>
      </c>
      <c r="E100" s="103">
        <f>F100+G100+H100+I100+J100+K100+L100</f>
        <v>222570884.18</v>
      </c>
      <c r="F100" s="105">
        <f t="shared" si="20"/>
        <v>153856484.18</v>
      </c>
      <c r="G100" s="105">
        <f t="shared" si="20"/>
        <v>68714400</v>
      </c>
      <c r="H100" s="105">
        <f t="shared" si="20"/>
        <v>0</v>
      </c>
      <c r="I100" s="105">
        <f t="shared" si="19"/>
        <v>0</v>
      </c>
      <c r="J100" s="105">
        <f t="shared" si="19"/>
        <v>0</v>
      </c>
      <c r="K100" s="105">
        <f t="shared" si="19"/>
        <v>0</v>
      </c>
      <c r="L100" s="105">
        <f t="shared" si="19"/>
        <v>0</v>
      </c>
      <c r="M100" s="240"/>
      <c r="N100" s="248"/>
      <c r="O100" s="248"/>
      <c r="P100" s="248"/>
      <c r="Q100" s="248"/>
      <c r="R100" s="248"/>
      <c r="S100" s="248"/>
      <c r="T100" s="248"/>
      <c r="U100" s="251"/>
    </row>
    <row r="101" spans="1:21" ht="13.5" customHeight="1">
      <c r="A101" s="237"/>
      <c r="B101" s="269"/>
      <c r="C101" s="237"/>
      <c r="D101" s="104" t="s">
        <v>92</v>
      </c>
      <c r="E101" s="103">
        <f>F101+G101+H101+I101+J101+K101+L101</f>
        <v>0</v>
      </c>
      <c r="F101" s="105">
        <f t="shared" si="20"/>
        <v>0</v>
      </c>
      <c r="G101" s="105">
        <f t="shared" si="20"/>
        <v>0</v>
      </c>
      <c r="H101" s="105">
        <f t="shared" si="20"/>
        <v>0</v>
      </c>
      <c r="I101" s="105">
        <f t="shared" si="19"/>
        <v>0</v>
      </c>
      <c r="J101" s="105">
        <f t="shared" si="19"/>
        <v>0</v>
      </c>
      <c r="K101" s="105">
        <f t="shared" si="19"/>
        <v>0</v>
      </c>
      <c r="L101" s="105">
        <f t="shared" si="19"/>
        <v>0</v>
      </c>
      <c r="M101" s="241"/>
      <c r="N101" s="249"/>
      <c r="O101" s="249"/>
      <c r="P101" s="249"/>
      <c r="Q101" s="249"/>
      <c r="R101" s="249"/>
      <c r="S101" s="249"/>
      <c r="T101" s="249"/>
      <c r="U101" s="252"/>
    </row>
    <row r="104" ht="12.75">
      <c r="G104" s="26"/>
    </row>
    <row r="105" ht="12.75">
      <c r="G105" s="26"/>
    </row>
    <row r="106" ht="12.75">
      <c r="G106" s="26"/>
    </row>
    <row r="107" ht="12.75">
      <c r="G107" s="26"/>
    </row>
    <row r="108" ht="12.75">
      <c r="G108" s="26"/>
    </row>
    <row r="109" ht="12.75">
      <c r="G109" s="26"/>
    </row>
  </sheetData>
  <sheetProtection/>
  <mergeCells count="218">
    <mergeCell ref="S49:S52"/>
    <mergeCell ref="T49:T52"/>
    <mergeCell ref="U49:U52"/>
    <mergeCell ref="A49:A52"/>
    <mergeCell ref="B49:B52"/>
    <mergeCell ref="C49:C52"/>
    <mergeCell ref="M49:M52"/>
    <mergeCell ref="N49:N52"/>
    <mergeCell ref="O49:O52"/>
    <mergeCell ref="P49:P52"/>
    <mergeCell ref="Q49:Q52"/>
    <mergeCell ref="R49:R52"/>
    <mergeCell ref="D28:L28"/>
    <mergeCell ref="C27:C32"/>
    <mergeCell ref="T24:T26"/>
    <mergeCell ref="C21:C26"/>
    <mergeCell ref="D22:L22"/>
    <mergeCell ref="P24:P26"/>
    <mergeCell ref="R21:R23"/>
    <mergeCell ref="S39:S44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R53:R58"/>
    <mergeCell ref="S53:S58"/>
    <mergeCell ref="Q53:Q58"/>
    <mergeCell ref="T53:T58"/>
    <mergeCell ref="U53:U58"/>
    <mergeCell ref="Q24:Q26"/>
    <mergeCell ref="R24:R26"/>
    <mergeCell ref="S24:S26"/>
    <mergeCell ref="T39:T44"/>
    <mergeCell ref="R39:R44"/>
    <mergeCell ref="A53:A58"/>
    <mergeCell ref="B53:B58"/>
    <mergeCell ref="C53:C58"/>
    <mergeCell ref="M53:M58"/>
    <mergeCell ref="N53:N58"/>
    <mergeCell ref="O53:O58"/>
    <mergeCell ref="D54:L54"/>
    <mergeCell ref="T15:T20"/>
    <mergeCell ref="T9:T14"/>
    <mergeCell ref="R33:R38"/>
    <mergeCell ref="P53:P58"/>
    <mergeCell ref="U39:U44"/>
    <mergeCell ref="A39:A44"/>
    <mergeCell ref="B39:B44"/>
    <mergeCell ref="C39:C44"/>
    <mergeCell ref="M39:M44"/>
    <mergeCell ref="N39:N44"/>
    <mergeCell ref="P33:P38"/>
    <mergeCell ref="O33:O38"/>
    <mergeCell ref="Q33:Q38"/>
    <mergeCell ref="O39:O44"/>
    <mergeCell ref="Q39:Q44"/>
    <mergeCell ref="S33:S38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U90:U95"/>
    <mergeCell ref="U78:U83"/>
    <mergeCell ref="Q78:Q83"/>
    <mergeCell ref="R78:R83"/>
    <mergeCell ref="S78:S83"/>
    <mergeCell ref="U72:U77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A27:A32"/>
    <mergeCell ref="O90:O95"/>
    <mergeCell ref="P90:P95"/>
    <mergeCell ref="Q90:Q95"/>
    <mergeCell ref="D91:L91"/>
    <mergeCell ref="B8:U8"/>
    <mergeCell ref="P9:P14"/>
    <mergeCell ref="Q9:Q14"/>
    <mergeCell ref="R9:R14"/>
    <mergeCell ref="S9:S14"/>
    <mergeCell ref="B27:B32"/>
    <mergeCell ref="R90:R95"/>
    <mergeCell ref="S90:S95"/>
    <mergeCell ref="D97:L97"/>
    <mergeCell ref="A90:A95"/>
    <mergeCell ref="B90:B95"/>
    <mergeCell ref="C90:C95"/>
    <mergeCell ref="M90:M95"/>
    <mergeCell ref="N90:N95"/>
    <mergeCell ref="A96:A101"/>
    <mergeCell ref="B96:B101"/>
    <mergeCell ref="C96:C101"/>
    <mergeCell ref="M96:M101"/>
    <mergeCell ref="T90:T95"/>
    <mergeCell ref="Q84:Q89"/>
    <mergeCell ref="T96:T101"/>
    <mergeCell ref="N96:N101"/>
    <mergeCell ref="D85:L85"/>
    <mergeCell ref="S84:S89"/>
    <mergeCell ref="U96:U101"/>
    <mergeCell ref="U84:U89"/>
    <mergeCell ref="O96:O101"/>
    <mergeCell ref="P96:P101"/>
    <mergeCell ref="Q96:Q101"/>
    <mergeCell ref="R96:R101"/>
    <mergeCell ref="S96:S101"/>
    <mergeCell ref="P84:P89"/>
    <mergeCell ref="R84:R89"/>
    <mergeCell ref="T84:T89"/>
    <mergeCell ref="A84:A89"/>
    <mergeCell ref="B84:B89"/>
    <mergeCell ref="C84:C89"/>
    <mergeCell ref="M84:M89"/>
    <mergeCell ref="N84:N89"/>
    <mergeCell ref="O84:O89"/>
    <mergeCell ref="A78:A83"/>
    <mergeCell ref="B78:B83"/>
    <mergeCell ref="C78:C83"/>
    <mergeCell ref="M78:M83"/>
    <mergeCell ref="N78:N83"/>
    <mergeCell ref="D79:L79"/>
    <mergeCell ref="O72:O77"/>
    <mergeCell ref="P72:P77"/>
    <mergeCell ref="Q72:Q77"/>
    <mergeCell ref="T78:T83"/>
    <mergeCell ref="R72:R77"/>
    <mergeCell ref="S72:S77"/>
    <mergeCell ref="O78:O83"/>
    <mergeCell ref="T72:T77"/>
    <mergeCell ref="P78:P83"/>
    <mergeCell ref="A72:A77"/>
    <mergeCell ref="B72:B77"/>
    <mergeCell ref="C72:C77"/>
    <mergeCell ref="M72:M77"/>
    <mergeCell ref="N72:N77"/>
    <mergeCell ref="D73:L73"/>
    <mergeCell ref="O66:O71"/>
    <mergeCell ref="P66:P71"/>
    <mergeCell ref="Q66:Q71"/>
    <mergeCell ref="R66:R71"/>
    <mergeCell ref="Q60:Q65"/>
    <mergeCell ref="U66:U71"/>
    <mergeCell ref="U60:U65"/>
    <mergeCell ref="S66:S71"/>
    <mergeCell ref="T66:T71"/>
    <mergeCell ref="T60:T65"/>
    <mergeCell ref="D61:L61"/>
    <mergeCell ref="A66:A71"/>
    <mergeCell ref="B66:B71"/>
    <mergeCell ref="C66:C71"/>
    <mergeCell ref="M66:M71"/>
    <mergeCell ref="N66:N71"/>
    <mergeCell ref="D67:L67"/>
    <mergeCell ref="B59:U59"/>
    <mergeCell ref="A60:A65"/>
    <mergeCell ref="B60:B65"/>
    <mergeCell ref="C60:C65"/>
    <mergeCell ref="M60:M65"/>
    <mergeCell ref="N60:N65"/>
    <mergeCell ref="O60:O65"/>
    <mergeCell ref="P60:P65"/>
    <mergeCell ref="R60:R65"/>
    <mergeCell ref="S60:S65"/>
    <mergeCell ref="C4:C5"/>
    <mergeCell ref="D4:D5"/>
    <mergeCell ref="E4:L4"/>
    <mergeCell ref="M4:T4"/>
    <mergeCell ref="U4:U5"/>
    <mergeCell ref="B7:U7"/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130" bestFit="1" customWidth="1"/>
    <col min="2" max="9" width="17.28125" style="130" customWidth="1"/>
    <col min="10" max="16384" width="9.140625" style="130" customWidth="1"/>
  </cols>
  <sheetData>
    <row r="1" spans="7:10" s="92" customFormat="1" ht="79.5" customHeight="1">
      <c r="G1" s="178" t="s">
        <v>275</v>
      </c>
      <c r="H1" s="179"/>
      <c r="I1" s="179"/>
      <c r="J1" s="129"/>
    </row>
    <row r="2" spans="5:10" ht="39" customHeight="1">
      <c r="E2" s="131"/>
      <c r="F2" s="132"/>
      <c r="G2" s="132"/>
      <c r="I2" s="132" t="s">
        <v>120</v>
      </c>
      <c r="J2" s="106"/>
    </row>
    <row r="3" ht="15.75">
      <c r="F3" s="132"/>
    </row>
    <row r="4" spans="1:9" ht="36.75" customHeight="1">
      <c r="A4" s="199" t="s">
        <v>57</v>
      </c>
      <c r="B4" s="199"/>
      <c r="C4" s="199"/>
      <c r="D4" s="199"/>
      <c r="E4" s="199"/>
      <c r="F4" s="199"/>
      <c r="G4" s="199"/>
      <c r="H4" s="199"/>
      <c r="I4" s="199"/>
    </row>
    <row r="5" spans="1:9" ht="30" customHeight="1">
      <c r="A5" s="200" t="s">
        <v>99</v>
      </c>
      <c r="B5" s="202" t="s">
        <v>100</v>
      </c>
      <c r="C5" s="204" t="s">
        <v>101</v>
      </c>
      <c r="D5" s="204"/>
      <c r="E5" s="204"/>
      <c r="F5" s="204"/>
      <c r="G5" s="204"/>
      <c r="H5" s="204"/>
      <c r="I5" s="204"/>
    </row>
    <row r="6" spans="1:9" ht="16.5" customHeight="1">
      <c r="A6" s="201"/>
      <c r="B6" s="203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47" t="s">
        <v>59</v>
      </c>
      <c r="B7" s="147" t="s">
        <v>60</v>
      </c>
      <c r="C7" s="147" t="s">
        <v>61</v>
      </c>
      <c r="D7" s="147" t="s">
        <v>62</v>
      </c>
      <c r="E7" s="147" t="s">
        <v>63</v>
      </c>
      <c r="F7" s="147" t="s">
        <v>64</v>
      </c>
      <c r="G7" s="147" t="s">
        <v>65</v>
      </c>
      <c r="H7" s="147" t="s">
        <v>66</v>
      </c>
      <c r="I7" s="147" t="s">
        <v>67</v>
      </c>
    </row>
    <row r="8" spans="1:9" ht="19.5" customHeight="1">
      <c r="A8" s="136" t="s">
        <v>58</v>
      </c>
      <c r="B8" s="137">
        <f>B10+B11+B12+B13</f>
        <v>4267532980.59</v>
      </c>
      <c r="C8" s="137">
        <f>C10+C11+C12+C13</f>
        <v>529444436.56</v>
      </c>
      <c r="D8" s="137">
        <f aca="true" t="shared" si="0" ref="D8:I8">D10+D11+D12+D13</f>
        <v>534443846.3399999</v>
      </c>
      <c r="E8" s="137">
        <f t="shared" si="0"/>
        <v>581563893.9100001</v>
      </c>
      <c r="F8" s="137">
        <f t="shared" si="0"/>
        <v>627368555.7599999</v>
      </c>
      <c r="G8" s="137">
        <f t="shared" si="0"/>
        <v>662040470.83</v>
      </c>
      <c r="H8" s="137">
        <f t="shared" si="0"/>
        <v>654769189.95</v>
      </c>
      <c r="I8" s="137">
        <f t="shared" si="0"/>
        <v>677902587.24</v>
      </c>
    </row>
    <row r="9" spans="1:9" ht="16.5" customHeight="1">
      <c r="A9" s="193" t="s">
        <v>102</v>
      </c>
      <c r="B9" s="194"/>
      <c r="C9" s="194"/>
      <c r="D9" s="194"/>
      <c r="E9" s="194"/>
      <c r="F9" s="194"/>
      <c r="G9" s="194"/>
      <c r="H9" s="194"/>
      <c r="I9" s="195"/>
    </row>
    <row r="10" spans="1:9" ht="16.5" customHeight="1">
      <c r="A10" s="138" t="s">
        <v>103</v>
      </c>
      <c r="B10" s="137">
        <f>B17</f>
        <v>1416375804.2900002</v>
      </c>
      <c r="C10" s="156">
        <f aca="true" t="shared" si="1" ref="C10:I10">C17</f>
        <v>188197260.56</v>
      </c>
      <c r="D10" s="156">
        <f t="shared" si="1"/>
        <v>183358996.29999998</v>
      </c>
      <c r="E10" s="156">
        <f t="shared" si="1"/>
        <v>200063567.48000002</v>
      </c>
      <c r="F10" s="156">
        <f t="shared" si="1"/>
        <v>214739723.39</v>
      </c>
      <c r="G10" s="156">
        <f t="shared" si="1"/>
        <v>224388483.74999997</v>
      </c>
      <c r="H10" s="156">
        <f t="shared" si="1"/>
        <v>200278508.86</v>
      </c>
      <c r="I10" s="156">
        <f t="shared" si="1"/>
        <v>205349263.94999996</v>
      </c>
    </row>
    <row r="11" spans="1:9" ht="16.5" customHeight="1">
      <c r="A11" s="138" t="s">
        <v>20</v>
      </c>
      <c r="B11" s="137">
        <f aca="true" t="shared" si="2" ref="B11:I11">B18</f>
        <v>2447518661.59</v>
      </c>
      <c r="C11" s="156">
        <f t="shared" si="2"/>
        <v>296853576</v>
      </c>
      <c r="D11" s="156">
        <f t="shared" si="2"/>
        <v>303770524.76</v>
      </c>
      <c r="E11" s="156">
        <f t="shared" si="2"/>
        <v>323224934.43</v>
      </c>
      <c r="F11" s="156">
        <f t="shared" si="2"/>
        <v>351170309.21</v>
      </c>
      <c r="G11" s="156">
        <f t="shared" si="2"/>
        <v>373586428.99</v>
      </c>
      <c r="H11" s="156">
        <f t="shared" si="2"/>
        <v>390425123</v>
      </c>
      <c r="I11" s="156">
        <f t="shared" si="2"/>
        <v>408487765.2</v>
      </c>
    </row>
    <row r="12" spans="1:9" ht="16.5" customHeight="1">
      <c r="A12" s="138" t="s">
        <v>21</v>
      </c>
      <c r="B12" s="137">
        <f aca="true" t="shared" si="3" ref="B12:I12">B19</f>
        <v>0</v>
      </c>
      <c r="C12" s="156">
        <f t="shared" si="3"/>
        <v>0</v>
      </c>
      <c r="D12" s="156">
        <f t="shared" si="3"/>
        <v>0</v>
      </c>
      <c r="E12" s="156">
        <f t="shared" si="3"/>
        <v>0</v>
      </c>
      <c r="F12" s="156">
        <f t="shared" si="3"/>
        <v>0</v>
      </c>
      <c r="G12" s="156">
        <f t="shared" si="3"/>
        <v>0</v>
      </c>
      <c r="H12" s="156">
        <f t="shared" si="3"/>
        <v>0</v>
      </c>
      <c r="I12" s="156">
        <f t="shared" si="3"/>
        <v>0</v>
      </c>
    </row>
    <row r="13" spans="1:9" ht="16.5" customHeight="1">
      <c r="A13" s="138" t="s">
        <v>106</v>
      </c>
      <c r="B13" s="137">
        <f aca="true" t="shared" si="4" ref="B13:I13">B20</f>
        <v>403638514.71000004</v>
      </c>
      <c r="C13" s="156">
        <f t="shared" si="4"/>
        <v>44393600</v>
      </c>
      <c r="D13" s="156">
        <f t="shared" si="4"/>
        <v>47314325.28</v>
      </c>
      <c r="E13" s="156">
        <f t="shared" si="4"/>
        <v>58275392</v>
      </c>
      <c r="F13" s="156">
        <f t="shared" si="4"/>
        <v>61458523.160000004</v>
      </c>
      <c r="G13" s="156">
        <f t="shared" si="4"/>
        <v>64065558.09</v>
      </c>
      <c r="H13" s="156">
        <f t="shared" si="4"/>
        <v>64065558.09</v>
      </c>
      <c r="I13" s="156">
        <f t="shared" si="4"/>
        <v>64065558.09</v>
      </c>
    </row>
    <row r="14" spans="1:9" ht="16.5" customHeight="1">
      <c r="A14" s="196" t="s">
        <v>107</v>
      </c>
      <c r="B14" s="197"/>
      <c r="C14" s="197"/>
      <c r="D14" s="197"/>
      <c r="E14" s="197"/>
      <c r="F14" s="197"/>
      <c r="G14" s="197"/>
      <c r="H14" s="197"/>
      <c r="I14" s="198"/>
    </row>
    <row r="15" spans="1:9" ht="46.5" customHeight="1">
      <c r="A15" s="140" t="s">
        <v>114</v>
      </c>
      <c r="B15" s="137">
        <f>B17+B18+B19+B20</f>
        <v>4267532980.59</v>
      </c>
      <c r="C15" s="137">
        <f>C17+C18+C19+C20</f>
        <v>529444436.56</v>
      </c>
      <c r="D15" s="137">
        <f>D17+D18+D20</f>
        <v>534443846.3399999</v>
      </c>
      <c r="E15" s="137">
        <f>E17+E18+E19+E20</f>
        <v>581563893.9100001</v>
      </c>
      <c r="F15" s="137">
        <f>F17+F18+F19+F20</f>
        <v>627368555.7599999</v>
      </c>
      <c r="G15" s="137">
        <f>G17+G18+G19+G20</f>
        <v>662040470.83</v>
      </c>
      <c r="H15" s="137">
        <f>H17+H18+H19+H20</f>
        <v>654769189.95</v>
      </c>
      <c r="I15" s="137">
        <f>I17+I18+I19+I20</f>
        <v>677902587.24</v>
      </c>
    </row>
    <row r="16" spans="1:9" ht="16.5" customHeight="1">
      <c r="A16" s="193" t="s">
        <v>102</v>
      </c>
      <c r="B16" s="194"/>
      <c r="C16" s="194"/>
      <c r="D16" s="194"/>
      <c r="E16" s="194"/>
      <c r="F16" s="194"/>
      <c r="G16" s="194"/>
      <c r="H16" s="194"/>
      <c r="I16" s="195"/>
    </row>
    <row r="17" spans="1:9" ht="16.5" customHeight="1">
      <c r="A17" s="138" t="s">
        <v>103</v>
      </c>
      <c r="B17" s="137">
        <f>SUM(C17:I17)</f>
        <v>1416375804.2900002</v>
      </c>
      <c r="C17" s="157">
        <f>'таб 3(1)'!F53</f>
        <v>188197260.56</v>
      </c>
      <c r="D17" s="139">
        <f>+'таб 3(1)'!G53</f>
        <v>183358996.29999998</v>
      </c>
      <c r="E17" s="139">
        <f>+'таб 3(1)'!H53</f>
        <v>200063567.48000002</v>
      </c>
      <c r="F17" s="139">
        <f>+'таб 3(1)'!I53</f>
        <v>214739723.39</v>
      </c>
      <c r="G17" s="139">
        <f>+'таб 3(1)'!J53</f>
        <v>224388483.74999997</v>
      </c>
      <c r="H17" s="139">
        <f>+'таб 3(1)'!K53</f>
        <v>200278508.86</v>
      </c>
      <c r="I17" s="139">
        <f>+'таб 3(1)'!L53</f>
        <v>205349263.94999996</v>
      </c>
    </row>
    <row r="18" spans="1:9" ht="16.5" customHeight="1">
      <c r="A18" s="138" t="s">
        <v>20</v>
      </c>
      <c r="B18" s="137">
        <f>SUM(C18:I18)</f>
        <v>2447518661.59</v>
      </c>
      <c r="C18" s="158">
        <f>'таб 3(1)'!F54</f>
        <v>296853576</v>
      </c>
      <c r="D18" s="139">
        <f>+'таб 3(1)'!G54</f>
        <v>303770524.76</v>
      </c>
      <c r="E18" s="139">
        <f>+'таб 3(1)'!H54</f>
        <v>323224934.43</v>
      </c>
      <c r="F18" s="139">
        <f>+'таб 3(1)'!I54</f>
        <v>351170309.21</v>
      </c>
      <c r="G18" s="139">
        <f>+'таб 3(1)'!J54</f>
        <v>373586428.99</v>
      </c>
      <c r="H18" s="139">
        <f>+'таб 3(1)'!K54</f>
        <v>390425123</v>
      </c>
      <c r="I18" s="139">
        <f>+'таб 3(1)'!L54</f>
        <v>408487765.2</v>
      </c>
    </row>
    <row r="19" spans="1:9" ht="16.5" customHeight="1">
      <c r="A19" s="138" t="s">
        <v>21</v>
      </c>
      <c r="B19" s="137">
        <f>SUM(C19:I19)</f>
        <v>0</v>
      </c>
      <c r="C19" s="139">
        <f>'таб 3(1)'!F55</f>
        <v>0</v>
      </c>
      <c r="D19" s="139">
        <f>'таб 3(1)'!G55</f>
        <v>0</v>
      </c>
      <c r="E19" s="139">
        <f>'таб 3(1)'!H55</f>
        <v>0</v>
      </c>
      <c r="F19" s="139">
        <f>'таб 3(1)'!I55</f>
        <v>0</v>
      </c>
      <c r="G19" s="139">
        <f>'таб 3(1)'!J55</f>
        <v>0</v>
      </c>
      <c r="H19" s="139">
        <f>'таб 3(1)'!K55</f>
        <v>0</v>
      </c>
      <c r="I19" s="139">
        <f>'таб 3(1)'!L55</f>
        <v>0</v>
      </c>
    </row>
    <row r="20" spans="1:9" ht="16.5" customHeight="1">
      <c r="A20" s="138" t="s">
        <v>106</v>
      </c>
      <c r="B20" s="137">
        <f>SUM(C20:I20)</f>
        <v>403638514.71000004</v>
      </c>
      <c r="C20" s="158">
        <f>'таб 3(1)'!F56</f>
        <v>44393600</v>
      </c>
      <c r="D20" s="139">
        <f>'таб 3(1)'!G56</f>
        <v>47314325.28</v>
      </c>
      <c r="E20" s="139">
        <f>'таб 3(1)'!H56</f>
        <v>58275392</v>
      </c>
      <c r="F20" s="139">
        <f>'таб 3(1)'!I56</f>
        <v>61458523.160000004</v>
      </c>
      <c r="G20" s="139">
        <f>'таб 3(1)'!J56</f>
        <v>64065558.09</v>
      </c>
      <c r="H20" s="139">
        <f>'таб 3(1)'!K56</f>
        <v>64065558.09</v>
      </c>
      <c r="I20" s="139">
        <f>'таб 3(1)'!L56</f>
        <v>64065558.09</v>
      </c>
    </row>
    <row r="21" spans="1:9" ht="31.5">
      <c r="A21" s="17" t="s">
        <v>108</v>
      </c>
      <c r="B21" s="137">
        <f>SUM(C21:I21)</f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5.75">
      <c r="A22" s="18"/>
      <c r="B22" s="131"/>
      <c r="C22" s="159"/>
      <c r="D22" s="159"/>
      <c r="E22" s="159"/>
      <c r="F22" s="159"/>
      <c r="G22" s="159"/>
      <c r="H22" s="159"/>
      <c r="I22" s="159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L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2"/>
      <c r="H1" s="113"/>
      <c r="I1" s="19"/>
      <c r="J1" s="129"/>
      <c r="Q1" s="178" t="s">
        <v>276</v>
      </c>
      <c r="R1" s="179"/>
      <c r="S1" s="179"/>
      <c r="T1" s="179"/>
      <c r="U1" s="179"/>
    </row>
    <row r="2" spans="20:21" ht="12.75">
      <c r="T2" s="100"/>
      <c r="U2" s="100" t="s">
        <v>115</v>
      </c>
    </row>
    <row r="3" spans="1:21" ht="15.75">
      <c r="A3" s="246" t="s">
        <v>68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1:21" ht="31.5" customHeight="1">
      <c r="A4" s="188" t="s">
        <v>97</v>
      </c>
      <c r="B4" s="188" t="s">
        <v>109</v>
      </c>
      <c r="C4" s="188" t="s">
        <v>110</v>
      </c>
      <c r="D4" s="188" t="s">
        <v>99</v>
      </c>
      <c r="E4" s="188" t="s">
        <v>111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5" t="s">
        <v>112</v>
      </c>
    </row>
    <row r="5" spans="1:21" ht="24.75" customHeight="1">
      <c r="A5" s="188"/>
      <c r="B5" s="188"/>
      <c r="C5" s="188"/>
      <c r="D5" s="188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36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6" t="s">
        <v>116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12.75">
      <c r="A8" s="28">
        <v>1</v>
      </c>
      <c r="B8" s="216" t="s">
        <v>117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8" customHeight="1">
      <c r="A9" s="226" t="s">
        <v>121</v>
      </c>
      <c r="B9" s="227" t="s">
        <v>259</v>
      </c>
      <c r="C9" s="232" t="s">
        <v>78</v>
      </c>
      <c r="D9" s="22" t="s">
        <v>93</v>
      </c>
      <c r="E9" s="23">
        <f>E11+E12+E13+E14</f>
        <v>2341983124.4999995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334968711.59999996</v>
      </c>
      <c r="J9" s="23">
        <f>J11+J12+J13+J14</f>
        <v>356298724.25</v>
      </c>
      <c r="K9" s="23">
        <f t="shared" si="0"/>
        <v>373098916.78</v>
      </c>
      <c r="L9" s="23">
        <f t="shared" si="0"/>
        <v>391161986.74</v>
      </c>
      <c r="M9" s="229" t="s">
        <v>189</v>
      </c>
      <c r="N9" s="211">
        <v>99.6</v>
      </c>
      <c r="O9" s="211">
        <v>95.7</v>
      </c>
      <c r="P9" s="211">
        <v>97.5</v>
      </c>
      <c r="Q9" s="211">
        <v>100</v>
      </c>
      <c r="R9" s="211">
        <v>100</v>
      </c>
      <c r="S9" s="211">
        <v>100</v>
      </c>
      <c r="T9" s="211">
        <v>100</v>
      </c>
      <c r="U9" s="208" t="s">
        <v>263</v>
      </c>
    </row>
    <row r="10" spans="1:21" ht="24.75" customHeight="1">
      <c r="A10" s="226"/>
      <c r="B10" s="227"/>
      <c r="C10" s="233"/>
      <c r="D10" s="219" t="s">
        <v>113</v>
      </c>
      <c r="E10" s="220"/>
      <c r="F10" s="220"/>
      <c r="G10" s="220"/>
      <c r="H10" s="220"/>
      <c r="I10" s="220"/>
      <c r="J10" s="220"/>
      <c r="K10" s="220"/>
      <c r="L10" s="221"/>
      <c r="M10" s="230"/>
      <c r="N10" s="212"/>
      <c r="O10" s="212"/>
      <c r="P10" s="212"/>
      <c r="Q10" s="212"/>
      <c r="R10" s="212"/>
      <c r="S10" s="212"/>
      <c r="T10" s="212"/>
      <c r="U10" s="209"/>
    </row>
    <row r="11" spans="1:21" ht="18" customHeight="1">
      <c r="A11" s="226"/>
      <c r="B11" s="227"/>
      <c r="C11" s="233"/>
      <c r="D11" s="22" t="s">
        <v>91</v>
      </c>
      <c r="E11" s="23">
        <f>F11+G11+H11+I11+J11+K11+L11</f>
        <v>4317947.72</v>
      </c>
      <c r="F11" s="23">
        <v>3970110</v>
      </c>
      <c r="G11" s="23"/>
      <c r="H11" s="23">
        <f>82156+30701.13</f>
        <v>112857.13</v>
      </c>
      <c r="I11" s="23">
        <f>25732.57+4968.56-15350.61+7919.49</f>
        <v>23270.010000000002</v>
      </c>
      <c r="J11" s="23">
        <v>96095.26</v>
      </c>
      <c r="K11" s="175">
        <v>57593.78</v>
      </c>
      <c r="L11" s="176">
        <f>7068.26+50953.28</f>
        <v>58021.54</v>
      </c>
      <c r="M11" s="230"/>
      <c r="N11" s="212"/>
      <c r="O11" s="212"/>
      <c r="P11" s="212"/>
      <c r="Q11" s="212"/>
      <c r="R11" s="212"/>
      <c r="S11" s="212"/>
      <c r="T11" s="212"/>
      <c r="U11" s="209"/>
    </row>
    <row r="12" spans="1:21" ht="18" customHeight="1">
      <c r="A12" s="226"/>
      <c r="B12" s="227"/>
      <c r="C12" s="233"/>
      <c r="D12" s="22" t="s">
        <v>89</v>
      </c>
      <c r="E12" s="23">
        <f>F12+G12+H12+I12+J12+K12+L12</f>
        <v>2337665176.7799997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335745600+488918.78-285202.78+144011.59-9461600+8313714</f>
        <v>334945441.59</v>
      </c>
      <c r="J12" s="23">
        <f>348525800+234128.99+7442700</f>
        <v>356202628.99</v>
      </c>
      <c r="K12" s="23">
        <f>365140600+140323+7760400</f>
        <v>373041323</v>
      </c>
      <c r="L12" s="23">
        <f>382867000+141365.2+8095600</f>
        <v>391103965.2</v>
      </c>
      <c r="M12" s="230"/>
      <c r="N12" s="212"/>
      <c r="O12" s="212"/>
      <c r="P12" s="212"/>
      <c r="Q12" s="212"/>
      <c r="R12" s="212"/>
      <c r="S12" s="212"/>
      <c r="T12" s="212"/>
      <c r="U12" s="209"/>
    </row>
    <row r="13" spans="1:21" ht="22.5" customHeight="1">
      <c r="A13" s="226"/>
      <c r="B13" s="227"/>
      <c r="C13" s="233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30"/>
      <c r="N13" s="212"/>
      <c r="O13" s="212"/>
      <c r="P13" s="212"/>
      <c r="Q13" s="212"/>
      <c r="R13" s="212"/>
      <c r="S13" s="212"/>
      <c r="T13" s="212"/>
      <c r="U13" s="209"/>
    </row>
    <row r="14" spans="1:21" ht="23.25" customHeight="1">
      <c r="A14" s="226"/>
      <c r="B14" s="227"/>
      <c r="C14" s="234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31"/>
      <c r="N14" s="213"/>
      <c r="O14" s="213"/>
      <c r="P14" s="213"/>
      <c r="Q14" s="213"/>
      <c r="R14" s="213"/>
      <c r="S14" s="213"/>
      <c r="T14" s="213"/>
      <c r="U14" s="210"/>
    </row>
    <row r="15" spans="1:21" ht="18.75" customHeight="1">
      <c r="A15" s="226" t="s">
        <v>122</v>
      </c>
      <c r="B15" s="227" t="s">
        <v>260</v>
      </c>
      <c r="C15" s="232" t="s">
        <v>78</v>
      </c>
      <c r="D15" s="22" t="s">
        <v>93</v>
      </c>
      <c r="E15" s="23">
        <f>E17+E18+E19+E20</f>
        <v>1709790179.08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247178201.23000002</v>
      </c>
      <c r="I15" s="23">
        <f t="shared" si="1"/>
        <v>267013631.6</v>
      </c>
      <c r="J15" s="23">
        <f t="shared" si="1"/>
        <v>273165618.28999996</v>
      </c>
      <c r="K15" s="23">
        <f t="shared" si="1"/>
        <v>254577314.17000002</v>
      </c>
      <c r="L15" s="23">
        <f t="shared" si="1"/>
        <v>254491268.49999997</v>
      </c>
      <c r="M15" s="229" t="s">
        <v>188</v>
      </c>
      <c r="N15" s="211">
        <v>100</v>
      </c>
      <c r="O15" s="211">
        <v>100</v>
      </c>
      <c r="P15" s="211">
        <v>100</v>
      </c>
      <c r="Q15" s="211">
        <v>100</v>
      </c>
      <c r="R15" s="211">
        <v>100</v>
      </c>
      <c r="S15" s="211">
        <v>100</v>
      </c>
      <c r="T15" s="211">
        <v>100</v>
      </c>
      <c r="U15" s="208" t="s">
        <v>263</v>
      </c>
    </row>
    <row r="16" spans="1:21" ht="16.5" customHeight="1">
      <c r="A16" s="226"/>
      <c r="B16" s="227"/>
      <c r="C16" s="233"/>
      <c r="D16" s="219" t="s">
        <v>113</v>
      </c>
      <c r="E16" s="220"/>
      <c r="F16" s="220"/>
      <c r="G16" s="220"/>
      <c r="H16" s="220"/>
      <c r="I16" s="220"/>
      <c r="J16" s="220"/>
      <c r="K16" s="220"/>
      <c r="L16" s="221"/>
      <c r="M16" s="230"/>
      <c r="N16" s="212"/>
      <c r="O16" s="212"/>
      <c r="P16" s="212"/>
      <c r="Q16" s="212"/>
      <c r="R16" s="212"/>
      <c r="S16" s="212"/>
      <c r="T16" s="212"/>
      <c r="U16" s="209"/>
    </row>
    <row r="17" spans="1:21" ht="12.75" customHeight="1">
      <c r="A17" s="226"/>
      <c r="B17" s="227"/>
      <c r="C17" s="233"/>
      <c r="D17" s="22" t="s">
        <v>91</v>
      </c>
      <c r="E17" s="23">
        <f>F17+G17+H17+I17+J17+K17+L17</f>
        <v>1315115276.37</v>
      </c>
      <c r="F17" s="23">
        <f>166906451.53</f>
        <v>166906451.53</v>
      </c>
      <c r="G17" s="23">
        <v>157638427.98</v>
      </c>
      <c r="H17" s="23">
        <f>181419742.53+5992432-164443.47+1823219.61+2011460.83-379602.27</f>
        <v>190702809.23000002</v>
      </c>
      <c r="I17" s="23">
        <f>193799176.87+10744449.98-1300802.93+3241622.02</f>
        <v>206484445.94</v>
      </c>
      <c r="J17" s="23">
        <f>26081771.29+94133957.41+28428455.15+54124003+1514011.81+3380407.6+1020882.94+1531776</f>
        <v>210215265.2</v>
      </c>
      <c r="K17" s="23">
        <f>24845252.01+79114566.92+23892599.2+56288963.12+1514011.81+3409978.62+1029813.4+1531776</f>
        <v>191626961.08</v>
      </c>
      <c r="L17" s="23">
        <f>23670558.72+78221722.71+23622960.26+58540521.64+1514011.81+3409650.1+1029714.17+1531776</f>
        <v>191540915.40999997</v>
      </c>
      <c r="M17" s="230"/>
      <c r="N17" s="212"/>
      <c r="O17" s="212"/>
      <c r="P17" s="212"/>
      <c r="Q17" s="212"/>
      <c r="R17" s="212"/>
      <c r="S17" s="212"/>
      <c r="T17" s="212"/>
      <c r="U17" s="209"/>
    </row>
    <row r="18" spans="1:21" ht="12.75" customHeight="1">
      <c r="A18" s="226"/>
      <c r="B18" s="227"/>
      <c r="C18" s="233"/>
      <c r="D18" s="22" t="s">
        <v>89</v>
      </c>
      <c r="E18" s="23">
        <f>F18+G18+H18+I18+J18+K18+L18</f>
        <v>967810</v>
      </c>
      <c r="F18" s="23">
        <v>967810</v>
      </c>
      <c r="G18" s="23"/>
      <c r="H18" s="23"/>
      <c r="I18" s="23"/>
      <c r="J18" s="23"/>
      <c r="K18" s="23"/>
      <c r="L18" s="23"/>
      <c r="M18" s="230"/>
      <c r="N18" s="212"/>
      <c r="O18" s="212"/>
      <c r="P18" s="212"/>
      <c r="Q18" s="212"/>
      <c r="R18" s="212"/>
      <c r="S18" s="212"/>
      <c r="T18" s="212"/>
      <c r="U18" s="209"/>
    </row>
    <row r="19" spans="1:21" ht="12.75" customHeight="1">
      <c r="A19" s="226"/>
      <c r="B19" s="227"/>
      <c r="C19" s="233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30"/>
      <c r="N19" s="212"/>
      <c r="O19" s="212"/>
      <c r="P19" s="212"/>
      <c r="Q19" s="212"/>
      <c r="R19" s="212"/>
      <c r="S19" s="212"/>
      <c r="T19" s="212"/>
      <c r="U19" s="209"/>
    </row>
    <row r="20" spans="1:21" ht="13.5" customHeight="1">
      <c r="A20" s="226"/>
      <c r="B20" s="227"/>
      <c r="C20" s="234"/>
      <c r="D20" s="22" t="s">
        <v>92</v>
      </c>
      <c r="E20" s="23">
        <f>F20+G20+H20+I20+J20+K20+L20</f>
        <v>393707092.71000004</v>
      </c>
      <c r="F20" s="23">
        <v>41676800</v>
      </c>
      <c r="G20" s="23">
        <f>45883796.78+290859</f>
        <v>46174655.78</v>
      </c>
      <c r="H20" s="23">
        <v>56475392</v>
      </c>
      <c r="I20" s="23">
        <f>7500000+3065690.4+5718296.16+4800000+4097480.4+3934154.74+6500000+3963283.49+2450+6120000+9800000+3910000+1117830.47</f>
        <v>60529185.660000004</v>
      </c>
      <c r="J20" s="23">
        <v>62950353.09</v>
      </c>
      <c r="K20" s="23">
        <v>62950353.09</v>
      </c>
      <c r="L20" s="23">
        <v>62950353.09</v>
      </c>
      <c r="M20" s="231"/>
      <c r="N20" s="213"/>
      <c r="O20" s="213"/>
      <c r="P20" s="213"/>
      <c r="Q20" s="213"/>
      <c r="R20" s="213"/>
      <c r="S20" s="213"/>
      <c r="T20" s="213"/>
      <c r="U20" s="210"/>
    </row>
    <row r="21" spans="1:21" ht="19.5" customHeight="1">
      <c r="A21" s="226" t="s">
        <v>123</v>
      </c>
      <c r="B21" s="227" t="s">
        <v>118</v>
      </c>
      <c r="C21" s="232" t="s">
        <v>78</v>
      </c>
      <c r="D21" s="22" t="s">
        <v>93</v>
      </c>
      <c r="E21" s="23">
        <f>E23+E24+E25+E26</f>
        <v>34547131.85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22" t="s">
        <v>3</v>
      </c>
      <c r="N21" s="205">
        <v>1</v>
      </c>
      <c r="O21" s="205">
        <v>1</v>
      </c>
      <c r="P21" s="205">
        <v>1</v>
      </c>
      <c r="Q21" s="205">
        <v>1</v>
      </c>
      <c r="R21" s="205">
        <v>1</v>
      </c>
      <c r="S21" s="205">
        <v>1</v>
      </c>
      <c r="T21" s="205">
        <v>1</v>
      </c>
      <c r="U21" s="208" t="s">
        <v>52</v>
      </c>
    </row>
    <row r="22" spans="1:21" ht="16.5" customHeight="1">
      <c r="A22" s="226"/>
      <c r="B22" s="227"/>
      <c r="C22" s="233"/>
      <c r="D22" s="219" t="s">
        <v>113</v>
      </c>
      <c r="E22" s="220"/>
      <c r="F22" s="220"/>
      <c r="G22" s="220"/>
      <c r="H22" s="220"/>
      <c r="I22" s="220"/>
      <c r="J22" s="220"/>
      <c r="K22" s="220"/>
      <c r="L22" s="221"/>
      <c r="M22" s="223"/>
      <c r="N22" s="206"/>
      <c r="O22" s="206"/>
      <c r="P22" s="206"/>
      <c r="Q22" s="206"/>
      <c r="R22" s="206"/>
      <c r="S22" s="206"/>
      <c r="T22" s="206"/>
      <c r="U22" s="209"/>
    </row>
    <row r="23" spans="1:21" ht="23.25" customHeight="1">
      <c r="A23" s="226"/>
      <c r="B23" s="227"/>
      <c r="C23" s="233"/>
      <c r="D23" s="22" t="s">
        <v>91</v>
      </c>
      <c r="E23" s="23">
        <f>F23+G23+H23+I23+J23+K23+L23</f>
        <v>34547131.85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3"/>
      <c r="N23" s="206"/>
      <c r="O23" s="206"/>
      <c r="P23" s="206"/>
      <c r="Q23" s="206"/>
      <c r="R23" s="206"/>
      <c r="S23" s="206"/>
      <c r="T23" s="206"/>
      <c r="U23" s="209"/>
    </row>
    <row r="24" spans="1:21" ht="12.75">
      <c r="A24" s="226"/>
      <c r="B24" s="227"/>
      <c r="C24" s="233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23"/>
      <c r="N24" s="206"/>
      <c r="O24" s="206"/>
      <c r="P24" s="206"/>
      <c r="Q24" s="206"/>
      <c r="R24" s="206"/>
      <c r="S24" s="206"/>
      <c r="T24" s="206"/>
      <c r="U24" s="209"/>
    </row>
    <row r="25" spans="1:21" ht="12.75">
      <c r="A25" s="226"/>
      <c r="B25" s="227"/>
      <c r="C25" s="233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23"/>
      <c r="N25" s="206"/>
      <c r="O25" s="206"/>
      <c r="P25" s="206"/>
      <c r="Q25" s="206"/>
      <c r="R25" s="206"/>
      <c r="S25" s="206"/>
      <c r="T25" s="206"/>
      <c r="U25" s="209"/>
    </row>
    <row r="26" spans="1:21" ht="12.75">
      <c r="A26" s="226"/>
      <c r="B26" s="227"/>
      <c r="C26" s="234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28"/>
      <c r="N26" s="207"/>
      <c r="O26" s="207"/>
      <c r="P26" s="207"/>
      <c r="Q26" s="207"/>
      <c r="R26" s="207"/>
      <c r="S26" s="207"/>
      <c r="T26" s="207"/>
      <c r="U26" s="210"/>
    </row>
    <row r="27" spans="1:21" ht="19.5" customHeight="1">
      <c r="A27" s="226" t="s">
        <v>124</v>
      </c>
      <c r="B27" s="227" t="s">
        <v>180</v>
      </c>
      <c r="C27" s="232" t="s">
        <v>78</v>
      </c>
      <c r="D27" s="22" t="s">
        <v>93</v>
      </c>
      <c r="E27" s="23">
        <f aca="true" t="shared" si="3" ref="E27:L27">E29+E30+E31+E32</f>
        <v>64999623.16</v>
      </c>
      <c r="F27" s="23">
        <f t="shared" si="3"/>
        <v>805706</v>
      </c>
      <c r="G27" s="23">
        <f t="shared" si="3"/>
        <v>9276871.26</v>
      </c>
      <c r="H27" s="23">
        <f t="shared" si="3"/>
        <v>9991366.549999999</v>
      </c>
      <c r="I27" s="23">
        <f t="shared" si="3"/>
        <v>8504275.06</v>
      </c>
      <c r="J27" s="23">
        <f t="shared" si="3"/>
        <v>14077123.29</v>
      </c>
      <c r="K27" s="23">
        <f t="shared" si="3"/>
        <v>8593954</v>
      </c>
      <c r="L27" s="23">
        <f t="shared" si="3"/>
        <v>13750327</v>
      </c>
      <c r="M27" s="222" t="s">
        <v>264</v>
      </c>
      <c r="N27" s="205">
        <v>1</v>
      </c>
      <c r="O27" s="205">
        <v>1</v>
      </c>
      <c r="P27" s="205">
        <v>1</v>
      </c>
      <c r="Q27" s="205">
        <v>100</v>
      </c>
      <c r="R27" s="205">
        <v>100</v>
      </c>
      <c r="S27" s="205">
        <v>100</v>
      </c>
      <c r="T27" s="205">
        <v>100</v>
      </c>
      <c r="U27" s="208" t="s">
        <v>263</v>
      </c>
    </row>
    <row r="28" spans="1:21" ht="16.5" customHeight="1">
      <c r="A28" s="226"/>
      <c r="B28" s="227"/>
      <c r="C28" s="233"/>
      <c r="D28" s="219" t="s">
        <v>113</v>
      </c>
      <c r="E28" s="220"/>
      <c r="F28" s="220"/>
      <c r="G28" s="220"/>
      <c r="H28" s="220"/>
      <c r="I28" s="220"/>
      <c r="J28" s="220"/>
      <c r="K28" s="220"/>
      <c r="L28" s="221"/>
      <c r="M28" s="223"/>
      <c r="N28" s="206"/>
      <c r="O28" s="206"/>
      <c r="P28" s="206"/>
      <c r="Q28" s="206"/>
      <c r="R28" s="206"/>
      <c r="S28" s="206"/>
      <c r="T28" s="206"/>
      <c r="U28" s="209"/>
    </row>
    <row r="29" spans="1:21" ht="23.25" customHeight="1">
      <c r="A29" s="226"/>
      <c r="B29" s="227"/>
      <c r="C29" s="233"/>
      <c r="D29" s="22" t="s">
        <v>91</v>
      </c>
      <c r="E29" s="23">
        <f>F29+G29+H29+I29+J29+K29+L29</f>
        <v>62395448.349999994</v>
      </c>
      <c r="F29" s="23"/>
      <c r="G29" s="23">
        <v>8494135.5</v>
      </c>
      <c r="H29" s="23">
        <f>6503695+685472.64+771517.94+1046435.17+240780.37</f>
        <v>9247901.12</v>
      </c>
      <c r="I29" s="23">
        <f>8012033+219974.44</f>
        <v>8232007.44</v>
      </c>
      <c r="J29" s="23">
        <v>14077123.29</v>
      </c>
      <c r="K29" s="23">
        <v>8593954</v>
      </c>
      <c r="L29" s="23">
        <v>13750327</v>
      </c>
      <c r="M29" s="223"/>
      <c r="N29" s="206"/>
      <c r="O29" s="206"/>
      <c r="P29" s="206"/>
      <c r="Q29" s="206"/>
      <c r="R29" s="206"/>
      <c r="S29" s="206"/>
      <c r="T29" s="206"/>
      <c r="U29" s="209"/>
    </row>
    <row r="30" spans="1:21" ht="15" customHeight="1">
      <c r="A30" s="226"/>
      <c r="B30" s="227"/>
      <c r="C30" s="233"/>
      <c r="D30" s="22" t="s">
        <v>89</v>
      </c>
      <c r="E30" s="23">
        <f>F30+G30+H30+I30+J30+K30+L30</f>
        <v>2604174.81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1887.92+722034.04-417034.04-1415.92-33204.38</f>
        <v>272267.6200000001</v>
      </c>
      <c r="J30" s="24"/>
      <c r="K30" s="24"/>
      <c r="L30" s="24"/>
      <c r="M30" s="223"/>
      <c r="N30" s="206"/>
      <c r="O30" s="206"/>
      <c r="P30" s="206"/>
      <c r="Q30" s="206"/>
      <c r="R30" s="206"/>
      <c r="S30" s="206"/>
      <c r="T30" s="206"/>
      <c r="U30" s="209"/>
    </row>
    <row r="31" spans="1:21" ht="12.75">
      <c r="A31" s="226"/>
      <c r="B31" s="227"/>
      <c r="C31" s="233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23"/>
      <c r="N31" s="206"/>
      <c r="O31" s="206"/>
      <c r="P31" s="206"/>
      <c r="Q31" s="206"/>
      <c r="R31" s="206"/>
      <c r="S31" s="206"/>
      <c r="T31" s="206"/>
      <c r="U31" s="209"/>
    </row>
    <row r="32" spans="1:21" ht="12.75">
      <c r="A32" s="226"/>
      <c r="B32" s="227"/>
      <c r="C32" s="234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28"/>
      <c r="N32" s="207"/>
      <c r="O32" s="207"/>
      <c r="P32" s="207"/>
      <c r="Q32" s="207"/>
      <c r="R32" s="207"/>
      <c r="S32" s="207"/>
      <c r="T32" s="207"/>
      <c r="U32" s="210"/>
    </row>
    <row r="33" spans="1:21" ht="18" customHeight="1">
      <c r="A33" s="226" t="s">
        <v>125</v>
      </c>
      <c r="B33" s="227" t="s">
        <v>261</v>
      </c>
      <c r="C33" s="232" t="s">
        <v>78</v>
      </c>
      <c r="D33" s="22" t="s">
        <v>93</v>
      </c>
      <c r="E33" s="23">
        <f aca="true" t="shared" si="4" ref="E33:L33">E35+E36+E37+E38</f>
        <v>2592300</v>
      </c>
      <c r="F33" s="23">
        <f t="shared" si="4"/>
        <v>291800</v>
      </c>
      <c r="G33" s="23">
        <f t="shared" si="4"/>
        <v>328700</v>
      </c>
      <c r="H33" s="23">
        <f t="shared" si="4"/>
        <v>310700</v>
      </c>
      <c r="I33" s="23">
        <f t="shared" si="4"/>
        <v>389100</v>
      </c>
      <c r="J33" s="23">
        <f t="shared" si="4"/>
        <v>424000</v>
      </c>
      <c r="K33" s="23">
        <f t="shared" si="4"/>
        <v>424000</v>
      </c>
      <c r="L33" s="23">
        <f t="shared" si="4"/>
        <v>424000</v>
      </c>
      <c r="M33" s="222" t="s">
        <v>2</v>
      </c>
      <c r="N33" s="205">
        <v>1</v>
      </c>
      <c r="O33" s="205">
        <v>1</v>
      </c>
      <c r="P33" s="205">
        <v>1</v>
      </c>
      <c r="Q33" s="205">
        <v>1</v>
      </c>
      <c r="R33" s="205">
        <v>1</v>
      </c>
      <c r="S33" s="205">
        <v>1</v>
      </c>
      <c r="T33" s="205">
        <v>1</v>
      </c>
      <c r="U33" s="208" t="s">
        <v>263</v>
      </c>
    </row>
    <row r="34" spans="1:21" ht="16.5" customHeight="1">
      <c r="A34" s="226"/>
      <c r="B34" s="227"/>
      <c r="C34" s="233"/>
      <c r="D34" s="219" t="s">
        <v>113</v>
      </c>
      <c r="E34" s="220"/>
      <c r="F34" s="220"/>
      <c r="G34" s="220"/>
      <c r="H34" s="220"/>
      <c r="I34" s="220"/>
      <c r="J34" s="220"/>
      <c r="K34" s="220"/>
      <c r="L34" s="221"/>
      <c r="M34" s="223"/>
      <c r="N34" s="206"/>
      <c r="O34" s="206"/>
      <c r="P34" s="206"/>
      <c r="Q34" s="206"/>
      <c r="R34" s="206"/>
      <c r="S34" s="206"/>
      <c r="T34" s="206"/>
      <c r="U34" s="209"/>
    </row>
    <row r="35" spans="1:21" ht="18.75" customHeight="1">
      <c r="A35" s="226"/>
      <c r="B35" s="227"/>
      <c r="C35" s="233"/>
      <c r="D35" s="22" t="s">
        <v>91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23"/>
      <c r="N35" s="206"/>
      <c r="O35" s="206"/>
      <c r="P35" s="206"/>
      <c r="Q35" s="206"/>
      <c r="R35" s="206"/>
      <c r="S35" s="206"/>
      <c r="T35" s="206"/>
      <c r="U35" s="209"/>
    </row>
    <row r="36" spans="1:21" ht="15.75" customHeight="1">
      <c r="A36" s="226"/>
      <c r="B36" s="227"/>
      <c r="C36" s="233"/>
      <c r="D36" s="22" t="s">
        <v>89</v>
      </c>
      <c r="E36" s="23">
        <f>F36+G36+H36+I36+J36+K36+L36</f>
        <v>2592300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170216.5+255283.5-14554-21846</f>
        <v>389100</v>
      </c>
      <c r="J36" s="23">
        <f>169598+254402</f>
        <v>424000</v>
      </c>
      <c r="K36" s="23">
        <f>169598+254402</f>
        <v>424000</v>
      </c>
      <c r="L36" s="23">
        <f>169598+254402</f>
        <v>424000</v>
      </c>
      <c r="M36" s="224"/>
      <c r="N36" s="214"/>
      <c r="O36" s="214"/>
      <c r="P36" s="214"/>
      <c r="Q36" s="214"/>
      <c r="R36" s="214"/>
      <c r="S36" s="214"/>
      <c r="T36" s="214"/>
      <c r="U36" s="209"/>
    </row>
    <row r="37" spans="1:21" ht="14.25" customHeight="1">
      <c r="A37" s="226"/>
      <c r="B37" s="227"/>
      <c r="C37" s="233"/>
      <c r="D37" s="22" t="s">
        <v>90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24"/>
      <c r="N37" s="214"/>
      <c r="O37" s="214"/>
      <c r="P37" s="214"/>
      <c r="Q37" s="214"/>
      <c r="R37" s="214"/>
      <c r="S37" s="214"/>
      <c r="T37" s="214"/>
      <c r="U37" s="209"/>
    </row>
    <row r="38" spans="1:21" ht="14.25" customHeight="1">
      <c r="A38" s="226"/>
      <c r="B38" s="227"/>
      <c r="C38" s="234"/>
      <c r="D38" s="22" t="s">
        <v>92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25"/>
      <c r="N38" s="215"/>
      <c r="O38" s="215"/>
      <c r="P38" s="215"/>
      <c r="Q38" s="215"/>
      <c r="R38" s="215"/>
      <c r="S38" s="215"/>
      <c r="T38" s="215"/>
      <c r="U38" s="210"/>
    </row>
    <row r="39" spans="1:21" ht="14.25" customHeight="1">
      <c r="A39" s="226" t="s">
        <v>126</v>
      </c>
      <c r="B39" s="245" t="s">
        <v>262</v>
      </c>
      <c r="C39" s="232" t="s">
        <v>78</v>
      </c>
      <c r="D39" s="22" t="s">
        <v>93</v>
      </c>
      <c r="E39" s="23">
        <f>E41+E42+E43+E44</f>
        <v>103689200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15563500</v>
      </c>
      <c r="J39" s="23">
        <f t="shared" si="5"/>
        <v>16959800</v>
      </c>
      <c r="K39" s="23">
        <f t="shared" si="5"/>
        <v>16959800</v>
      </c>
      <c r="L39" s="23">
        <f t="shared" si="5"/>
        <v>16959800</v>
      </c>
      <c r="M39" s="222" t="s">
        <v>190</v>
      </c>
      <c r="N39" s="211">
        <v>93.7</v>
      </c>
      <c r="O39" s="211">
        <v>93.5</v>
      </c>
      <c r="P39" s="211">
        <v>93.3</v>
      </c>
      <c r="Q39" s="211">
        <v>93</v>
      </c>
      <c r="R39" s="211">
        <v>93</v>
      </c>
      <c r="S39" s="211">
        <v>93</v>
      </c>
      <c r="T39" s="211">
        <v>93</v>
      </c>
      <c r="U39" s="208" t="s">
        <v>263</v>
      </c>
    </row>
    <row r="40" spans="1:21" ht="16.5" customHeight="1">
      <c r="A40" s="226"/>
      <c r="B40" s="245"/>
      <c r="C40" s="233"/>
      <c r="D40" s="219" t="s">
        <v>113</v>
      </c>
      <c r="E40" s="220"/>
      <c r="F40" s="220"/>
      <c r="G40" s="220"/>
      <c r="H40" s="220"/>
      <c r="I40" s="220"/>
      <c r="J40" s="220"/>
      <c r="K40" s="220"/>
      <c r="L40" s="221"/>
      <c r="M40" s="223"/>
      <c r="N40" s="212"/>
      <c r="O40" s="212"/>
      <c r="P40" s="212"/>
      <c r="Q40" s="212"/>
      <c r="R40" s="212"/>
      <c r="S40" s="212"/>
      <c r="T40" s="212"/>
      <c r="U40" s="209"/>
    </row>
    <row r="41" spans="1:21" ht="14.25" customHeight="1">
      <c r="A41" s="226"/>
      <c r="B41" s="245"/>
      <c r="C41" s="233"/>
      <c r="D41" s="22" t="s">
        <v>91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23"/>
      <c r="N41" s="212"/>
      <c r="O41" s="212"/>
      <c r="P41" s="212"/>
      <c r="Q41" s="212"/>
      <c r="R41" s="212"/>
      <c r="S41" s="212"/>
      <c r="T41" s="212"/>
      <c r="U41" s="209"/>
    </row>
    <row r="42" spans="1:21" ht="14.25" customHeight="1">
      <c r="A42" s="226"/>
      <c r="B42" s="245"/>
      <c r="C42" s="233"/>
      <c r="D42" s="22" t="s">
        <v>89</v>
      </c>
      <c r="E42" s="23">
        <f>F42+G42+H42+I42+J42+K42+L42</f>
        <v>103689200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f>17018900-1455400</f>
        <v>15563500</v>
      </c>
      <c r="J42" s="23">
        <v>16959800</v>
      </c>
      <c r="K42" s="23">
        <v>16959800</v>
      </c>
      <c r="L42" s="23">
        <v>16959800</v>
      </c>
      <c r="M42" s="223"/>
      <c r="N42" s="212"/>
      <c r="O42" s="212"/>
      <c r="P42" s="212"/>
      <c r="Q42" s="212"/>
      <c r="R42" s="212"/>
      <c r="S42" s="212"/>
      <c r="T42" s="212"/>
      <c r="U42" s="209"/>
    </row>
    <row r="43" spans="1:21" ht="14.25" customHeight="1">
      <c r="A43" s="226"/>
      <c r="B43" s="245"/>
      <c r="C43" s="233"/>
      <c r="D43" s="22" t="s">
        <v>90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23"/>
      <c r="N43" s="212"/>
      <c r="O43" s="212"/>
      <c r="P43" s="212"/>
      <c r="Q43" s="212"/>
      <c r="R43" s="212"/>
      <c r="S43" s="212"/>
      <c r="T43" s="212"/>
      <c r="U43" s="209"/>
    </row>
    <row r="44" spans="1:21" ht="14.25" customHeight="1">
      <c r="A44" s="226"/>
      <c r="B44" s="245"/>
      <c r="C44" s="234"/>
      <c r="D44" s="22" t="s">
        <v>92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28"/>
      <c r="N44" s="213"/>
      <c r="O44" s="213"/>
      <c r="P44" s="213"/>
      <c r="Q44" s="213"/>
      <c r="R44" s="213"/>
      <c r="S44" s="213"/>
      <c r="T44" s="213"/>
      <c r="U44" s="210"/>
    </row>
    <row r="45" spans="1:21" ht="12.75">
      <c r="A45" s="226" t="s">
        <v>140</v>
      </c>
      <c r="B45" s="245" t="s">
        <v>119</v>
      </c>
      <c r="C45" s="232" t="s">
        <v>78</v>
      </c>
      <c r="D45" s="22" t="s">
        <v>93</v>
      </c>
      <c r="E45" s="23">
        <f>E47+E48+E49+E50</f>
        <v>9931422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929337.5</v>
      </c>
      <c r="J45" s="23">
        <f t="shared" si="6"/>
        <v>1115205</v>
      </c>
      <c r="K45" s="23">
        <f t="shared" si="6"/>
        <v>1115205</v>
      </c>
      <c r="L45" s="23">
        <f t="shared" si="6"/>
        <v>1115205</v>
      </c>
      <c r="M45" s="222" t="s">
        <v>191</v>
      </c>
      <c r="N45" s="205">
        <v>1</v>
      </c>
      <c r="O45" s="205">
        <v>1</v>
      </c>
      <c r="P45" s="205">
        <v>1</v>
      </c>
      <c r="Q45" s="205">
        <v>1</v>
      </c>
      <c r="R45" s="205">
        <v>1</v>
      </c>
      <c r="S45" s="205">
        <v>1</v>
      </c>
      <c r="T45" s="205">
        <v>1</v>
      </c>
      <c r="U45" s="208" t="s">
        <v>52</v>
      </c>
    </row>
    <row r="46" spans="1:21" ht="12.75">
      <c r="A46" s="226"/>
      <c r="B46" s="245"/>
      <c r="C46" s="233"/>
      <c r="D46" s="219" t="s">
        <v>113</v>
      </c>
      <c r="E46" s="220"/>
      <c r="F46" s="220"/>
      <c r="G46" s="220"/>
      <c r="H46" s="220"/>
      <c r="I46" s="220"/>
      <c r="J46" s="220"/>
      <c r="K46" s="220"/>
      <c r="L46" s="221"/>
      <c r="M46" s="223"/>
      <c r="N46" s="206"/>
      <c r="O46" s="206"/>
      <c r="P46" s="206"/>
      <c r="Q46" s="206"/>
      <c r="R46" s="206"/>
      <c r="S46" s="206"/>
      <c r="T46" s="206"/>
      <c r="U46" s="209"/>
    </row>
    <row r="47" spans="1:21" ht="17.25" customHeight="1">
      <c r="A47" s="226"/>
      <c r="B47" s="245"/>
      <c r="C47" s="233"/>
      <c r="D47" s="22" t="s">
        <v>91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223"/>
      <c r="N47" s="206"/>
      <c r="O47" s="206"/>
      <c r="P47" s="206"/>
      <c r="Q47" s="206"/>
      <c r="R47" s="206"/>
      <c r="S47" s="206"/>
      <c r="T47" s="206"/>
      <c r="U47" s="209"/>
    </row>
    <row r="48" spans="1:21" ht="12.75">
      <c r="A48" s="226"/>
      <c r="B48" s="245"/>
      <c r="C48" s="233"/>
      <c r="D48" s="22" t="s">
        <v>89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23"/>
      <c r="N48" s="206"/>
      <c r="O48" s="206"/>
      <c r="P48" s="206"/>
      <c r="Q48" s="206"/>
      <c r="R48" s="206"/>
      <c r="S48" s="206"/>
      <c r="T48" s="206"/>
      <c r="U48" s="209"/>
    </row>
    <row r="49" spans="1:21" ht="12.75">
      <c r="A49" s="226"/>
      <c r="B49" s="245"/>
      <c r="C49" s="233"/>
      <c r="D49" s="22" t="s">
        <v>90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223"/>
      <c r="N49" s="206"/>
      <c r="O49" s="206"/>
      <c r="P49" s="206"/>
      <c r="Q49" s="206"/>
      <c r="R49" s="206"/>
      <c r="S49" s="206"/>
      <c r="T49" s="206"/>
      <c r="U49" s="209"/>
    </row>
    <row r="50" spans="1:21" ht="12.75">
      <c r="A50" s="226"/>
      <c r="B50" s="245"/>
      <c r="C50" s="234"/>
      <c r="D50" s="22" t="s">
        <v>92</v>
      </c>
      <c r="E50" s="23">
        <f>F50+G50+H50+I50+J50+K50+L50</f>
        <v>9931422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f>276144.5+68640+168326+415527+700</f>
        <v>929337.5</v>
      </c>
      <c r="J50" s="24">
        <v>1115205</v>
      </c>
      <c r="K50" s="24">
        <v>1115205</v>
      </c>
      <c r="L50" s="24">
        <v>1115205</v>
      </c>
      <c r="M50" s="228"/>
      <c r="N50" s="207"/>
      <c r="O50" s="207"/>
      <c r="P50" s="207"/>
      <c r="Q50" s="207"/>
      <c r="R50" s="207"/>
      <c r="S50" s="207"/>
      <c r="T50" s="207"/>
      <c r="U50" s="210"/>
    </row>
    <row r="51" spans="1:21" ht="13.5" customHeight="1">
      <c r="A51" s="237"/>
      <c r="B51" s="238" t="s">
        <v>71</v>
      </c>
      <c r="C51" s="237"/>
      <c r="D51" s="102" t="s">
        <v>93</v>
      </c>
      <c r="E51" s="103">
        <f aca="true" t="shared" si="7" ref="E51:L51">E53+E54+E55+E56</f>
        <v>4267532980.59</v>
      </c>
      <c r="F51" s="103">
        <f t="shared" si="7"/>
        <v>529444436.56</v>
      </c>
      <c r="G51" s="103">
        <f>G53+G54+G55+G56</f>
        <v>534443846.3399999</v>
      </c>
      <c r="H51" s="103">
        <f t="shared" si="7"/>
        <v>581563893.9100001</v>
      </c>
      <c r="I51" s="103">
        <f t="shared" si="7"/>
        <v>627368555.7599999</v>
      </c>
      <c r="J51" s="103">
        <f t="shared" si="7"/>
        <v>662040470.83</v>
      </c>
      <c r="K51" s="103">
        <f t="shared" si="7"/>
        <v>654769189.95</v>
      </c>
      <c r="L51" s="103">
        <f t="shared" si="7"/>
        <v>677902587.24</v>
      </c>
      <c r="M51" s="239"/>
      <c r="N51" s="247"/>
      <c r="O51" s="247"/>
      <c r="P51" s="247"/>
      <c r="Q51" s="247"/>
      <c r="R51" s="247"/>
      <c r="S51" s="247"/>
      <c r="T51" s="247"/>
      <c r="U51" s="250"/>
    </row>
    <row r="52" spans="1:21" ht="12.75">
      <c r="A52" s="237"/>
      <c r="B52" s="238"/>
      <c r="C52" s="237"/>
      <c r="D52" s="242" t="s">
        <v>113</v>
      </c>
      <c r="E52" s="243"/>
      <c r="F52" s="243"/>
      <c r="G52" s="243"/>
      <c r="H52" s="243"/>
      <c r="I52" s="243"/>
      <c r="J52" s="243"/>
      <c r="K52" s="243"/>
      <c r="L52" s="244"/>
      <c r="M52" s="240"/>
      <c r="N52" s="248"/>
      <c r="O52" s="248"/>
      <c r="P52" s="248"/>
      <c r="Q52" s="248"/>
      <c r="R52" s="248"/>
      <c r="S52" s="248"/>
      <c r="T52" s="248"/>
      <c r="U52" s="251"/>
    </row>
    <row r="53" spans="1:21" ht="13.5">
      <c r="A53" s="237"/>
      <c r="B53" s="238"/>
      <c r="C53" s="237"/>
      <c r="D53" s="104" t="s">
        <v>91</v>
      </c>
      <c r="E53" s="103">
        <f>F53+G53+H53+I53+J53+K53+L53</f>
        <v>1416375804.2900002</v>
      </c>
      <c r="F53" s="105">
        <f>F11+F17+F23+F29+F35+F41+F47</f>
        <v>188197260.56</v>
      </c>
      <c r="G53" s="105">
        <f aca="true" t="shared" si="8" ref="G53:L56">G11+G17+G23+G29+G35+G41+G47</f>
        <v>183358996.29999998</v>
      </c>
      <c r="H53" s="105">
        <f t="shared" si="8"/>
        <v>200063567.48000002</v>
      </c>
      <c r="I53" s="105">
        <f t="shared" si="8"/>
        <v>214739723.39</v>
      </c>
      <c r="J53" s="105">
        <f t="shared" si="8"/>
        <v>224388483.74999997</v>
      </c>
      <c r="K53" s="105">
        <f t="shared" si="8"/>
        <v>200278508.86</v>
      </c>
      <c r="L53" s="105">
        <f t="shared" si="8"/>
        <v>205349263.94999996</v>
      </c>
      <c r="M53" s="240"/>
      <c r="N53" s="248"/>
      <c r="O53" s="248"/>
      <c r="P53" s="248"/>
      <c r="Q53" s="248"/>
      <c r="R53" s="248"/>
      <c r="S53" s="248"/>
      <c r="T53" s="248"/>
      <c r="U53" s="251"/>
    </row>
    <row r="54" spans="1:21" ht="13.5">
      <c r="A54" s="237"/>
      <c r="B54" s="238"/>
      <c r="C54" s="237"/>
      <c r="D54" s="104" t="s">
        <v>89</v>
      </c>
      <c r="E54" s="103">
        <f>F54+G54+H54+I54+J54+K54+L54</f>
        <v>2447518661.59</v>
      </c>
      <c r="F54" s="105">
        <f>F12+F18+F24+F30+F36+F42+F48</f>
        <v>296853576</v>
      </c>
      <c r="G54" s="105">
        <f t="shared" si="8"/>
        <v>303770524.76</v>
      </c>
      <c r="H54" s="105">
        <f t="shared" si="8"/>
        <v>323224934.43</v>
      </c>
      <c r="I54" s="105">
        <f t="shared" si="8"/>
        <v>351170309.21</v>
      </c>
      <c r="J54" s="105">
        <f t="shared" si="8"/>
        <v>373586428.99</v>
      </c>
      <c r="K54" s="105">
        <f t="shared" si="8"/>
        <v>390425123</v>
      </c>
      <c r="L54" s="105">
        <f t="shared" si="8"/>
        <v>408487765.2</v>
      </c>
      <c r="M54" s="240"/>
      <c r="N54" s="248"/>
      <c r="O54" s="248"/>
      <c r="P54" s="248"/>
      <c r="Q54" s="248"/>
      <c r="R54" s="248"/>
      <c r="S54" s="248"/>
      <c r="T54" s="248"/>
      <c r="U54" s="251"/>
    </row>
    <row r="55" spans="1:21" ht="13.5">
      <c r="A55" s="237"/>
      <c r="B55" s="238"/>
      <c r="C55" s="237"/>
      <c r="D55" s="104" t="s">
        <v>90</v>
      </c>
      <c r="E55" s="103">
        <f>F55+G55+H55+I55+J55+K55+L55</f>
        <v>0</v>
      </c>
      <c r="F55" s="105">
        <f>F13+F19+F25+F31+F37+F43+F49</f>
        <v>0</v>
      </c>
      <c r="G55" s="105">
        <f t="shared" si="8"/>
        <v>0</v>
      </c>
      <c r="H55" s="105">
        <f t="shared" si="8"/>
        <v>0</v>
      </c>
      <c r="I55" s="105">
        <f t="shared" si="8"/>
        <v>0</v>
      </c>
      <c r="J55" s="105">
        <f t="shared" si="8"/>
        <v>0</v>
      </c>
      <c r="K55" s="105">
        <f t="shared" si="8"/>
        <v>0</v>
      </c>
      <c r="L55" s="105">
        <f t="shared" si="8"/>
        <v>0</v>
      </c>
      <c r="M55" s="240"/>
      <c r="N55" s="248"/>
      <c r="O55" s="248"/>
      <c r="P55" s="248"/>
      <c r="Q55" s="248"/>
      <c r="R55" s="248"/>
      <c r="S55" s="248"/>
      <c r="T55" s="248"/>
      <c r="U55" s="251"/>
    </row>
    <row r="56" spans="1:21" ht="13.5">
      <c r="A56" s="237"/>
      <c r="B56" s="238"/>
      <c r="C56" s="237"/>
      <c r="D56" s="104" t="s">
        <v>92</v>
      </c>
      <c r="E56" s="103">
        <f>F56+G56+H56+I56+J56+K56+L56</f>
        <v>403638514.71000004</v>
      </c>
      <c r="F56" s="105">
        <f>F14+F20+F26+F32+F38+F44+F50</f>
        <v>44393600</v>
      </c>
      <c r="G56" s="105">
        <f t="shared" si="8"/>
        <v>47314325.28</v>
      </c>
      <c r="H56" s="105">
        <f t="shared" si="8"/>
        <v>58275392</v>
      </c>
      <c r="I56" s="105">
        <f t="shared" si="8"/>
        <v>61458523.160000004</v>
      </c>
      <c r="J56" s="105">
        <f t="shared" si="8"/>
        <v>64065558.09</v>
      </c>
      <c r="K56" s="105">
        <f t="shared" si="8"/>
        <v>64065558.09</v>
      </c>
      <c r="L56" s="105">
        <f t="shared" si="8"/>
        <v>64065558.09</v>
      </c>
      <c r="M56" s="241"/>
      <c r="N56" s="249"/>
      <c r="O56" s="249"/>
      <c r="P56" s="249"/>
      <c r="Q56" s="249"/>
      <c r="R56" s="249"/>
      <c r="S56" s="249"/>
      <c r="T56" s="249"/>
      <c r="U56" s="252"/>
    </row>
    <row r="58" spans="6:9" ht="12.75">
      <c r="F58" s="112"/>
      <c r="G58" s="96"/>
      <c r="H58" s="96"/>
      <c r="I58" s="96"/>
    </row>
    <row r="59" spans="6:9" ht="12.75">
      <c r="F59" s="112"/>
      <c r="G59" s="96"/>
      <c r="H59" s="96"/>
      <c r="I59" s="96"/>
    </row>
    <row r="60" spans="6:9" ht="12.75">
      <c r="F60" s="112"/>
      <c r="G60" s="96"/>
      <c r="H60" s="96"/>
      <c r="I60" s="96"/>
    </row>
    <row r="61" spans="6:9" ht="12.75">
      <c r="F61" s="112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T51:T56"/>
    <mergeCell ref="U51:U56"/>
    <mergeCell ref="N51:N56"/>
    <mergeCell ref="O51:O56"/>
    <mergeCell ref="P51:P56"/>
    <mergeCell ref="Q51:Q56"/>
    <mergeCell ref="R51:R56"/>
    <mergeCell ref="S51:S56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O21:O26"/>
    <mergeCell ref="P21:P26"/>
    <mergeCell ref="N21:N26"/>
    <mergeCell ref="O9:O14"/>
    <mergeCell ref="N9:N14"/>
    <mergeCell ref="D10:L10"/>
    <mergeCell ref="M9:M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7" customWidth="1"/>
    <col min="2" max="2" width="14.8515625" style="127" bestFit="1" customWidth="1"/>
    <col min="3" max="9" width="13.421875" style="127" bestFit="1" customWidth="1"/>
    <col min="10" max="16384" width="9.140625" style="127" customWidth="1"/>
  </cols>
  <sheetData>
    <row r="1" spans="6:10" s="92" customFormat="1" ht="79.5" customHeight="1">
      <c r="F1" s="178" t="s">
        <v>277</v>
      </c>
      <c r="G1" s="179"/>
      <c r="H1" s="179"/>
      <c r="I1" s="179"/>
      <c r="J1" s="129"/>
    </row>
    <row r="2" spans="5:9" ht="18.75" customHeight="1">
      <c r="E2" s="124"/>
      <c r="F2" s="146"/>
      <c r="G2" s="143"/>
      <c r="I2" s="146" t="s">
        <v>130</v>
      </c>
    </row>
    <row r="3" spans="1:9" ht="36.75" customHeight="1">
      <c r="A3" s="246" t="s">
        <v>69</v>
      </c>
      <c r="B3" s="246"/>
      <c r="C3" s="246"/>
      <c r="D3" s="246"/>
      <c r="E3" s="246"/>
      <c r="F3" s="246"/>
      <c r="G3" s="246"/>
      <c r="H3" s="246"/>
      <c r="I3" s="246"/>
    </row>
    <row r="4" spans="1:9" ht="30" customHeight="1">
      <c r="A4" s="184" t="s">
        <v>99</v>
      </c>
      <c r="B4" s="184" t="s">
        <v>100</v>
      </c>
      <c r="C4" s="257" t="s">
        <v>101</v>
      </c>
      <c r="D4" s="258"/>
      <c r="E4" s="258"/>
      <c r="F4" s="258"/>
      <c r="G4" s="258"/>
      <c r="H4" s="258"/>
      <c r="I4" s="259"/>
    </row>
    <row r="5" spans="1:9" ht="16.5" customHeight="1">
      <c r="A5" s="256"/>
      <c r="B5" s="256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3" t="s">
        <v>59</v>
      </c>
      <c r="B6" s="153" t="s">
        <v>60</v>
      </c>
      <c r="C6" s="153" t="s">
        <v>61</v>
      </c>
      <c r="D6" s="153" t="s">
        <v>62</v>
      </c>
      <c r="E6" s="153" t="s">
        <v>63</v>
      </c>
      <c r="F6" s="153" t="s">
        <v>64</v>
      </c>
      <c r="G6" s="153" t="s">
        <v>65</v>
      </c>
      <c r="H6" s="153" t="s">
        <v>66</v>
      </c>
      <c r="I6" s="153" t="s">
        <v>67</v>
      </c>
    </row>
    <row r="7" spans="1:9" ht="19.5" customHeight="1">
      <c r="A7" s="144" t="s">
        <v>70</v>
      </c>
      <c r="B7" s="126">
        <f>B9+B10+B11+B12</f>
        <v>4833169052.87</v>
      </c>
      <c r="C7" s="126">
        <f aca="true" t="shared" si="0" ref="C7:I7">C9+C10+C11+C12</f>
        <v>630157257.97</v>
      </c>
      <c r="D7" s="126">
        <f t="shared" si="0"/>
        <v>629509067.4799999</v>
      </c>
      <c r="E7" s="126">
        <f t="shared" si="0"/>
        <v>659507806.04</v>
      </c>
      <c r="F7" s="126">
        <f t="shared" si="0"/>
        <v>695886728.07</v>
      </c>
      <c r="G7" s="126">
        <f t="shared" si="0"/>
        <v>731046481.05</v>
      </c>
      <c r="H7" s="126">
        <f t="shared" si="0"/>
        <v>731573147.76</v>
      </c>
      <c r="I7" s="126">
        <f t="shared" si="0"/>
        <v>755488564.5</v>
      </c>
    </row>
    <row r="8" spans="1:9" ht="16.5" customHeight="1">
      <c r="A8" s="253" t="s">
        <v>102</v>
      </c>
      <c r="B8" s="254"/>
      <c r="C8" s="254"/>
      <c r="D8" s="254"/>
      <c r="E8" s="254"/>
      <c r="F8" s="254"/>
      <c r="G8" s="254"/>
      <c r="H8" s="254"/>
      <c r="I8" s="255"/>
    </row>
    <row r="9" spans="1:9" ht="16.5" customHeight="1">
      <c r="A9" s="154" t="s">
        <v>103</v>
      </c>
      <c r="B9" s="126">
        <f>B16</f>
        <v>2153233159.16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305418423.32</v>
      </c>
      <c r="F9" s="84">
        <f t="shared" si="1"/>
        <v>313261876.9</v>
      </c>
      <c r="G9" s="84">
        <f t="shared" si="1"/>
        <v>327538565.09</v>
      </c>
      <c r="H9" s="84">
        <f t="shared" si="1"/>
        <v>311991355.09999996</v>
      </c>
      <c r="I9" s="84">
        <f t="shared" si="1"/>
        <v>318879628.97</v>
      </c>
    </row>
    <row r="10" spans="1:9" ht="16.5" customHeight="1">
      <c r="A10" s="154" t="s">
        <v>20</v>
      </c>
      <c r="B10" s="126">
        <f aca="true" t="shared" si="2" ref="B10:I12">B17</f>
        <v>2501541699.52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359340007.56000006</v>
      </c>
      <c r="G10" s="84">
        <f>G17</f>
        <v>378373336.96000004</v>
      </c>
      <c r="H10" s="84">
        <f t="shared" si="2"/>
        <v>394447213.65999997</v>
      </c>
      <c r="I10" s="84">
        <f t="shared" si="2"/>
        <v>411474356.53000003</v>
      </c>
    </row>
    <row r="11" spans="1:9" ht="16.5" customHeight="1">
      <c r="A11" s="154" t="s">
        <v>21</v>
      </c>
      <c r="B11" s="126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4" t="s">
        <v>106</v>
      </c>
      <c r="B12" s="126">
        <f t="shared" si="2"/>
        <v>178394194.19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23284843.610000003</v>
      </c>
      <c r="G12" s="84">
        <f t="shared" si="2"/>
        <v>25134579</v>
      </c>
      <c r="H12" s="84">
        <f t="shared" si="2"/>
        <v>25134579</v>
      </c>
      <c r="I12" s="84">
        <f t="shared" si="2"/>
        <v>25134579</v>
      </c>
    </row>
    <row r="13" spans="1:9" ht="16.5" customHeight="1">
      <c r="A13" s="189" t="s">
        <v>107</v>
      </c>
      <c r="B13" s="190"/>
      <c r="C13" s="190"/>
      <c r="D13" s="190"/>
      <c r="E13" s="190"/>
      <c r="F13" s="190"/>
      <c r="G13" s="190"/>
      <c r="H13" s="190"/>
      <c r="I13" s="191"/>
    </row>
    <row r="14" spans="1:9" ht="39.75" customHeight="1">
      <c r="A14" s="145" t="s">
        <v>114</v>
      </c>
      <c r="B14" s="126">
        <f>B16+B17+B18+B19</f>
        <v>4833169052.87</v>
      </c>
      <c r="C14" s="126">
        <f>C16+C17+C18+C19</f>
        <v>630157257.97</v>
      </c>
      <c r="D14" s="126">
        <f aca="true" t="shared" si="3" ref="D14:I14">D16+D17+D18+D19</f>
        <v>629509067.4799999</v>
      </c>
      <c r="E14" s="126">
        <f t="shared" si="3"/>
        <v>659507806.04</v>
      </c>
      <c r="F14" s="126">
        <f t="shared" si="3"/>
        <v>695886728.07</v>
      </c>
      <c r="G14" s="126">
        <f t="shared" si="3"/>
        <v>731046481.05</v>
      </c>
      <c r="H14" s="126">
        <f t="shared" si="3"/>
        <v>731573147.76</v>
      </c>
      <c r="I14" s="126">
        <f t="shared" si="3"/>
        <v>755488564.5</v>
      </c>
    </row>
    <row r="15" spans="1:9" ht="16.5" customHeight="1">
      <c r="A15" s="253" t="s">
        <v>102</v>
      </c>
      <c r="B15" s="254"/>
      <c r="C15" s="254"/>
      <c r="D15" s="254"/>
      <c r="E15" s="254"/>
      <c r="F15" s="254"/>
      <c r="G15" s="254"/>
      <c r="H15" s="254"/>
      <c r="I15" s="255"/>
    </row>
    <row r="16" spans="1:9" ht="16.5" customHeight="1">
      <c r="A16" s="154" t="s">
        <v>103</v>
      </c>
      <c r="B16" s="126">
        <f>SUM(C16:I16)</f>
        <v>2153233159.16</v>
      </c>
      <c r="C16" s="84">
        <f>'таб 3(2)'!F125</f>
        <v>288108773.96999997</v>
      </c>
      <c r="D16" s="84">
        <f>'таб 3(2)'!G125</f>
        <v>288034535.81</v>
      </c>
      <c r="E16" s="84">
        <f>'таб 3(2)'!H125</f>
        <v>305418423.32</v>
      </c>
      <c r="F16" s="84">
        <f>'таб 3(2)'!I125</f>
        <v>313261876.9</v>
      </c>
      <c r="G16" s="84">
        <f>'таб 3(2)'!J125</f>
        <v>327538565.09</v>
      </c>
      <c r="H16" s="84">
        <f>'таб 3(2)'!K125</f>
        <v>311991355.09999996</v>
      </c>
      <c r="I16" s="84">
        <f>'таб 3(2)'!L125</f>
        <v>318879628.97</v>
      </c>
    </row>
    <row r="17" spans="1:9" ht="16.5" customHeight="1">
      <c r="A17" s="154" t="s">
        <v>20</v>
      </c>
      <c r="B17" s="126">
        <f>SUM(C17:I17)</f>
        <v>2501541699.52</v>
      </c>
      <c r="C17" s="84">
        <f>'таб 3(2)'!F126</f>
        <v>308069784</v>
      </c>
      <c r="D17" s="84">
        <f>'таб 3(2)'!G126</f>
        <v>318165579.24</v>
      </c>
      <c r="E17" s="84">
        <f>'таб 3(2)'!H126</f>
        <v>331671421.57</v>
      </c>
      <c r="F17" s="84">
        <f>'таб 3(2)'!I126</f>
        <v>359340007.56000006</v>
      </c>
      <c r="G17" s="84">
        <f>'таб 3(2)'!J126</f>
        <v>378373336.96000004</v>
      </c>
      <c r="H17" s="84">
        <f>'таб 3(2)'!K126</f>
        <v>394447213.65999997</v>
      </c>
      <c r="I17" s="84">
        <f>'таб 3(2)'!L126</f>
        <v>411474356.53000003</v>
      </c>
    </row>
    <row r="18" spans="1:9" ht="16.5" customHeight="1">
      <c r="A18" s="154" t="s">
        <v>21</v>
      </c>
      <c r="B18" s="126">
        <f>SUM(C18:I18)</f>
        <v>0</v>
      </c>
      <c r="C18" s="84">
        <f>'таб 3(2)'!F127</f>
        <v>0</v>
      </c>
      <c r="D18" s="84">
        <f>'таб 3(2)'!G127</f>
        <v>0</v>
      </c>
      <c r="E18" s="84">
        <f>'таб 3(2)'!H127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4" t="s">
        <v>106</v>
      </c>
      <c r="B19" s="126">
        <f>SUM(C19:I19)</f>
        <v>178394194.19</v>
      </c>
      <c r="C19" s="84">
        <f>'таб 3(2)'!F128</f>
        <v>33978700</v>
      </c>
      <c r="D19" s="84">
        <f>'таб 3(2)'!G128</f>
        <v>23308952.43</v>
      </c>
      <c r="E19" s="84">
        <f>'таб 3(2)'!H128</f>
        <v>22417961.15</v>
      </c>
      <c r="F19" s="84">
        <f>'таб 3(2)'!I128</f>
        <v>23284843.610000003</v>
      </c>
      <c r="G19" s="84">
        <f>'таб 3(2)'!J128</f>
        <v>25134579</v>
      </c>
      <c r="H19" s="84">
        <f>'таб 3(2)'!K128</f>
        <v>25134579</v>
      </c>
      <c r="I19" s="84">
        <f>'таб 3(2)'!L128</f>
        <v>25134579</v>
      </c>
    </row>
    <row r="20" spans="1:9" ht="25.5">
      <c r="A20" s="4" t="s">
        <v>108</v>
      </c>
      <c r="B20" s="126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5"/>
    </row>
    <row r="23" ht="15">
      <c r="C23" s="155"/>
    </row>
    <row r="24" ht="15">
      <c r="C24" s="155"/>
    </row>
    <row r="25" ht="15">
      <c r="C25" s="155"/>
    </row>
    <row r="28" ht="15">
      <c r="C28" s="155"/>
    </row>
    <row r="29" ht="15">
      <c r="C29" s="155"/>
    </row>
    <row r="30" ht="15">
      <c r="C30" s="155"/>
    </row>
    <row r="31" ht="15">
      <c r="C31" s="155"/>
    </row>
    <row r="32" ht="15">
      <c r="C32" s="155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6"/>
  <sheetViews>
    <sheetView zoomScaleSheetLayoutView="115" zoomScalePageLayoutView="0" workbookViewId="0" topLeftCell="A1">
      <pane xSplit="3" ySplit="7" topLeftCell="N10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2"/>
      <c r="G1" s="113"/>
      <c r="H1" s="113"/>
      <c r="I1" s="19"/>
      <c r="J1" s="19"/>
      <c r="K1" s="19"/>
      <c r="L1" s="19"/>
      <c r="Q1" s="178" t="s">
        <v>278</v>
      </c>
      <c r="R1" s="179"/>
      <c r="S1" s="179"/>
      <c r="T1" s="179"/>
      <c r="U1" s="179"/>
    </row>
    <row r="2" spans="1:21" ht="15.75">
      <c r="A2" s="246" t="s">
        <v>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ht="31.5" customHeight="1">
      <c r="A3" s="184" t="s">
        <v>97</v>
      </c>
      <c r="B3" s="184" t="s">
        <v>109</v>
      </c>
      <c r="C3" s="184" t="s">
        <v>110</v>
      </c>
      <c r="D3" s="184" t="s">
        <v>99</v>
      </c>
      <c r="E3" s="188" t="s">
        <v>111</v>
      </c>
      <c r="F3" s="188"/>
      <c r="G3" s="188"/>
      <c r="H3" s="188"/>
      <c r="I3" s="188"/>
      <c r="J3" s="188"/>
      <c r="K3" s="188"/>
      <c r="L3" s="188"/>
      <c r="M3" s="188" t="s">
        <v>32</v>
      </c>
      <c r="N3" s="188"/>
      <c r="O3" s="188"/>
      <c r="P3" s="188"/>
      <c r="Q3" s="188"/>
      <c r="R3" s="188"/>
      <c r="S3" s="188"/>
      <c r="T3" s="188"/>
      <c r="U3" s="235" t="s">
        <v>112</v>
      </c>
    </row>
    <row r="4" spans="1:21" ht="21" customHeight="1">
      <c r="A4" s="256"/>
      <c r="B4" s="256"/>
      <c r="C4" s="256"/>
      <c r="D4" s="256"/>
      <c r="E4" s="20" t="s">
        <v>93</v>
      </c>
      <c r="F4" s="6" t="s">
        <v>82</v>
      </c>
      <c r="G4" s="6" t="s">
        <v>83</v>
      </c>
      <c r="H4" s="6" t="s">
        <v>84</v>
      </c>
      <c r="I4" s="6" t="s">
        <v>85</v>
      </c>
      <c r="J4" s="6" t="s">
        <v>86</v>
      </c>
      <c r="K4" s="6" t="s">
        <v>87</v>
      </c>
      <c r="L4" s="6" t="s">
        <v>88</v>
      </c>
      <c r="M4" s="3" t="s">
        <v>98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86</v>
      </c>
      <c r="S4" s="6" t="s">
        <v>87</v>
      </c>
      <c r="T4" s="6" t="s">
        <v>88</v>
      </c>
      <c r="U4" s="236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16" t="s">
        <v>131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8"/>
    </row>
    <row r="7" spans="1:21" ht="12.75">
      <c r="A7" s="21">
        <v>1</v>
      </c>
      <c r="B7" s="216" t="s">
        <v>33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16.5" customHeight="1">
      <c r="A8" s="278" t="s">
        <v>121</v>
      </c>
      <c r="B8" s="290" t="s">
        <v>132</v>
      </c>
      <c r="C8" s="232" t="s">
        <v>78</v>
      </c>
      <c r="D8" s="22" t="s">
        <v>93</v>
      </c>
      <c r="E8" s="23">
        <f>E10+E11+E12+E13</f>
        <v>949154643.5300001</v>
      </c>
      <c r="F8" s="23">
        <f aca="true" t="shared" si="0" ref="F8:L8">F10+F11+F12+F13</f>
        <v>117460965.8</v>
      </c>
      <c r="G8" s="23">
        <f t="shared" si="0"/>
        <v>135349395.49</v>
      </c>
      <c r="H8" s="23">
        <f t="shared" si="0"/>
        <v>130598022.34</v>
      </c>
      <c r="I8" s="23">
        <f t="shared" si="0"/>
        <v>134781404.21000004</v>
      </c>
      <c r="J8" s="23">
        <f t="shared" si="0"/>
        <v>137127282.95999998</v>
      </c>
      <c r="K8" s="23">
        <f t="shared" si="0"/>
        <v>143649146.85000002</v>
      </c>
      <c r="L8" s="23">
        <f t="shared" si="0"/>
        <v>150188425.88</v>
      </c>
      <c r="M8" s="208" t="s">
        <v>43</v>
      </c>
      <c r="N8" s="211">
        <v>100</v>
      </c>
      <c r="O8" s="211">
        <v>100</v>
      </c>
      <c r="P8" s="211">
        <v>100</v>
      </c>
      <c r="Q8" s="211">
        <v>100</v>
      </c>
      <c r="R8" s="211">
        <v>100</v>
      </c>
      <c r="S8" s="211">
        <v>100</v>
      </c>
      <c r="T8" s="211">
        <v>100</v>
      </c>
      <c r="U8" s="222" t="s">
        <v>44</v>
      </c>
    </row>
    <row r="9" spans="1:21" ht="16.5" customHeight="1">
      <c r="A9" s="279"/>
      <c r="B9" s="291"/>
      <c r="C9" s="233"/>
      <c r="D9" s="219" t="s">
        <v>113</v>
      </c>
      <c r="E9" s="220"/>
      <c r="F9" s="220"/>
      <c r="G9" s="220"/>
      <c r="H9" s="220"/>
      <c r="I9" s="220"/>
      <c r="J9" s="220"/>
      <c r="K9" s="220"/>
      <c r="L9" s="221"/>
      <c r="M9" s="209"/>
      <c r="N9" s="212"/>
      <c r="O9" s="212"/>
      <c r="P9" s="212"/>
      <c r="Q9" s="212"/>
      <c r="R9" s="212"/>
      <c r="S9" s="212"/>
      <c r="T9" s="212"/>
      <c r="U9" s="223"/>
    </row>
    <row r="10" spans="1:21" ht="12.75">
      <c r="A10" s="279"/>
      <c r="B10" s="291"/>
      <c r="C10" s="233"/>
      <c r="D10" s="22" t="s">
        <v>91</v>
      </c>
      <c r="E10" s="23">
        <f>F10+G10+H10+I10+J10+K10+L10</f>
        <v>157714.85</v>
      </c>
      <c r="F10" s="23"/>
      <c r="G10" s="23"/>
      <c r="H10" s="23">
        <f>13285.36</f>
        <v>13285.36</v>
      </c>
      <c r="I10" s="23">
        <v>12125.62</v>
      </c>
      <c r="J10" s="23">
        <v>56375.94</v>
      </c>
      <c r="K10" s="23">
        <v>36860.05</v>
      </c>
      <c r="L10" s="23">
        <v>39067.88</v>
      </c>
      <c r="M10" s="209"/>
      <c r="N10" s="212"/>
      <c r="O10" s="212"/>
      <c r="P10" s="212"/>
      <c r="Q10" s="212"/>
      <c r="R10" s="212"/>
      <c r="S10" s="212"/>
      <c r="T10" s="212"/>
      <c r="U10" s="223"/>
    </row>
    <row r="11" spans="1:21" ht="12.75">
      <c r="A11" s="279"/>
      <c r="B11" s="291"/>
      <c r="C11" s="233"/>
      <c r="D11" s="22" t="s">
        <v>89</v>
      </c>
      <c r="E11" s="23">
        <f>F11+G11+H11+I11+J11+K11+L11</f>
        <v>948996928.6800001</v>
      </c>
      <c r="F11" s="23">
        <f>117343741.8+117224</f>
        <v>117460965.8</v>
      </c>
      <c r="G11" s="23">
        <f>135114643+234752.49</f>
        <v>135349395.49</v>
      </c>
      <c r="H11" s="23">
        <f>239756+130947250+2659572.39-3261841.41</f>
        <v>130584736.98</v>
      </c>
      <c r="I11" s="23">
        <f>230386.86+140091428.58-2162200-3390336.85</f>
        <v>134769278.59000003</v>
      </c>
      <c r="J11" s="24">
        <f>136933551.2+137355.82</f>
        <v>137070907.01999998</v>
      </c>
      <c r="K11" s="24">
        <f>143522480+89806.8</f>
        <v>143612286.8</v>
      </c>
      <c r="L11" s="24">
        <f>150054172+95186</f>
        <v>150149358</v>
      </c>
      <c r="M11" s="209"/>
      <c r="N11" s="212"/>
      <c r="O11" s="212"/>
      <c r="P11" s="212"/>
      <c r="Q11" s="212"/>
      <c r="R11" s="212"/>
      <c r="S11" s="212"/>
      <c r="T11" s="212"/>
      <c r="U11" s="223"/>
    </row>
    <row r="12" spans="1:21" ht="12.75" customHeight="1">
      <c r="A12" s="279"/>
      <c r="B12" s="291"/>
      <c r="C12" s="233"/>
      <c r="D12" s="22" t="s">
        <v>90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09"/>
      <c r="N12" s="212"/>
      <c r="O12" s="212"/>
      <c r="P12" s="212"/>
      <c r="Q12" s="212"/>
      <c r="R12" s="212"/>
      <c r="S12" s="212"/>
      <c r="T12" s="212"/>
      <c r="U12" s="223"/>
    </row>
    <row r="13" spans="1:21" ht="18.75" customHeight="1">
      <c r="A13" s="280"/>
      <c r="B13" s="292"/>
      <c r="C13" s="234"/>
      <c r="D13" s="22" t="s">
        <v>92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10"/>
      <c r="N13" s="213"/>
      <c r="O13" s="213"/>
      <c r="P13" s="213"/>
      <c r="Q13" s="213"/>
      <c r="R13" s="213"/>
      <c r="S13" s="213"/>
      <c r="T13" s="213"/>
      <c r="U13" s="228"/>
    </row>
    <row r="14" spans="1:21" ht="24" customHeight="1">
      <c r="A14" s="278" t="s">
        <v>122</v>
      </c>
      <c r="B14" s="290" t="s">
        <v>133</v>
      </c>
      <c r="C14" s="232" t="s">
        <v>78</v>
      </c>
      <c r="D14" s="22" t="s">
        <v>93</v>
      </c>
      <c r="E14" s="23">
        <f>E16+E17+E18+E19</f>
        <v>1227327633.89</v>
      </c>
      <c r="F14" s="23">
        <f aca="true" t="shared" si="1" ref="F14:L14">F16+F17+F18+F19</f>
        <v>137693999.3</v>
      </c>
      <c r="G14" s="23">
        <f t="shared" si="1"/>
        <v>129055787.51</v>
      </c>
      <c r="H14" s="23">
        <f t="shared" si="1"/>
        <v>165212466.47000003</v>
      </c>
      <c r="I14" s="23">
        <f t="shared" si="1"/>
        <v>186942244.48000002</v>
      </c>
      <c r="J14" s="23">
        <f t="shared" si="1"/>
        <v>197804130.35000002</v>
      </c>
      <c r="K14" s="23">
        <f t="shared" si="1"/>
        <v>202810696.51000002</v>
      </c>
      <c r="L14" s="23">
        <f t="shared" si="1"/>
        <v>207808309.27</v>
      </c>
      <c r="M14" s="208" t="s">
        <v>45</v>
      </c>
      <c r="N14" s="211">
        <v>100</v>
      </c>
      <c r="O14" s="211">
        <v>100</v>
      </c>
      <c r="P14" s="211">
        <v>100</v>
      </c>
      <c r="Q14" s="211">
        <v>100</v>
      </c>
      <c r="R14" s="211">
        <v>100</v>
      </c>
      <c r="S14" s="211">
        <v>100</v>
      </c>
      <c r="T14" s="211">
        <v>100</v>
      </c>
      <c r="U14" s="222" t="s">
        <v>44</v>
      </c>
    </row>
    <row r="15" spans="1:21" ht="16.5" customHeight="1">
      <c r="A15" s="279"/>
      <c r="B15" s="291"/>
      <c r="C15" s="233"/>
      <c r="D15" s="219" t="s">
        <v>113</v>
      </c>
      <c r="E15" s="220"/>
      <c r="F15" s="220"/>
      <c r="G15" s="220"/>
      <c r="H15" s="220"/>
      <c r="I15" s="220"/>
      <c r="J15" s="220"/>
      <c r="K15" s="220"/>
      <c r="L15" s="221"/>
      <c r="M15" s="209"/>
      <c r="N15" s="212"/>
      <c r="O15" s="212"/>
      <c r="P15" s="212"/>
      <c r="Q15" s="212"/>
      <c r="R15" s="212"/>
      <c r="S15" s="212"/>
      <c r="T15" s="212"/>
      <c r="U15" s="223"/>
    </row>
    <row r="16" spans="1:21" ht="18" customHeight="1">
      <c r="A16" s="279"/>
      <c r="B16" s="291"/>
      <c r="C16" s="233"/>
      <c r="D16" s="22" t="s">
        <v>91</v>
      </c>
      <c r="E16" s="23">
        <f>F16+G16+H16+I16+J16+K16+L16</f>
        <v>195070.65</v>
      </c>
      <c r="F16" s="23"/>
      <c r="G16" s="23"/>
      <c r="H16" s="23">
        <f>11357.15</f>
        <v>11357.15</v>
      </c>
      <c r="I16" s="23">
        <v>13450.47</v>
      </c>
      <c r="J16" s="23">
        <v>78157.52</v>
      </c>
      <c r="K16" s="23">
        <v>46075.05</v>
      </c>
      <c r="L16" s="23">
        <v>46030.46</v>
      </c>
      <c r="M16" s="209"/>
      <c r="N16" s="212"/>
      <c r="O16" s="212"/>
      <c r="P16" s="212"/>
      <c r="Q16" s="212"/>
      <c r="R16" s="212"/>
      <c r="S16" s="212"/>
      <c r="T16" s="212"/>
      <c r="U16" s="223"/>
    </row>
    <row r="17" spans="1:21" ht="12.75" customHeight="1">
      <c r="A17" s="279"/>
      <c r="B17" s="291"/>
      <c r="C17" s="233"/>
      <c r="D17" s="22" t="s">
        <v>89</v>
      </c>
      <c r="E17" s="23">
        <f>F17+G17+H17+I17+J17+K17+L17</f>
        <v>1227132563.24</v>
      </c>
      <c r="F17" s="23">
        <f>137514399.3+179600</f>
        <v>137693999.3</v>
      </c>
      <c r="G17" s="23">
        <f>128830241+225546.51</f>
        <v>129055787.51</v>
      </c>
      <c r="H17" s="23">
        <f>204953+164528250+169906.61+297999.71</f>
        <v>165201109.32000002</v>
      </c>
      <c r="I17" s="23">
        <f>255558.84+178260201.71+8413033.46</f>
        <v>186928794.01000002</v>
      </c>
      <c r="J17" s="24">
        <f>197535547.8+190425.03</f>
        <v>197725972.83</v>
      </c>
      <c r="K17" s="24">
        <f>202652363+112258.46</f>
        <v>202764621.46</v>
      </c>
      <c r="L17" s="24">
        <f>207650129+112149.81</f>
        <v>207762278.81</v>
      </c>
      <c r="M17" s="209"/>
      <c r="N17" s="212"/>
      <c r="O17" s="212"/>
      <c r="P17" s="212"/>
      <c r="Q17" s="212"/>
      <c r="R17" s="212"/>
      <c r="S17" s="212"/>
      <c r="T17" s="212"/>
      <c r="U17" s="223"/>
    </row>
    <row r="18" spans="1:21" ht="12.75" customHeight="1">
      <c r="A18" s="279"/>
      <c r="B18" s="291"/>
      <c r="C18" s="233"/>
      <c r="D18" s="22" t="s">
        <v>90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09"/>
      <c r="N18" s="212"/>
      <c r="O18" s="212"/>
      <c r="P18" s="212"/>
      <c r="Q18" s="212"/>
      <c r="R18" s="212"/>
      <c r="S18" s="212"/>
      <c r="T18" s="212"/>
      <c r="U18" s="223"/>
    </row>
    <row r="19" spans="1:21" ht="24" customHeight="1">
      <c r="A19" s="280"/>
      <c r="B19" s="292"/>
      <c r="C19" s="234"/>
      <c r="D19" s="22" t="s">
        <v>92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10"/>
      <c r="N19" s="213"/>
      <c r="O19" s="213"/>
      <c r="P19" s="213"/>
      <c r="Q19" s="213"/>
      <c r="R19" s="213"/>
      <c r="S19" s="213"/>
      <c r="T19" s="213"/>
      <c r="U19" s="228"/>
    </row>
    <row r="20" spans="1:21" ht="15" customHeight="1">
      <c r="A20" s="278" t="s">
        <v>123</v>
      </c>
      <c r="B20" s="290" t="s">
        <v>134</v>
      </c>
      <c r="C20" s="232" t="s">
        <v>78</v>
      </c>
      <c r="D20" s="22" t="s">
        <v>93</v>
      </c>
      <c r="E20" s="23">
        <f>E22+E23+E24+E25</f>
        <v>270651273.70000005</v>
      </c>
      <c r="F20" s="23">
        <f aca="true" t="shared" si="2" ref="F20:L20">F22+F23+F24+F25</f>
        <v>39462578.9</v>
      </c>
      <c r="G20" s="23">
        <f t="shared" si="2"/>
        <v>50275216</v>
      </c>
      <c r="H20" s="23">
        <f t="shared" si="2"/>
        <v>31629962.7</v>
      </c>
      <c r="I20" s="23">
        <f t="shared" si="2"/>
        <v>29818659.1</v>
      </c>
      <c r="J20" s="23">
        <f t="shared" si="2"/>
        <v>35390901</v>
      </c>
      <c r="K20" s="23">
        <f t="shared" si="2"/>
        <v>39472957</v>
      </c>
      <c r="L20" s="23">
        <f t="shared" si="2"/>
        <v>44600999</v>
      </c>
      <c r="M20" s="281" t="s">
        <v>46</v>
      </c>
      <c r="N20" s="211">
        <v>100</v>
      </c>
      <c r="O20" s="211">
        <v>100</v>
      </c>
      <c r="P20" s="211">
        <v>100</v>
      </c>
      <c r="Q20" s="211">
        <v>100</v>
      </c>
      <c r="R20" s="211">
        <v>100</v>
      </c>
      <c r="S20" s="211">
        <v>100</v>
      </c>
      <c r="T20" s="211">
        <v>100</v>
      </c>
      <c r="U20" s="222" t="s">
        <v>44</v>
      </c>
    </row>
    <row r="21" spans="1:21" ht="16.5" customHeight="1">
      <c r="A21" s="279"/>
      <c r="B21" s="291"/>
      <c r="C21" s="233"/>
      <c r="D21" s="219" t="s">
        <v>113</v>
      </c>
      <c r="E21" s="220"/>
      <c r="F21" s="220"/>
      <c r="G21" s="220"/>
      <c r="H21" s="220"/>
      <c r="I21" s="220"/>
      <c r="J21" s="220"/>
      <c r="K21" s="220"/>
      <c r="L21" s="221"/>
      <c r="M21" s="282"/>
      <c r="N21" s="212"/>
      <c r="O21" s="212"/>
      <c r="P21" s="212"/>
      <c r="Q21" s="212"/>
      <c r="R21" s="212"/>
      <c r="S21" s="212"/>
      <c r="T21" s="212"/>
      <c r="U21" s="223"/>
    </row>
    <row r="22" spans="1:21" ht="12.75" customHeight="1">
      <c r="A22" s="279"/>
      <c r="B22" s="291"/>
      <c r="C22" s="233"/>
      <c r="D22" s="22" t="s">
        <v>91</v>
      </c>
      <c r="E22" s="23">
        <f>F22+G22+H22+I22+J22+K22+L22</f>
        <v>0</v>
      </c>
      <c r="F22" s="23"/>
      <c r="G22" s="23"/>
      <c r="H22" s="23"/>
      <c r="I22" s="23"/>
      <c r="J22" s="23"/>
      <c r="K22" s="23"/>
      <c r="L22" s="23"/>
      <c r="M22" s="282"/>
      <c r="N22" s="212"/>
      <c r="O22" s="212"/>
      <c r="P22" s="212"/>
      <c r="Q22" s="212"/>
      <c r="R22" s="212"/>
      <c r="S22" s="212"/>
      <c r="T22" s="212"/>
      <c r="U22" s="223"/>
    </row>
    <row r="23" spans="1:21" ht="12.75" customHeight="1">
      <c r="A23" s="279"/>
      <c r="B23" s="291"/>
      <c r="C23" s="233"/>
      <c r="D23" s="22" t="s">
        <v>89</v>
      </c>
      <c r="E23" s="23">
        <f>F23+G23+H23+I23+J23+K23+L23</f>
        <v>270651273.70000005</v>
      </c>
      <c r="F23" s="23">
        <v>39462578.9</v>
      </c>
      <c r="G23" s="23">
        <f>50275216</f>
        <v>50275216</v>
      </c>
      <c r="H23" s="23">
        <f>30434100-1767979+2963841.7</f>
        <v>31629962.7</v>
      </c>
      <c r="I23" s="23">
        <f>34687169.71-4868510.61</f>
        <v>29818659.1</v>
      </c>
      <c r="J23" s="24">
        <v>35390901</v>
      </c>
      <c r="K23" s="24">
        <v>39472957</v>
      </c>
      <c r="L23" s="24">
        <v>44600999</v>
      </c>
      <c r="M23" s="282"/>
      <c r="N23" s="212"/>
      <c r="O23" s="212"/>
      <c r="P23" s="212"/>
      <c r="Q23" s="212"/>
      <c r="R23" s="212"/>
      <c r="S23" s="212"/>
      <c r="T23" s="212"/>
      <c r="U23" s="223"/>
    </row>
    <row r="24" spans="1:21" ht="17.25" customHeight="1">
      <c r="A24" s="279"/>
      <c r="B24" s="291"/>
      <c r="C24" s="233"/>
      <c r="D24" s="22" t="s">
        <v>90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82"/>
      <c r="N24" s="212"/>
      <c r="O24" s="212"/>
      <c r="P24" s="212"/>
      <c r="Q24" s="212"/>
      <c r="R24" s="212"/>
      <c r="S24" s="212"/>
      <c r="T24" s="212"/>
      <c r="U24" s="223"/>
    </row>
    <row r="25" spans="1:21" ht="12.75" customHeight="1">
      <c r="A25" s="280"/>
      <c r="B25" s="292"/>
      <c r="C25" s="234"/>
      <c r="D25" s="22" t="s">
        <v>92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83"/>
      <c r="N25" s="213"/>
      <c r="O25" s="213"/>
      <c r="P25" s="213"/>
      <c r="Q25" s="213"/>
      <c r="R25" s="213"/>
      <c r="S25" s="213"/>
      <c r="T25" s="213"/>
      <c r="U25" s="228"/>
    </row>
    <row r="26" spans="1:21" ht="19.5" customHeight="1">
      <c r="A26" s="278" t="s">
        <v>124</v>
      </c>
      <c r="B26" s="290" t="s">
        <v>135</v>
      </c>
      <c r="C26" s="232" t="s">
        <v>78</v>
      </c>
      <c r="D26" s="22" t="s">
        <v>93</v>
      </c>
      <c r="E26" s="23">
        <f>E28+E29+E30+E31</f>
        <v>4583344</v>
      </c>
      <c r="F26" s="23">
        <f aca="true" t="shared" si="3" ref="F26:L26">F28+F29+F30+F31</f>
        <v>4583344</v>
      </c>
      <c r="G26" s="23">
        <f t="shared" si="3"/>
        <v>0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81" t="s">
        <v>192</v>
      </c>
      <c r="N26" s="211">
        <v>100</v>
      </c>
      <c r="O26" s="211">
        <v>100</v>
      </c>
      <c r="P26" s="211">
        <v>100</v>
      </c>
      <c r="Q26" s="211">
        <v>100</v>
      </c>
      <c r="R26" s="211">
        <v>100</v>
      </c>
      <c r="S26" s="211">
        <v>100</v>
      </c>
      <c r="T26" s="211">
        <v>100</v>
      </c>
      <c r="U26" s="222" t="s">
        <v>44</v>
      </c>
    </row>
    <row r="27" spans="1:21" ht="16.5" customHeight="1">
      <c r="A27" s="279"/>
      <c r="B27" s="291"/>
      <c r="C27" s="233"/>
      <c r="D27" s="219" t="s">
        <v>113</v>
      </c>
      <c r="E27" s="220"/>
      <c r="F27" s="220"/>
      <c r="G27" s="220"/>
      <c r="H27" s="220"/>
      <c r="I27" s="220"/>
      <c r="J27" s="220"/>
      <c r="K27" s="220"/>
      <c r="L27" s="221"/>
      <c r="M27" s="282"/>
      <c r="N27" s="212"/>
      <c r="O27" s="212"/>
      <c r="P27" s="212"/>
      <c r="Q27" s="212"/>
      <c r="R27" s="212"/>
      <c r="S27" s="212"/>
      <c r="T27" s="212"/>
      <c r="U27" s="223"/>
    </row>
    <row r="28" spans="1:21" ht="23.25" customHeight="1">
      <c r="A28" s="279"/>
      <c r="B28" s="291"/>
      <c r="C28" s="233"/>
      <c r="D28" s="22" t="s">
        <v>91</v>
      </c>
      <c r="E28" s="23">
        <f>F28+G28+H28+I28+J28+K28+L28</f>
        <v>0</v>
      </c>
      <c r="F28" s="23"/>
      <c r="G28" s="23"/>
      <c r="H28" s="23"/>
      <c r="I28" s="23"/>
      <c r="J28" s="23"/>
      <c r="K28" s="23"/>
      <c r="L28" s="23"/>
      <c r="M28" s="282"/>
      <c r="N28" s="212"/>
      <c r="O28" s="212"/>
      <c r="P28" s="212"/>
      <c r="Q28" s="212"/>
      <c r="R28" s="212"/>
      <c r="S28" s="212"/>
      <c r="T28" s="212"/>
      <c r="U28" s="223"/>
    </row>
    <row r="29" spans="1:21" ht="12.75" customHeight="1">
      <c r="A29" s="279"/>
      <c r="B29" s="291"/>
      <c r="C29" s="233"/>
      <c r="D29" s="22" t="s">
        <v>89</v>
      </c>
      <c r="E29" s="23">
        <f>F29+G29+H29+I29+J29+K29+L29</f>
        <v>4583344</v>
      </c>
      <c r="F29" s="23">
        <v>4583344</v>
      </c>
      <c r="G29" s="23">
        <v>0</v>
      </c>
      <c r="H29" s="23">
        <v>0</v>
      </c>
      <c r="I29" s="23">
        <v>0</v>
      </c>
      <c r="J29" s="24">
        <f>I29</f>
        <v>0</v>
      </c>
      <c r="K29" s="24">
        <f>J29</f>
        <v>0</v>
      </c>
      <c r="L29" s="24">
        <f>K29</f>
        <v>0</v>
      </c>
      <c r="M29" s="282"/>
      <c r="N29" s="212"/>
      <c r="O29" s="212"/>
      <c r="P29" s="212"/>
      <c r="Q29" s="212"/>
      <c r="R29" s="212"/>
      <c r="S29" s="212"/>
      <c r="T29" s="212"/>
      <c r="U29" s="223"/>
    </row>
    <row r="30" spans="1:21" ht="12.75" customHeight="1">
      <c r="A30" s="279"/>
      <c r="B30" s="291"/>
      <c r="C30" s="233"/>
      <c r="D30" s="22" t="s">
        <v>90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82"/>
      <c r="N30" s="212"/>
      <c r="O30" s="212"/>
      <c r="P30" s="212"/>
      <c r="Q30" s="212"/>
      <c r="R30" s="212"/>
      <c r="S30" s="212"/>
      <c r="T30" s="212"/>
      <c r="U30" s="223"/>
    </row>
    <row r="31" spans="1:21" ht="12.75" customHeight="1">
      <c r="A31" s="280"/>
      <c r="B31" s="292"/>
      <c r="C31" s="234"/>
      <c r="D31" s="22" t="s">
        <v>92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83"/>
      <c r="N31" s="213"/>
      <c r="O31" s="213"/>
      <c r="P31" s="213"/>
      <c r="Q31" s="213"/>
      <c r="R31" s="213"/>
      <c r="S31" s="213"/>
      <c r="T31" s="213"/>
      <c r="U31" s="228"/>
    </row>
    <row r="32" spans="1:21" ht="18" customHeight="1">
      <c r="A32" s="278" t="s">
        <v>125</v>
      </c>
      <c r="B32" s="290" t="s">
        <v>136</v>
      </c>
      <c r="C32" s="232" t="s">
        <v>78</v>
      </c>
      <c r="D32" s="22" t="s">
        <v>93</v>
      </c>
      <c r="E32" s="23">
        <f>E34+E35+E36+E37</f>
        <v>4964297</v>
      </c>
      <c r="F32" s="23">
        <f aca="true" t="shared" si="4" ref="F32:L32">F34+F35+F36+F37</f>
        <v>4964297</v>
      </c>
      <c r="G32" s="23">
        <f t="shared" si="4"/>
        <v>0</v>
      </c>
      <c r="H32" s="23">
        <f t="shared" si="4"/>
        <v>0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81" t="s">
        <v>193</v>
      </c>
      <c r="N32" s="211">
        <v>100</v>
      </c>
      <c r="O32" s="211">
        <v>100</v>
      </c>
      <c r="P32" s="211">
        <v>100</v>
      </c>
      <c r="Q32" s="211">
        <v>100</v>
      </c>
      <c r="R32" s="211">
        <v>100</v>
      </c>
      <c r="S32" s="211">
        <v>100</v>
      </c>
      <c r="T32" s="211">
        <v>100</v>
      </c>
      <c r="U32" s="222" t="s">
        <v>44</v>
      </c>
    </row>
    <row r="33" spans="1:21" ht="16.5" customHeight="1">
      <c r="A33" s="279"/>
      <c r="B33" s="291"/>
      <c r="C33" s="233"/>
      <c r="D33" s="219" t="s">
        <v>113</v>
      </c>
      <c r="E33" s="220"/>
      <c r="F33" s="220"/>
      <c r="G33" s="220"/>
      <c r="H33" s="220"/>
      <c r="I33" s="220"/>
      <c r="J33" s="220"/>
      <c r="K33" s="220"/>
      <c r="L33" s="221"/>
      <c r="M33" s="282"/>
      <c r="N33" s="212"/>
      <c r="O33" s="212"/>
      <c r="P33" s="212"/>
      <c r="Q33" s="212"/>
      <c r="R33" s="212"/>
      <c r="S33" s="212"/>
      <c r="T33" s="212"/>
      <c r="U33" s="223"/>
    </row>
    <row r="34" spans="1:21" ht="18.75" customHeight="1">
      <c r="A34" s="279"/>
      <c r="B34" s="291"/>
      <c r="C34" s="233"/>
      <c r="D34" s="22" t="s">
        <v>91</v>
      </c>
      <c r="E34" s="23">
        <f>F34+G34+H34+I34+J34+K34+L34</f>
        <v>0</v>
      </c>
      <c r="F34" s="23"/>
      <c r="G34" s="23"/>
      <c r="H34" s="23"/>
      <c r="I34" s="23"/>
      <c r="J34" s="23"/>
      <c r="K34" s="23"/>
      <c r="L34" s="23"/>
      <c r="M34" s="282"/>
      <c r="N34" s="212"/>
      <c r="O34" s="212"/>
      <c r="P34" s="212"/>
      <c r="Q34" s="212"/>
      <c r="R34" s="212"/>
      <c r="S34" s="212"/>
      <c r="T34" s="212"/>
      <c r="U34" s="223"/>
    </row>
    <row r="35" spans="1:21" ht="15.75" customHeight="1">
      <c r="A35" s="279"/>
      <c r="B35" s="291"/>
      <c r="C35" s="233"/>
      <c r="D35" s="22" t="s">
        <v>89</v>
      </c>
      <c r="E35" s="23">
        <f>F35+G35+H35+I35+J35+K35+L35</f>
        <v>4964297</v>
      </c>
      <c r="F35" s="23">
        <f>5476997-512700</f>
        <v>4964297</v>
      </c>
      <c r="G35" s="23">
        <v>0</v>
      </c>
      <c r="H35" s="23">
        <v>0</v>
      </c>
      <c r="I35" s="23">
        <v>0</v>
      </c>
      <c r="J35" s="24">
        <f>I35</f>
        <v>0</v>
      </c>
      <c r="K35" s="24">
        <f>J35</f>
        <v>0</v>
      </c>
      <c r="L35" s="24">
        <f>K35</f>
        <v>0</v>
      </c>
      <c r="M35" s="282"/>
      <c r="N35" s="276"/>
      <c r="O35" s="276"/>
      <c r="P35" s="276"/>
      <c r="Q35" s="276"/>
      <c r="R35" s="276"/>
      <c r="S35" s="276"/>
      <c r="T35" s="276"/>
      <c r="U35" s="223"/>
    </row>
    <row r="36" spans="1:21" ht="14.25" customHeight="1">
      <c r="A36" s="279"/>
      <c r="B36" s="291"/>
      <c r="C36" s="233"/>
      <c r="D36" s="22" t="s">
        <v>90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82"/>
      <c r="N36" s="276"/>
      <c r="O36" s="276"/>
      <c r="P36" s="276"/>
      <c r="Q36" s="276"/>
      <c r="R36" s="276"/>
      <c r="S36" s="276"/>
      <c r="T36" s="276"/>
      <c r="U36" s="223"/>
    </row>
    <row r="37" spans="1:21" ht="14.25" customHeight="1">
      <c r="A37" s="280"/>
      <c r="B37" s="292"/>
      <c r="C37" s="234"/>
      <c r="D37" s="22" t="s">
        <v>92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83"/>
      <c r="N37" s="277"/>
      <c r="O37" s="277"/>
      <c r="P37" s="277"/>
      <c r="Q37" s="277"/>
      <c r="R37" s="277"/>
      <c r="S37" s="277"/>
      <c r="T37" s="277"/>
      <c r="U37" s="228"/>
    </row>
    <row r="38" spans="1:21" ht="14.25" customHeight="1">
      <c r="A38" s="278" t="s">
        <v>126</v>
      </c>
      <c r="B38" s="270" t="s">
        <v>137</v>
      </c>
      <c r="C38" s="232" t="s">
        <v>78</v>
      </c>
      <c r="D38" s="22" t="s">
        <v>93</v>
      </c>
      <c r="E38" s="23">
        <f>E40+E41+E42+E43</f>
        <v>286459</v>
      </c>
      <c r="F38" s="23">
        <f aca="true" t="shared" si="5" ref="F38:L38">F40+F41+F42+F43</f>
        <v>286459</v>
      </c>
      <c r="G38" s="23">
        <f t="shared" si="5"/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08" t="s">
        <v>194</v>
      </c>
      <c r="N38" s="211">
        <v>100</v>
      </c>
      <c r="O38" s="211">
        <v>100</v>
      </c>
      <c r="P38" s="211">
        <v>100</v>
      </c>
      <c r="Q38" s="211">
        <v>100</v>
      </c>
      <c r="R38" s="211">
        <v>100</v>
      </c>
      <c r="S38" s="211">
        <v>100</v>
      </c>
      <c r="T38" s="211">
        <v>100</v>
      </c>
      <c r="U38" s="222" t="s">
        <v>44</v>
      </c>
    </row>
    <row r="39" spans="1:21" ht="16.5" customHeight="1">
      <c r="A39" s="279"/>
      <c r="B39" s="271"/>
      <c r="C39" s="233"/>
      <c r="D39" s="219" t="s">
        <v>113</v>
      </c>
      <c r="E39" s="220"/>
      <c r="F39" s="220"/>
      <c r="G39" s="220"/>
      <c r="H39" s="220"/>
      <c r="I39" s="220"/>
      <c r="J39" s="220"/>
      <c r="K39" s="220"/>
      <c r="L39" s="221"/>
      <c r="M39" s="209"/>
      <c r="N39" s="212"/>
      <c r="O39" s="212"/>
      <c r="P39" s="212"/>
      <c r="Q39" s="212"/>
      <c r="R39" s="212"/>
      <c r="S39" s="212"/>
      <c r="T39" s="212"/>
      <c r="U39" s="223"/>
    </row>
    <row r="40" spans="1:21" ht="14.25" customHeight="1">
      <c r="A40" s="279"/>
      <c r="B40" s="271"/>
      <c r="C40" s="233"/>
      <c r="D40" s="22" t="s">
        <v>91</v>
      </c>
      <c r="E40" s="23">
        <f>F40+G40+H40+I40+J40+K40+L40</f>
        <v>0</v>
      </c>
      <c r="F40" s="24"/>
      <c r="G40" s="23"/>
      <c r="H40" s="23"/>
      <c r="I40" s="23"/>
      <c r="J40" s="23"/>
      <c r="K40" s="23"/>
      <c r="L40" s="23"/>
      <c r="M40" s="209"/>
      <c r="N40" s="212"/>
      <c r="O40" s="212"/>
      <c r="P40" s="212"/>
      <c r="Q40" s="212"/>
      <c r="R40" s="212"/>
      <c r="S40" s="212"/>
      <c r="T40" s="212"/>
      <c r="U40" s="223"/>
    </row>
    <row r="41" spans="1:21" ht="14.25" customHeight="1">
      <c r="A41" s="279"/>
      <c r="B41" s="271"/>
      <c r="C41" s="233"/>
      <c r="D41" s="22" t="s">
        <v>89</v>
      </c>
      <c r="E41" s="23">
        <f>F41+G41+H41+I41+J41+K41+L41</f>
        <v>286459</v>
      </c>
      <c r="F41" s="24">
        <v>286459</v>
      </c>
      <c r="G41" s="23">
        <v>0</v>
      </c>
      <c r="H41" s="23">
        <v>0</v>
      </c>
      <c r="I41" s="23">
        <v>0</v>
      </c>
      <c r="J41" s="24">
        <f>I41</f>
        <v>0</v>
      </c>
      <c r="K41" s="24">
        <f>J41</f>
        <v>0</v>
      </c>
      <c r="L41" s="24">
        <f>K41</f>
        <v>0</v>
      </c>
      <c r="M41" s="209"/>
      <c r="N41" s="212"/>
      <c r="O41" s="212"/>
      <c r="P41" s="212"/>
      <c r="Q41" s="212"/>
      <c r="R41" s="212"/>
      <c r="S41" s="212"/>
      <c r="T41" s="212"/>
      <c r="U41" s="223"/>
    </row>
    <row r="42" spans="1:21" ht="14.25" customHeight="1">
      <c r="A42" s="279"/>
      <c r="B42" s="271"/>
      <c r="C42" s="233"/>
      <c r="D42" s="22" t="s">
        <v>90</v>
      </c>
      <c r="E42" s="23">
        <f>F42+G42+H42+I42+J42+K42+L42</f>
        <v>0</v>
      </c>
      <c r="F42" s="24"/>
      <c r="G42" s="23"/>
      <c r="H42" s="23"/>
      <c r="I42" s="23"/>
      <c r="J42" s="23"/>
      <c r="K42" s="23"/>
      <c r="L42" s="23"/>
      <c r="M42" s="209"/>
      <c r="N42" s="212"/>
      <c r="O42" s="212"/>
      <c r="P42" s="212"/>
      <c r="Q42" s="212"/>
      <c r="R42" s="212"/>
      <c r="S42" s="212"/>
      <c r="T42" s="212"/>
      <c r="U42" s="223"/>
    </row>
    <row r="43" spans="1:21" ht="14.25" customHeight="1">
      <c r="A43" s="280"/>
      <c r="B43" s="272"/>
      <c r="C43" s="234"/>
      <c r="D43" s="22" t="s">
        <v>92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10"/>
      <c r="N43" s="213"/>
      <c r="O43" s="213"/>
      <c r="P43" s="213"/>
      <c r="Q43" s="213"/>
      <c r="R43" s="213"/>
      <c r="S43" s="213"/>
      <c r="T43" s="213"/>
      <c r="U43" s="228"/>
    </row>
    <row r="44" spans="1:21" ht="27" customHeight="1">
      <c r="A44" s="278" t="s">
        <v>140</v>
      </c>
      <c r="B44" s="270" t="s">
        <v>138</v>
      </c>
      <c r="C44" s="232" t="s">
        <v>78</v>
      </c>
      <c r="D44" s="22" t="s">
        <v>93</v>
      </c>
      <c r="E44" s="23">
        <f>E46+E47+E48+E49</f>
        <v>676446780.46</v>
      </c>
      <c r="F44" s="23">
        <f aca="true" t="shared" si="6" ref="F44:L44">F46+F47+F48+F49</f>
        <v>83110947.83</v>
      </c>
      <c r="G44" s="23">
        <f t="shared" si="6"/>
        <v>77108268.28</v>
      </c>
      <c r="H44" s="23">
        <f t="shared" si="6"/>
        <v>100496919.17999999</v>
      </c>
      <c r="I44" s="23">
        <f t="shared" si="6"/>
        <v>103908566.72</v>
      </c>
      <c r="J44" s="23">
        <f t="shared" si="6"/>
        <v>105604056.22</v>
      </c>
      <c r="K44" s="23">
        <f t="shared" si="6"/>
        <v>101626896.47</v>
      </c>
      <c r="L44" s="23">
        <f t="shared" si="6"/>
        <v>104591125.76</v>
      </c>
      <c r="M44" s="208" t="s">
        <v>47</v>
      </c>
      <c r="N44" s="211">
        <v>1</v>
      </c>
      <c r="O44" s="211">
        <v>1</v>
      </c>
      <c r="P44" s="211">
        <v>1</v>
      </c>
      <c r="Q44" s="211">
        <v>1</v>
      </c>
      <c r="R44" s="211">
        <v>1</v>
      </c>
      <c r="S44" s="211">
        <v>1</v>
      </c>
      <c r="T44" s="211">
        <v>1</v>
      </c>
      <c r="U44" s="222" t="s">
        <v>44</v>
      </c>
    </row>
    <row r="45" spans="1:21" ht="16.5" customHeight="1">
      <c r="A45" s="279"/>
      <c r="B45" s="271"/>
      <c r="C45" s="233"/>
      <c r="D45" s="219" t="s">
        <v>113</v>
      </c>
      <c r="E45" s="220"/>
      <c r="F45" s="220"/>
      <c r="G45" s="220"/>
      <c r="H45" s="220"/>
      <c r="I45" s="220"/>
      <c r="J45" s="220"/>
      <c r="K45" s="220"/>
      <c r="L45" s="221"/>
      <c r="M45" s="209"/>
      <c r="N45" s="212"/>
      <c r="O45" s="212"/>
      <c r="P45" s="212"/>
      <c r="Q45" s="212"/>
      <c r="R45" s="212"/>
      <c r="S45" s="212"/>
      <c r="T45" s="212"/>
      <c r="U45" s="223"/>
    </row>
    <row r="46" spans="1:21" ht="21" customHeight="1">
      <c r="A46" s="279"/>
      <c r="B46" s="271"/>
      <c r="C46" s="233"/>
      <c r="D46" s="22" t="s">
        <v>91</v>
      </c>
      <c r="E46" s="23">
        <f>F46+G46+H46+I46+J46+K46+L46</f>
        <v>676446780.46</v>
      </c>
      <c r="F46" s="24">
        <f>99968803-F52+1016650.83+232560+34977</f>
        <v>83110947.83</v>
      </c>
      <c r="G46" s="24">
        <v>77108268.28</v>
      </c>
      <c r="H46" s="24">
        <f>100923704.24-426785.06</f>
        <v>100496919.17999999</v>
      </c>
      <c r="I46" s="24">
        <f>101563041.91+2345524.81</f>
        <v>103908566.72</v>
      </c>
      <c r="J46" s="24">
        <f>7508072.73+36007770.69+10874346.74+51213866.06</f>
        <v>105604056.22</v>
      </c>
      <c r="K46" s="24">
        <f>4930726+33359254.82+10074494.95+53262420.7</f>
        <v>101626896.47</v>
      </c>
      <c r="L46" s="24">
        <f>4836076+34072298.18+10289834.05+55392917.53</f>
        <v>104591125.76</v>
      </c>
      <c r="M46" s="209"/>
      <c r="N46" s="212"/>
      <c r="O46" s="212"/>
      <c r="P46" s="212"/>
      <c r="Q46" s="212"/>
      <c r="R46" s="212"/>
      <c r="S46" s="212"/>
      <c r="T46" s="212"/>
      <c r="U46" s="223"/>
    </row>
    <row r="47" spans="1:21" ht="15" customHeight="1">
      <c r="A47" s="279"/>
      <c r="B47" s="271"/>
      <c r="C47" s="233"/>
      <c r="D47" s="22" t="s">
        <v>89</v>
      </c>
      <c r="E47" s="23">
        <f>F47+G47+H47+I47+J47+K47+L47</f>
        <v>0</v>
      </c>
      <c r="F47" s="24"/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09"/>
      <c r="N47" s="212"/>
      <c r="O47" s="212"/>
      <c r="P47" s="212"/>
      <c r="Q47" s="212"/>
      <c r="R47" s="212"/>
      <c r="S47" s="212"/>
      <c r="T47" s="212"/>
      <c r="U47" s="223"/>
    </row>
    <row r="48" spans="1:21" ht="14.25" customHeight="1">
      <c r="A48" s="279"/>
      <c r="B48" s="271"/>
      <c r="C48" s="233"/>
      <c r="D48" s="22" t="s">
        <v>90</v>
      </c>
      <c r="E48" s="23">
        <f>F48+G48+H48+I48+J48+K48+L48</f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09"/>
      <c r="N48" s="212"/>
      <c r="O48" s="212"/>
      <c r="P48" s="212"/>
      <c r="Q48" s="212"/>
      <c r="R48" s="212"/>
      <c r="S48" s="212"/>
      <c r="T48" s="212"/>
      <c r="U48" s="223"/>
    </row>
    <row r="49" spans="1:21" ht="14.25" customHeight="1">
      <c r="A49" s="280"/>
      <c r="B49" s="272"/>
      <c r="C49" s="234"/>
      <c r="D49" s="22" t="s">
        <v>92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10"/>
      <c r="N49" s="213"/>
      <c r="O49" s="213"/>
      <c r="P49" s="213"/>
      <c r="Q49" s="213"/>
      <c r="R49" s="213"/>
      <c r="S49" s="213"/>
      <c r="T49" s="213"/>
      <c r="U49" s="228"/>
    </row>
    <row r="50" spans="1:21" ht="27" customHeight="1">
      <c r="A50" s="278" t="s">
        <v>141</v>
      </c>
      <c r="B50" s="270" t="s">
        <v>146</v>
      </c>
      <c r="C50" s="232" t="s">
        <v>78</v>
      </c>
      <c r="D50" s="22" t="s">
        <v>93</v>
      </c>
      <c r="E50" s="23">
        <f>E52+E53+E54+E55</f>
        <v>36194498.82</v>
      </c>
      <c r="F50" s="23">
        <f aca="true" t="shared" si="7" ref="F50:L50">F52+F53+F54+F55</f>
        <v>18142043</v>
      </c>
      <c r="G50" s="23">
        <f t="shared" si="7"/>
        <v>18052455.82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08" t="s">
        <v>3</v>
      </c>
      <c r="N50" s="205">
        <v>1</v>
      </c>
      <c r="O50" s="205">
        <v>1</v>
      </c>
      <c r="P50" s="205">
        <v>1</v>
      </c>
      <c r="Q50" s="205">
        <v>1</v>
      </c>
      <c r="R50" s="205">
        <v>1</v>
      </c>
      <c r="S50" s="205">
        <v>1</v>
      </c>
      <c r="T50" s="205">
        <v>1</v>
      </c>
      <c r="U50" s="222" t="s">
        <v>44</v>
      </c>
    </row>
    <row r="51" spans="1:21" ht="16.5" customHeight="1">
      <c r="A51" s="279"/>
      <c r="B51" s="271"/>
      <c r="C51" s="233"/>
      <c r="D51" s="219" t="s">
        <v>113</v>
      </c>
      <c r="E51" s="220"/>
      <c r="F51" s="220"/>
      <c r="G51" s="220"/>
      <c r="H51" s="220"/>
      <c r="I51" s="220"/>
      <c r="J51" s="220"/>
      <c r="K51" s="220"/>
      <c r="L51" s="221"/>
      <c r="M51" s="209"/>
      <c r="N51" s="206"/>
      <c r="O51" s="206"/>
      <c r="P51" s="206"/>
      <c r="Q51" s="206"/>
      <c r="R51" s="206"/>
      <c r="S51" s="206"/>
      <c r="T51" s="206"/>
      <c r="U51" s="223"/>
    </row>
    <row r="52" spans="1:21" ht="21" customHeight="1">
      <c r="A52" s="279"/>
      <c r="B52" s="271"/>
      <c r="C52" s="233"/>
      <c r="D52" s="22" t="s">
        <v>91</v>
      </c>
      <c r="E52" s="23">
        <f>F52+G52+H52+I52+J52+K52+L52</f>
        <v>36194498.82</v>
      </c>
      <c r="F52" s="24">
        <f>25282883.97+5371987-F83</f>
        <v>18142043</v>
      </c>
      <c r="G52" s="24">
        <f>22306936-3240730-1013750.18</f>
        <v>18052455.82</v>
      </c>
      <c r="H52" s="24">
        <v>0</v>
      </c>
      <c r="I52" s="24">
        <v>0</v>
      </c>
      <c r="J52" s="24">
        <f>I52</f>
        <v>0</v>
      </c>
      <c r="K52" s="24">
        <f>J52</f>
        <v>0</v>
      </c>
      <c r="L52" s="24">
        <f>K52</f>
        <v>0</v>
      </c>
      <c r="M52" s="209"/>
      <c r="N52" s="206"/>
      <c r="O52" s="206"/>
      <c r="P52" s="206"/>
      <c r="Q52" s="206"/>
      <c r="R52" s="206"/>
      <c r="S52" s="206"/>
      <c r="T52" s="206"/>
      <c r="U52" s="223"/>
    </row>
    <row r="53" spans="1:21" ht="15" customHeight="1">
      <c r="A53" s="279"/>
      <c r="B53" s="271"/>
      <c r="C53" s="233"/>
      <c r="D53" s="22" t="s">
        <v>89</v>
      </c>
      <c r="E53" s="23">
        <f>F53+G53+H53+I53+J53+K53+L53</f>
        <v>0</v>
      </c>
      <c r="F53" s="24"/>
      <c r="G53" s="24"/>
      <c r="H53" s="24"/>
      <c r="I53" s="24"/>
      <c r="J53" s="24"/>
      <c r="K53" s="24"/>
      <c r="L53" s="24"/>
      <c r="M53" s="209"/>
      <c r="N53" s="206"/>
      <c r="O53" s="206"/>
      <c r="P53" s="206"/>
      <c r="Q53" s="206"/>
      <c r="R53" s="206"/>
      <c r="S53" s="206"/>
      <c r="T53" s="206"/>
      <c r="U53" s="223"/>
    </row>
    <row r="54" spans="1:21" ht="14.25" customHeight="1">
      <c r="A54" s="279"/>
      <c r="B54" s="271"/>
      <c r="C54" s="233"/>
      <c r="D54" s="22" t="s">
        <v>90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09"/>
      <c r="N54" s="206"/>
      <c r="O54" s="206"/>
      <c r="P54" s="206"/>
      <c r="Q54" s="206"/>
      <c r="R54" s="206"/>
      <c r="S54" s="206"/>
      <c r="T54" s="206"/>
      <c r="U54" s="223"/>
    </row>
    <row r="55" spans="1:21" ht="12.75">
      <c r="A55" s="280"/>
      <c r="B55" s="272"/>
      <c r="C55" s="234"/>
      <c r="D55" s="22" t="s">
        <v>92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10"/>
      <c r="N55" s="207"/>
      <c r="O55" s="207"/>
      <c r="P55" s="207"/>
      <c r="Q55" s="207"/>
      <c r="R55" s="207"/>
      <c r="S55" s="207"/>
      <c r="T55" s="207"/>
      <c r="U55" s="228"/>
    </row>
    <row r="56" spans="1:21" ht="27" customHeight="1">
      <c r="A56" s="278" t="s">
        <v>142</v>
      </c>
      <c r="B56" s="270" t="s">
        <v>180</v>
      </c>
      <c r="C56" s="232" t="s">
        <v>78</v>
      </c>
      <c r="D56" s="22" t="s">
        <v>93</v>
      </c>
      <c r="E56" s="23">
        <f>E58+E59+E60+E61</f>
        <v>50422888.84</v>
      </c>
      <c r="F56" s="23">
        <f aca="true" t="shared" si="8" ref="F56:L56">F58+F59+F60+F61</f>
        <v>1131090</v>
      </c>
      <c r="G56" s="23">
        <f t="shared" si="8"/>
        <v>5540424.87</v>
      </c>
      <c r="H56" s="23">
        <f t="shared" si="8"/>
        <v>7199353.0200000005</v>
      </c>
      <c r="I56" s="23">
        <f t="shared" si="8"/>
        <v>7526937.95</v>
      </c>
      <c r="J56" s="23">
        <f t="shared" si="8"/>
        <v>9886153</v>
      </c>
      <c r="K56" s="23">
        <f t="shared" si="8"/>
        <v>9190864</v>
      </c>
      <c r="L56" s="23">
        <f t="shared" si="8"/>
        <v>9948066</v>
      </c>
      <c r="M56" s="208" t="s">
        <v>264</v>
      </c>
      <c r="N56" s="205">
        <v>1</v>
      </c>
      <c r="O56" s="205">
        <v>1</v>
      </c>
      <c r="P56" s="205">
        <v>1</v>
      </c>
      <c r="Q56" s="205">
        <v>100</v>
      </c>
      <c r="R56" s="205">
        <v>100</v>
      </c>
      <c r="S56" s="205">
        <v>100</v>
      </c>
      <c r="T56" s="205">
        <v>100</v>
      </c>
      <c r="U56" s="222" t="s">
        <v>44</v>
      </c>
    </row>
    <row r="57" spans="1:21" ht="16.5" customHeight="1">
      <c r="A57" s="279"/>
      <c r="B57" s="271"/>
      <c r="C57" s="233"/>
      <c r="D57" s="219" t="s">
        <v>113</v>
      </c>
      <c r="E57" s="220"/>
      <c r="F57" s="220"/>
      <c r="G57" s="220"/>
      <c r="H57" s="220"/>
      <c r="I57" s="220"/>
      <c r="J57" s="220"/>
      <c r="K57" s="220"/>
      <c r="L57" s="221"/>
      <c r="M57" s="209"/>
      <c r="N57" s="206"/>
      <c r="O57" s="206"/>
      <c r="P57" s="206"/>
      <c r="Q57" s="206"/>
      <c r="R57" s="206"/>
      <c r="S57" s="206"/>
      <c r="T57" s="206"/>
      <c r="U57" s="223"/>
    </row>
    <row r="58" spans="1:21" ht="21" customHeight="1">
      <c r="A58" s="279"/>
      <c r="B58" s="271"/>
      <c r="C58" s="233"/>
      <c r="D58" s="22" t="s">
        <v>91</v>
      </c>
      <c r="E58" s="23">
        <f>F58+G58+H58+I58+J58+K58+L58</f>
        <v>40017221.65</v>
      </c>
      <c r="F58" s="24"/>
      <c r="G58" s="24">
        <f>4863632.5+11816.5-243772.44-200421.93</f>
        <v>4431254.63</v>
      </c>
      <c r="H58" s="24">
        <f>5326428.04-685472.64+834349.99+426785.06</f>
        <v>5902090.45</v>
      </c>
      <c r="I58" s="24">
        <f>6857011-617641.43</f>
        <v>6239369.57</v>
      </c>
      <c r="J58" s="24">
        <v>8082526</v>
      </c>
      <c r="K58" s="24">
        <v>7331266</v>
      </c>
      <c r="L58" s="24">
        <v>8030715</v>
      </c>
      <c r="M58" s="209"/>
      <c r="N58" s="206"/>
      <c r="O58" s="206"/>
      <c r="P58" s="206"/>
      <c r="Q58" s="206"/>
      <c r="R58" s="206"/>
      <c r="S58" s="206"/>
      <c r="T58" s="206"/>
      <c r="U58" s="223"/>
    </row>
    <row r="59" spans="1:21" ht="15" customHeight="1">
      <c r="A59" s="279"/>
      <c r="B59" s="271"/>
      <c r="C59" s="233"/>
      <c r="D59" s="22" t="s">
        <v>89</v>
      </c>
      <c r="E59" s="23">
        <f>F59+G59+H59+I59+J59+K59+L59</f>
        <v>10405667.190000001</v>
      </c>
      <c r="F59" s="24">
        <v>1131090</v>
      </c>
      <c r="G59" s="24">
        <f>5385+1103785.24</f>
        <v>1109170.24</v>
      </c>
      <c r="H59" s="24">
        <f>1240+1294282+1740.57</f>
        <v>1297262.57</v>
      </c>
      <c r="I59" s="24">
        <f>3548.08+1356665.96+1415.92+417034.04-491095.62</f>
        <v>1287568.38</v>
      </c>
      <c r="J59" s="24">
        <f>3936+1799691</f>
        <v>1803627</v>
      </c>
      <c r="K59" s="24">
        <f>4436+1855162</f>
        <v>1859598</v>
      </c>
      <c r="L59" s="24">
        <f>4936+1912415</f>
        <v>1917351</v>
      </c>
      <c r="M59" s="209"/>
      <c r="N59" s="206"/>
      <c r="O59" s="206"/>
      <c r="P59" s="206"/>
      <c r="Q59" s="206"/>
      <c r="R59" s="206"/>
      <c r="S59" s="206"/>
      <c r="T59" s="206"/>
      <c r="U59" s="223"/>
    </row>
    <row r="60" spans="1:21" ht="14.25" customHeight="1">
      <c r="A60" s="279"/>
      <c r="B60" s="271"/>
      <c r="C60" s="233"/>
      <c r="D60" s="22" t="s">
        <v>90</v>
      </c>
      <c r="E60" s="23">
        <f>F60+G60+H60+I60+J60+K60+L60</f>
        <v>0</v>
      </c>
      <c r="F60" s="24"/>
      <c r="G60" s="24"/>
      <c r="H60" s="24"/>
      <c r="I60" s="24"/>
      <c r="J60" s="24"/>
      <c r="K60" s="24"/>
      <c r="L60" s="24"/>
      <c r="M60" s="209"/>
      <c r="N60" s="206"/>
      <c r="O60" s="206"/>
      <c r="P60" s="206"/>
      <c r="Q60" s="206"/>
      <c r="R60" s="206"/>
      <c r="S60" s="206"/>
      <c r="T60" s="206"/>
      <c r="U60" s="223"/>
    </row>
    <row r="61" spans="1:21" ht="12.75">
      <c r="A61" s="280"/>
      <c r="B61" s="272"/>
      <c r="C61" s="234"/>
      <c r="D61" s="22" t="s">
        <v>92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10"/>
      <c r="N61" s="207"/>
      <c r="O61" s="207"/>
      <c r="P61" s="207"/>
      <c r="Q61" s="207"/>
      <c r="R61" s="207"/>
      <c r="S61" s="207"/>
      <c r="T61" s="207"/>
      <c r="U61" s="228"/>
    </row>
    <row r="62" spans="1:21" ht="27" customHeight="1">
      <c r="A62" s="278" t="s">
        <v>195</v>
      </c>
      <c r="B62" s="270" t="s">
        <v>139</v>
      </c>
      <c r="C62" s="232" t="s">
        <v>78</v>
      </c>
      <c r="D62" s="22" t="s">
        <v>93</v>
      </c>
      <c r="E62" s="23">
        <f>E64+E65+E66+E67</f>
        <v>11123961.190000001</v>
      </c>
      <c r="F62" s="23">
        <f aca="true" t="shared" si="9" ref="F62:L62">F64+F65+F66+F67</f>
        <v>862705</v>
      </c>
      <c r="G62" s="23">
        <f t="shared" si="9"/>
        <v>1413208.07</v>
      </c>
      <c r="H62" s="23">
        <f t="shared" si="9"/>
        <v>1573000</v>
      </c>
      <c r="I62" s="23">
        <f t="shared" si="9"/>
        <v>1725048.12</v>
      </c>
      <c r="J62" s="23">
        <f t="shared" si="9"/>
        <v>1850000</v>
      </c>
      <c r="K62" s="23">
        <f t="shared" si="9"/>
        <v>1850000</v>
      </c>
      <c r="L62" s="23">
        <f t="shared" si="9"/>
        <v>1850000</v>
      </c>
      <c r="M62" s="208" t="s">
        <v>51</v>
      </c>
      <c r="N62" s="205">
        <v>1</v>
      </c>
      <c r="O62" s="205">
        <v>1</v>
      </c>
      <c r="P62" s="205">
        <v>1</v>
      </c>
      <c r="Q62" s="205">
        <v>1</v>
      </c>
      <c r="R62" s="205">
        <v>1</v>
      </c>
      <c r="S62" s="205">
        <v>1</v>
      </c>
      <c r="T62" s="205">
        <v>1</v>
      </c>
      <c r="U62" s="222" t="s">
        <v>44</v>
      </c>
    </row>
    <row r="63" spans="1:21" ht="16.5" customHeight="1">
      <c r="A63" s="279"/>
      <c r="B63" s="271"/>
      <c r="C63" s="233"/>
      <c r="D63" s="219" t="s">
        <v>113</v>
      </c>
      <c r="E63" s="220"/>
      <c r="F63" s="220"/>
      <c r="G63" s="220"/>
      <c r="H63" s="220"/>
      <c r="I63" s="220"/>
      <c r="J63" s="220"/>
      <c r="K63" s="220"/>
      <c r="L63" s="221"/>
      <c r="M63" s="209"/>
      <c r="N63" s="206"/>
      <c r="O63" s="206"/>
      <c r="P63" s="206"/>
      <c r="Q63" s="206"/>
      <c r="R63" s="206"/>
      <c r="S63" s="206"/>
      <c r="T63" s="206"/>
      <c r="U63" s="223"/>
    </row>
    <row r="64" spans="1:21" ht="21" customHeight="1">
      <c r="A64" s="279"/>
      <c r="B64" s="271"/>
      <c r="C64" s="233"/>
      <c r="D64" s="22" t="s">
        <v>91</v>
      </c>
      <c r="E64" s="23">
        <f>F64+G64+H64+I64+J64+K64+L64</f>
        <v>0</v>
      </c>
      <c r="F64" s="24"/>
      <c r="G64" s="24"/>
      <c r="H64" s="24"/>
      <c r="I64" s="24"/>
      <c r="J64" s="24"/>
      <c r="K64" s="24"/>
      <c r="L64" s="24"/>
      <c r="M64" s="209"/>
      <c r="N64" s="206"/>
      <c r="O64" s="206"/>
      <c r="P64" s="206"/>
      <c r="Q64" s="206"/>
      <c r="R64" s="206"/>
      <c r="S64" s="206"/>
      <c r="T64" s="206"/>
      <c r="U64" s="223"/>
    </row>
    <row r="65" spans="1:21" ht="15" customHeight="1">
      <c r="A65" s="279"/>
      <c r="B65" s="271"/>
      <c r="C65" s="233"/>
      <c r="D65" s="22" t="s">
        <v>89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09"/>
      <c r="N65" s="206"/>
      <c r="O65" s="206"/>
      <c r="P65" s="206"/>
      <c r="Q65" s="206"/>
      <c r="R65" s="206"/>
      <c r="S65" s="206"/>
      <c r="T65" s="206"/>
      <c r="U65" s="223"/>
    </row>
    <row r="66" spans="1:21" ht="14.25" customHeight="1">
      <c r="A66" s="279"/>
      <c r="B66" s="271"/>
      <c r="C66" s="233"/>
      <c r="D66" s="22" t="s">
        <v>90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09"/>
      <c r="N66" s="206"/>
      <c r="O66" s="206"/>
      <c r="P66" s="206"/>
      <c r="Q66" s="206"/>
      <c r="R66" s="206"/>
      <c r="S66" s="206"/>
      <c r="T66" s="206"/>
      <c r="U66" s="223"/>
    </row>
    <row r="67" spans="1:21" ht="12.75" customHeight="1">
      <c r="A67" s="280"/>
      <c r="B67" s="272"/>
      <c r="C67" s="234"/>
      <c r="D67" s="22" t="s">
        <v>92</v>
      </c>
      <c r="E67" s="23">
        <f>F67+G67+H67+I67+J67+K67+L67</f>
        <v>11123961.190000001</v>
      </c>
      <c r="F67" s="24">
        <f>1403705-541000</f>
        <v>862705</v>
      </c>
      <c r="G67" s="24">
        <v>1413208.07</v>
      </c>
      <c r="H67" s="24">
        <v>1573000</v>
      </c>
      <c r="I67" s="24">
        <f>800000+925048.12</f>
        <v>1725048.12</v>
      </c>
      <c r="J67" s="24">
        <v>1850000</v>
      </c>
      <c r="K67" s="24">
        <v>1850000</v>
      </c>
      <c r="L67" s="24">
        <v>1850000</v>
      </c>
      <c r="M67" s="210"/>
      <c r="N67" s="207"/>
      <c r="O67" s="207"/>
      <c r="P67" s="207"/>
      <c r="Q67" s="207"/>
      <c r="R67" s="207"/>
      <c r="S67" s="207"/>
      <c r="T67" s="207"/>
      <c r="U67" s="228"/>
    </row>
    <row r="68" spans="1:21" ht="13.5" customHeight="1">
      <c r="A68" s="264"/>
      <c r="B68" s="267" t="s">
        <v>152</v>
      </c>
      <c r="C68" s="264"/>
      <c r="D68" s="102" t="s">
        <v>93</v>
      </c>
      <c r="E68" s="103">
        <f aca="true" t="shared" si="10" ref="E68:L68">E70+E71+E72+E73</f>
        <v>3231155780.43</v>
      </c>
      <c r="F68" s="103">
        <f t="shared" si="10"/>
        <v>407698429.83</v>
      </c>
      <c r="G68" s="103">
        <f t="shared" si="10"/>
        <v>416794756.04</v>
      </c>
      <c r="H68" s="103">
        <f t="shared" si="10"/>
        <v>436709723.71</v>
      </c>
      <c r="I68" s="103">
        <f t="shared" si="10"/>
        <v>464702860.58000004</v>
      </c>
      <c r="J68" s="103">
        <f t="shared" si="10"/>
        <v>487662523.53000003</v>
      </c>
      <c r="K68" s="103">
        <f t="shared" si="10"/>
        <v>498600560.83</v>
      </c>
      <c r="L68" s="103">
        <f t="shared" si="10"/>
        <v>518986925.91</v>
      </c>
      <c r="M68" s="239"/>
      <c r="N68" s="247"/>
      <c r="O68" s="247"/>
      <c r="P68" s="247"/>
      <c r="Q68" s="247"/>
      <c r="R68" s="247"/>
      <c r="S68" s="247"/>
      <c r="T68" s="247"/>
      <c r="U68" s="273"/>
    </row>
    <row r="69" spans="1:21" ht="12.75" customHeight="1">
      <c r="A69" s="265"/>
      <c r="B69" s="268"/>
      <c r="C69" s="265"/>
      <c r="D69" s="242" t="s">
        <v>113</v>
      </c>
      <c r="E69" s="243"/>
      <c r="F69" s="243"/>
      <c r="G69" s="243"/>
      <c r="H69" s="243"/>
      <c r="I69" s="243"/>
      <c r="J69" s="243"/>
      <c r="K69" s="243"/>
      <c r="L69" s="244"/>
      <c r="M69" s="240"/>
      <c r="N69" s="248"/>
      <c r="O69" s="248"/>
      <c r="P69" s="248"/>
      <c r="Q69" s="248"/>
      <c r="R69" s="248"/>
      <c r="S69" s="248"/>
      <c r="T69" s="248"/>
      <c r="U69" s="274"/>
    </row>
    <row r="70" spans="1:21" ht="13.5" customHeight="1">
      <c r="A70" s="265"/>
      <c r="B70" s="268"/>
      <c r="C70" s="265"/>
      <c r="D70" s="104" t="s">
        <v>91</v>
      </c>
      <c r="E70" s="103">
        <f>F70+G70+H70+I70+J70+K70+L70</f>
        <v>753011286.43</v>
      </c>
      <c r="F70" s="105">
        <f>F10+F16+F22+F28+F34+F40+F46+F64+F52+F58</f>
        <v>101252990.83</v>
      </c>
      <c r="G70" s="105">
        <f>G58+G52+G46+G40+G34+G28+G22+G16+G10</f>
        <v>99591978.73</v>
      </c>
      <c r="H70" s="105">
        <f>H10+H16+H22+H28+H34+H40+H46+H64+H52+H58</f>
        <v>106423652.14</v>
      </c>
      <c r="I70" s="105">
        <f>I10+I16+I22+I28+I34+I40+I46+I64+I52+I58</f>
        <v>110173512.38</v>
      </c>
      <c r="J70" s="105">
        <f>J10+J16+J22+J28+J34+J40+J46+J64+J52+J58</f>
        <v>113821115.67999999</v>
      </c>
      <c r="K70" s="105">
        <f>K10+K16+K22+K28+K34+K40+K46+K64+K52+K58</f>
        <v>109041097.57</v>
      </c>
      <c r="L70" s="105">
        <f>L10+L16+L22+L28+L34+L40+L46+L64+L52+L58</f>
        <v>112706939.10000001</v>
      </c>
      <c r="M70" s="240"/>
      <c r="N70" s="248"/>
      <c r="O70" s="248"/>
      <c r="P70" s="248"/>
      <c r="Q70" s="248"/>
      <c r="R70" s="248"/>
      <c r="S70" s="248"/>
      <c r="T70" s="248"/>
      <c r="U70" s="274"/>
    </row>
    <row r="71" spans="1:21" ht="13.5" customHeight="1">
      <c r="A71" s="265"/>
      <c r="B71" s="268"/>
      <c r="C71" s="265"/>
      <c r="D71" s="104" t="s">
        <v>89</v>
      </c>
      <c r="E71" s="103">
        <f>F71+G71+H71+I71+J71+K71+L71</f>
        <v>2467020532.81</v>
      </c>
      <c r="F71" s="105">
        <f aca="true" t="shared" si="11" ref="F71:L73">F11+F17+F23+F29+F35+F41+F47+F65+F53+F59</f>
        <v>305582734</v>
      </c>
      <c r="G71" s="105">
        <f t="shared" si="11"/>
        <v>315789569.24</v>
      </c>
      <c r="H71" s="105">
        <f t="shared" si="11"/>
        <v>328713071.57</v>
      </c>
      <c r="I71" s="105">
        <f t="shared" si="11"/>
        <v>352804300.08000004</v>
      </c>
      <c r="J71" s="105">
        <f t="shared" si="11"/>
        <v>371991407.85</v>
      </c>
      <c r="K71" s="105">
        <f t="shared" si="11"/>
        <v>387709463.26</v>
      </c>
      <c r="L71" s="105">
        <f t="shared" si="11"/>
        <v>404429986.81</v>
      </c>
      <c r="M71" s="240"/>
      <c r="N71" s="248"/>
      <c r="O71" s="248"/>
      <c r="P71" s="248"/>
      <c r="Q71" s="248"/>
      <c r="R71" s="248"/>
      <c r="S71" s="248"/>
      <c r="T71" s="248"/>
      <c r="U71" s="274"/>
    </row>
    <row r="72" spans="1:21" ht="13.5" customHeight="1">
      <c r="A72" s="265"/>
      <c r="B72" s="268"/>
      <c r="C72" s="265"/>
      <c r="D72" s="104" t="s">
        <v>90</v>
      </c>
      <c r="E72" s="103">
        <f>F72+G72+H72+I72+J72+K72+L72</f>
        <v>0</v>
      </c>
      <c r="F72" s="105">
        <f t="shared" si="11"/>
        <v>0</v>
      </c>
      <c r="G72" s="105">
        <f t="shared" si="11"/>
        <v>0</v>
      </c>
      <c r="H72" s="105">
        <f t="shared" si="11"/>
        <v>0</v>
      </c>
      <c r="I72" s="105">
        <f t="shared" si="11"/>
        <v>0</v>
      </c>
      <c r="J72" s="105">
        <f t="shared" si="11"/>
        <v>0</v>
      </c>
      <c r="K72" s="105">
        <f t="shared" si="11"/>
        <v>0</v>
      </c>
      <c r="L72" s="105">
        <f t="shared" si="11"/>
        <v>0</v>
      </c>
      <c r="M72" s="240"/>
      <c r="N72" s="248"/>
      <c r="O72" s="248"/>
      <c r="P72" s="248"/>
      <c r="Q72" s="248"/>
      <c r="R72" s="248"/>
      <c r="S72" s="248"/>
      <c r="T72" s="248"/>
      <c r="U72" s="274"/>
    </row>
    <row r="73" spans="1:21" ht="13.5" customHeight="1">
      <c r="A73" s="266"/>
      <c r="B73" s="269"/>
      <c r="C73" s="266"/>
      <c r="D73" s="104" t="s">
        <v>92</v>
      </c>
      <c r="E73" s="103">
        <f>F73+G73+H73+I73+J73+K73+L73</f>
        <v>11123961.190000001</v>
      </c>
      <c r="F73" s="105">
        <f t="shared" si="11"/>
        <v>862705</v>
      </c>
      <c r="G73" s="105">
        <f t="shared" si="11"/>
        <v>1413208.07</v>
      </c>
      <c r="H73" s="105">
        <f t="shared" si="11"/>
        <v>1573000</v>
      </c>
      <c r="I73" s="105">
        <f t="shared" si="11"/>
        <v>1725048.12</v>
      </c>
      <c r="J73" s="105">
        <f t="shared" si="11"/>
        <v>1850000</v>
      </c>
      <c r="K73" s="105">
        <f t="shared" si="11"/>
        <v>1850000</v>
      </c>
      <c r="L73" s="105">
        <f t="shared" si="11"/>
        <v>1850000</v>
      </c>
      <c r="M73" s="241"/>
      <c r="N73" s="249"/>
      <c r="O73" s="249"/>
      <c r="P73" s="249"/>
      <c r="Q73" s="249"/>
      <c r="R73" s="249"/>
      <c r="S73" s="249"/>
      <c r="T73" s="249"/>
      <c r="U73" s="275"/>
    </row>
    <row r="74" spans="1:21" ht="12.75">
      <c r="A74" s="21">
        <v>2</v>
      </c>
      <c r="B74" s="216" t="s">
        <v>34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8"/>
    </row>
    <row r="75" spans="1:21" ht="12.75" customHeight="1">
      <c r="A75" s="284" t="s">
        <v>127</v>
      </c>
      <c r="B75" s="270" t="s">
        <v>143</v>
      </c>
      <c r="C75" s="232" t="s">
        <v>78</v>
      </c>
      <c r="D75" s="22" t="s">
        <v>93</v>
      </c>
      <c r="E75" s="23">
        <f>E77+E78+E79+E80</f>
        <v>1380255848.0299997</v>
      </c>
      <c r="F75" s="23">
        <f aca="true" t="shared" si="12" ref="F75:L75">F77+F78+F79+F80</f>
        <v>168802759.17</v>
      </c>
      <c r="G75" s="23">
        <f t="shared" si="12"/>
        <v>175694783.6</v>
      </c>
      <c r="H75" s="23">
        <f t="shared" si="12"/>
        <v>198785017.62</v>
      </c>
      <c r="I75" s="23">
        <f t="shared" si="12"/>
        <v>206451978.6</v>
      </c>
      <c r="J75" s="23">
        <f t="shared" si="12"/>
        <v>215650883.51999998</v>
      </c>
      <c r="K75" s="23">
        <f t="shared" si="12"/>
        <v>206101861.92999998</v>
      </c>
      <c r="L75" s="23">
        <f t="shared" si="12"/>
        <v>208768563.59</v>
      </c>
      <c r="M75" s="208" t="s">
        <v>48</v>
      </c>
      <c r="N75" s="211">
        <v>100</v>
      </c>
      <c r="O75" s="211">
        <v>100</v>
      </c>
      <c r="P75" s="211">
        <v>100</v>
      </c>
      <c r="Q75" s="211">
        <v>100</v>
      </c>
      <c r="R75" s="211">
        <v>100</v>
      </c>
      <c r="S75" s="211">
        <v>100</v>
      </c>
      <c r="T75" s="211">
        <v>100</v>
      </c>
      <c r="U75" s="222" t="s">
        <v>49</v>
      </c>
    </row>
    <row r="76" spans="1:21" ht="12.75">
      <c r="A76" s="285"/>
      <c r="B76" s="271"/>
      <c r="C76" s="233"/>
      <c r="D76" s="219" t="s">
        <v>113</v>
      </c>
      <c r="E76" s="220"/>
      <c r="F76" s="220"/>
      <c r="G76" s="220"/>
      <c r="H76" s="220"/>
      <c r="I76" s="220"/>
      <c r="J76" s="220"/>
      <c r="K76" s="220"/>
      <c r="L76" s="221"/>
      <c r="M76" s="209"/>
      <c r="N76" s="212"/>
      <c r="O76" s="212"/>
      <c r="P76" s="212"/>
      <c r="Q76" s="212"/>
      <c r="R76" s="212"/>
      <c r="S76" s="212"/>
      <c r="T76" s="212"/>
      <c r="U76" s="223"/>
    </row>
    <row r="77" spans="1:21" ht="12.75">
      <c r="A77" s="285"/>
      <c r="B77" s="271"/>
      <c r="C77" s="233"/>
      <c r="D77" s="22" t="s">
        <v>91</v>
      </c>
      <c r="E77" s="23">
        <f>F77+G77+H77+I77+J77+K77+L77</f>
        <v>1345734681.3199997</v>
      </c>
      <c r="F77" s="24">
        <f>165597360+718349.17</f>
        <v>166315709.17</v>
      </c>
      <c r="G77" s="24">
        <v>173318773.6</v>
      </c>
      <c r="H77" s="24">
        <f>199958653.01+2667060.51-2989805.55-2568514.42-1083433.26-157292.67</f>
        <v>195826667.62</v>
      </c>
      <c r="I77" s="24">
        <f>111782201.11+89268288.89+1792820.87+1165529.13-4100000+3429.75+4001.37</f>
        <v>199916271.12</v>
      </c>
      <c r="J77" s="24">
        <f>8329743.96+61342036.36+18525294.98+23853361.21+4566371.1+5728896.05+50191170.6+15157733.52+18605451.9+2968894.73</f>
        <v>209268954.41</v>
      </c>
      <c r="K77" s="24">
        <f>7963188.51+56688179.89+17119830.32+24807495.66+4566371.1+5475256.14+46409543.16+14015682.05+19349669.97+2968894.73</f>
        <v>199364111.52999997</v>
      </c>
      <c r="L77" s="24">
        <f>7615511.84+57189214.3+17271142.72+25799795.48+4566371.1+5234298.22+46816673.35+14138635.36+20123656.77+2968894.73</f>
        <v>201724193.87</v>
      </c>
      <c r="M77" s="209"/>
      <c r="N77" s="212"/>
      <c r="O77" s="212"/>
      <c r="P77" s="212"/>
      <c r="Q77" s="212"/>
      <c r="R77" s="212"/>
      <c r="S77" s="212"/>
      <c r="T77" s="212"/>
      <c r="U77" s="223"/>
    </row>
    <row r="78" spans="1:21" ht="12.75">
      <c r="A78" s="285"/>
      <c r="B78" s="271"/>
      <c r="C78" s="233"/>
      <c r="D78" s="22" t="s">
        <v>89</v>
      </c>
      <c r="E78" s="23">
        <f>F78+G78+H78+I78+J78+K78+L78</f>
        <v>34521166.71</v>
      </c>
      <c r="F78" s="24">
        <v>2487050</v>
      </c>
      <c r="G78" s="24">
        <v>2376010</v>
      </c>
      <c r="H78" s="24">
        <f>2958350</f>
        <v>2958350</v>
      </c>
      <c r="I78" s="24">
        <f>3340006.54+2505004.9+65165.16+76026.03+549504.85</f>
        <v>6535707.4799999995</v>
      </c>
      <c r="J78" s="24">
        <f>3646634.3+2735294.81</f>
        <v>6381929.109999999</v>
      </c>
      <c r="K78" s="24">
        <f>2887799.82+3849950.58</f>
        <v>6737750.4</v>
      </c>
      <c r="L78" s="24">
        <f>3019216.86+4025152.86</f>
        <v>7044369.72</v>
      </c>
      <c r="M78" s="209"/>
      <c r="N78" s="212"/>
      <c r="O78" s="212"/>
      <c r="P78" s="212"/>
      <c r="Q78" s="212"/>
      <c r="R78" s="212"/>
      <c r="S78" s="212"/>
      <c r="T78" s="212"/>
      <c r="U78" s="223"/>
    </row>
    <row r="79" spans="1:21" ht="12.75">
      <c r="A79" s="285"/>
      <c r="B79" s="271"/>
      <c r="C79" s="233"/>
      <c r="D79" s="22" t="s">
        <v>90</v>
      </c>
      <c r="E79" s="23">
        <f>F79+G79+H79+I79+J79+K79+L79</f>
        <v>0</v>
      </c>
      <c r="F79" s="24"/>
      <c r="G79" s="24"/>
      <c r="H79" s="24"/>
      <c r="I79" s="24"/>
      <c r="J79" s="24"/>
      <c r="K79" s="24"/>
      <c r="L79" s="24"/>
      <c r="M79" s="209"/>
      <c r="N79" s="212"/>
      <c r="O79" s="212"/>
      <c r="P79" s="212"/>
      <c r="Q79" s="212"/>
      <c r="R79" s="212"/>
      <c r="S79" s="212"/>
      <c r="T79" s="212"/>
      <c r="U79" s="223"/>
    </row>
    <row r="80" spans="1:21" ht="12.75">
      <c r="A80" s="286"/>
      <c r="B80" s="272"/>
      <c r="C80" s="234"/>
      <c r="D80" s="22" t="s">
        <v>92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10"/>
      <c r="N80" s="213"/>
      <c r="O80" s="213"/>
      <c r="P80" s="213"/>
      <c r="Q80" s="213"/>
      <c r="R80" s="213"/>
      <c r="S80" s="213"/>
      <c r="T80" s="213"/>
      <c r="U80" s="228"/>
    </row>
    <row r="81" spans="1:21" ht="12.75" customHeight="1">
      <c r="A81" s="284" t="s">
        <v>128</v>
      </c>
      <c r="B81" s="270" t="s">
        <v>144</v>
      </c>
      <c r="C81" s="232" t="s">
        <v>78</v>
      </c>
      <c r="D81" s="22" t="s">
        <v>93</v>
      </c>
      <c r="E81" s="23">
        <f>E83+E84+E85+E86</f>
        <v>25470557.270000003</v>
      </c>
      <c r="F81" s="23">
        <f aca="true" t="shared" si="13" ref="F81:L81">F83+F84+F85+F86</f>
        <v>12512827.97</v>
      </c>
      <c r="G81" s="23">
        <f t="shared" si="13"/>
        <v>12957729.3</v>
      </c>
      <c r="H81" s="23">
        <f t="shared" si="13"/>
        <v>0</v>
      </c>
      <c r="I81" s="23">
        <f t="shared" si="13"/>
        <v>0</v>
      </c>
      <c r="J81" s="23">
        <f t="shared" si="13"/>
        <v>0</v>
      </c>
      <c r="K81" s="23">
        <f t="shared" si="13"/>
        <v>0</v>
      </c>
      <c r="L81" s="23">
        <f t="shared" si="13"/>
        <v>0</v>
      </c>
      <c r="M81" s="208" t="s">
        <v>3</v>
      </c>
      <c r="N81" s="205">
        <v>1</v>
      </c>
      <c r="O81" s="205">
        <v>1</v>
      </c>
      <c r="P81" s="205">
        <v>1</v>
      </c>
      <c r="Q81" s="205">
        <v>1</v>
      </c>
      <c r="R81" s="205">
        <v>1</v>
      </c>
      <c r="S81" s="205">
        <v>1</v>
      </c>
      <c r="T81" s="205">
        <v>1</v>
      </c>
      <c r="U81" s="222" t="s">
        <v>49</v>
      </c>
    </row>
    <row r="82" spans="1:21" ht="12.75">
      <c r="A82" s="285"/>
      <c r="B82" s="271"/>
      <c r="C82" s="233"/>
      <c r="D82" s="219" t="s">
        <v>113</v>
      </c>
      <c r="E82" s="220"/>
      <c r="F82" s="220"/>
      <c r="G82" s="220"/>
      <c r="H82" s="220"/>
      <c r="I82" s="220"/>
      <c r="J82" s="220"/>
      <c r="K82" s="220"/>
      <c r="L82" s="221"/>
      <c r="M82" s="209"/>
      <c r="N82" s="206"/>
      <c r="O82" s="206"/>
      <c r="P82" s="206"/>
      <c r="Q82" s="206"/>
      <c r="R82" s="206"/>
      <c r="S82" s="206"/>
      <c r="T82" s="206"/>
      <c r="U82" s="223"/>
    </row>
    <row r="83" spans="1:21" ht="12.75">
      <c r="A83" s="285"/>
      <c r="B83" s="271"/>
      <c r="C83" s="233"/>
      <c r="D83" s="22" t="s">
        <v>91</v>
      </c>
      <c r="E83" s="23">
        <f>F83+G83+H83+I83+J83+K83+L83</f>
        <v>25470557.270000003</v>
      </c>
      <c r="F83" s="24">
        <v>12512827.97</v>
      </c>
      <c r="G83" s="24">
        <f>13685381-727651.7</f>
        <v>12957729.3</v>
      </c>
      <c r="H83" s="24">
        <v>0</v>
      </c>
      <c r="I83" s="24">
        <v>0</v>
      </c>
      <c r="J83" s="24">
        <f>I83</f>
        <v>0</v>
      </c>
      <c r="K83" s="24">
        <f>J83</f>
        <v>0</v>
      </c>
      <c r="L83" s="24">
        <f>K83</f>
        <v>0</v>
      </c>
      <c r="M83" s="209"/>
      <c r="N83" s="206"/>
      <c r="O83" s="206"/>
      <c r="P83" s="206"/>
      <c r="Q83" s="206"/>
      <c r="R83" s="206"/>
      <c r="S83" s="206"/>
      <c r="T83" s="206"/>
      <c r="U83" s="223"/>
    </row>
    <row r="84" spans="1:21" ht="12.75">
      <c r="A84" s="285"/>
      <c r="B84" s="271"/>
      <c r="C84" s="233"/>
      <c r="D84" s="22" t="s">
        <v>89</v>
      </c>
      <c r="E84" s="23">
        <f>F84+G84+H84+I84+J84+K84+L84</f>
        <v>0</v>
      </c>
      <c r="F84" s="24"/>
      <c r="G84" s="24"/>
      <c r="H84" s="24"/>
      <c r="I84" s="24"/>
      <c r="J84" s="24"/>
      <c r="K84" s="24"/>
      <c r="L84" s="24"/>
      <c r="M84" s="209"/>
      <c r="N84" s="206"/>
      <c r="O84" s="206"/>
      <c r="P84" s="206"/>
      <c r="Q84" s="206"/>
      <c r="R84" s="206"/>
      <c r="S84" s="206"/>
      <c r="T84" s="206"/>
      <c r="U84" s="223"/>
    </row>
    <row r="85" spans="1:21" ht="12.75">
      <c r="A85" s="285"/>
      <c r="B85" s="271"/>
      <c r="C85" s="233"/>
      <c r="D85" s="22" t="s">
        <v>90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09"/>
      <c r="N85" s="206"/>
      <c r="O85" s="206"/>
      <c r="P85" s="206"/>
      <c r="Q85" s="206"/>
      <c r="R85" s="206"/>
      <c r="S85" s="206"/>
      <c r="T85" s="206"/>
      <c r="U85" s="223"/>
    </row>
    <row r="86" spans="1:21" ht="12.75">
      <c r="A86" s="286"/>
      <c r="B86" s="272"/>
      <c r="C86" s="234"/>
      <c r="D86" s="22" t="s">
        <v>92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10"/>
      <c r="N86" s="207"/>
      <c r="O86" s="207"/>
      <c r="P86" s="207"/>
      <c r="Q86" s="207"/>
      <c r="R86" s="207"/>
      <c r="S86" s="207"/>
      <c r="T86" s="207"/>
      <c r="U86" s="228"/>
    </row>
    <row r="87" spans="1:21" ht="12.75" customHeight="1">
      <c r="A87" s="284" t="s">
        <v>129</v>
      </c>
      <c r="B87" s="270" t="s">
        <v>180</v>
      </c>
      <c r="C87" s="232" t="s">
        <v>78</v>
      </c>
      <c r="D87" s="22" t="s">
        <v>93</v>
      </c>
      <c r="E87" s="23">
        <f>E89+E90+E91+E92</f>
        <v>20989388.14</v>
      </c>
      <c r="F87" s="23">
        <f aca="true" t="shared" si="14" ref="F87:L87">F89+F90+F91+F92</f>
        <v>0</v>
      </c>
      <c r="G87" s="23">
        <f t="shared" si="14"/>
        <v>2166054.18</v>
      </c>
      <c r="H87" s="23">
        <f t="shared" si="14"/>
        <v>3168103.56</v>
      </c>
      <c r="I87" s="23">
        <f t="shared" si="14"/>
        <v>3172093.4</v>
      </c>
      <c r="J87" s="23">
        <f t="shared" si="14"/>
        <v>4448495</v>
      </c>
      <c r="K87" s="23">
        <f t="shared" si="14"/>
        <v>3586146</v>
      </c>
      <c r="L87" s="23">
        <f t="shared" si="14"/>
        <v>4448496</v>
      </c>
      <c r="M87" s="208" t="s">
        <v>264</v>
      </c>
      <c r="N87" s="205">
        <v>1</v>
      </c>
      <c r="O87" s="205">
        <v>1</v>
      </c>
      <c r="P87" s="205">
        <v>1</v>
      </c>
      <c r="Q87" s="205">
        <v>100</v>
      </c>
      <c r="R87" s="205">
        <v>100</v>
      </c>
      <c r="S87" s="205">
        <v>100</v>
      </c>
      <c r="T87" s="205">
        <v>100</v>
      </c>
      <c r="U87" s="222" t="s">
        <v>49</v>
      </c>
    </row>
    <row r="88" spans="1:21" ht="12.75">
      <c r="A88" s="285"/>
      <c r="B88" s="271"/>
      <c r="C88" s="233"/>
      <c r="D88" s="219" t="s">
        <v>113</v>
      </c>
      <c r="E88" s="220"/>
      <c r="F88" s="220"/>
      <c r="G88" s="220"/>
      <c r="H88" s="220"/>
      <c r="I88" s="220"/>
      <c r="J88" s="220"/>
      <c r="K88" s="220"/>
      <c r="L88" s="221"/>
      <c r="M88" s="209"/>
      <c r="N88" s="206"/>
      <c r="O88" s="206"/>
      <c r="P88" s="206"/>
      <c r="Q88" s="206"/>
      <c r="R88" s="206"/>
      <c r="S88" s="206"/>
      <c r="T88" s="206"/>
      <c r="U88" s="223"/>
    </row>
    <row r="89" spans="1:21" ht="12.75">
      <c r="A89" s="285"/>
      <c r="B89" s="271"/>
      <c r="C89" s="233"/>
      <c r="D89" s="22" t="s">
        <v>91</v>
      </c>
      <c r="E89" s="23">
        <f>F89+G89+H89+I89+J89+K89+L89</f>
        <v>20989388.14</v>
      </c>
      <c r="F89" s="24">
        <v>0</v>
      </c>
      <c r="G89" s="24">
        <f>2100000-105000.01+171054.19</f>
        <v>2166054.18</v>
      </c>
      <c r="H89" s="24">
        <f>2534249.99+676733.02+9862.15-49672.41-3069.19</f>
        <v>3168103.56</v>
      </c>
      <c r="I89" s="24">
        <f>1732820+1689500-94407.42-155819.18</f>
        <v>3172093.4</v>
      </c>
      <c r="J89" s="24">
        <f>2710509+1737986</f>
        <v>4448495</v>
      </c>
      <c r="K89" s="24">
        <f>1822382+1763764</f>
        <v>3586146</v>
      </c>
      <c r="L89" s="24">
        <f>2710509+1737987</f>
        <v>4448496</v>
      </c>
      <c r="M89" s="209"/>
      <c r="N89" s="206"/>
      <c r="O89" s="206"/>
      <c r="P89" s="206"/>
      <c r="Q89" s="206"/>
      <c r="R89" s="206"/>
      <c r="S89" s="206"/>
      <c r="T89" s="206"/>
      <c r="U89" s="223"/>
    </row>
    <row r="90" spans="1:21" ht="12.75">
      <c r="A90" s="285"/>
      <c r="B90" s="271"/>
      <c r="C90" s="233"/>
      <c r="D90" s="22" t="s">
        <v>89</v>
      </c>
      <c r="E90" s="23">
        <f>F90+G90+H90+I90+J90+K90+L90</f>
        <v>0</v>
      </c>
      <c r="F90" s="24"/>
      <c r="G90" s="24"/>
      <c r="H90" s="24"/>
      <c r="I90" s="24"/>
      <c r="J90" s="24"/>
      <c r="K90" s="24"/>
      <c r="L90" s="24"/>
      <c r="M90" s="209"/>
      <c r="N90" s="206"/>
      <c r="O90" s="206"/>
      <c r="P90" s="206"/>
      <c r="Q90" s="206"/>
      <c r="R90" s="206"/>
      <c r="S90" s="206"/>
      <c r="T90" s="206"/>
      <c r="U90" s="223"/>
    </row>
    <row r="91" spans="1:21" ht="12.75">
      <c r="A91" s="285"/>
      <c r="B91" s="271"/>
      <c r="C91" s="233"/>
      <c r="D91" s="22" t="s">
        <v>90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09"/>
      <c r="N91" s="206"/>
      <c r="O91" s="206"/>
      <c r="P91" s="206"/>
      <c r="Q91" s="206"/>
      <c r="R91" s="206"/>
      <c r="S91" s="206"/>
      <c r="T91" s="206"/>
      <c r="U91" s="223"/>
    </row>
    <row r="92" spans="1:21" ht="12.75">
      <c r="A92" s="286"/>
      <c r="B92" s="272"/>
      <c r="C92" s="234"/>
      <c r="D92" s="22" t="s">
        <v>92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10"/>
      <c r="N92" s="207"/>
      <c r="O92" s="207"/>
      <c r="P92" s="207"/>
      <c r="Q92" s="207"/>
      <c r="R92" s="207"/>
      <c r="S92" s="207"/>
      <c r="T92" s="207"/>
      <c r="U92" s="228"/>
    </row>
    <row r="93" spans="1:21" ht="12.75" customHeight="1">
      <c r="A93" s="284" t="s">
        <v>148</v>
      </c>
      <c r="B93" s="270" t="s">
        <v>145</v>
      </c>
      <c r="C93" s="232" t="s">
        <v>78</v>
      </c>
      <c r="D93" s="22" t="s">
        <v>93</v>
      </c>
      <c r="E93" s="23">
        <f>E95+E96+E97+E98</f>
        <v>158520233</v>
      </c>
      <c r="F93" s="23">
        <f aca="true" t="shared" si="15" ref="F93:L93">F95+F96+F97+F98</f>
        <v>24365995</v>
      </c>
      <c r="G93" s="23">
        <f t="shared" si="15"/>
        <v>21895744.36</v>
      </c>
      <c r="H93" s="23">
        <f t="shared" si="15"/>
        <v>20844961.15</v>
      </c>
      <c r="I93" s="23">
        <f t="shared" si="15"/>
        <v>21559795.490000002</v>
      </c>
      <c r="J93" s="23">
        <f t="shared" si="15"/>
        <v>23284579</v>
      </c>
      <c r="K93" s="23">
        <f t="shared" si="15"/>
        <v>23284579</v>
      </c>
      <c r="L93" s="23">
        <f t="shared" si="15"/>
        <v>23284579</v>
      </c>
      <c r="M93" s="287" t="s">
        <v>51</v>
      </c>
      <c r="N93" s="205">
        <v>1</v>
      </c>
      <c r="O93" s="205">
        <v>1</v>
      </c>
      <c r="P93" s="205">
        <v>1</v>
      </c>
      <c r="Q93" s="205">
        <v>1</v>
      </c>
      <c r="R93" s="205">
        <v>1</v>
      </c>
      <c r="S93" s="205">
        <v>1</v>
      </c>
      <c r="T93" s="205">
        <v>1</v>
      </c>
      <c r="U93" s="222" t="s">
        <v>49</v>
      </c>
    </row>
    <row r="94" spans="1:21" ht="12.75">
      <c r="A94" s="285"/>
      <c r="B94" s="271"/>
      <c r="C94" s="233"/>
      <c r="D94" s="219" t="s">
        <v>113</v>
      </c>
      <c r="E94" s="220"/>
      <c r="F94" s="220"/>
      <c r="G94" s="220"/>
      <c r="H94" s="220"/>
      <c r="I94" s="220"/>
      <c r="J94" s="220"/>
      <c r="K94" s="220"/>
      <c r="L94" s="221"/>
      <c r="M94" s="288"/>
      <c r="N94" s="206"/>
      <c r="O94" s="206"/>
      <c r="P94" s="206"/>
      <c r="Q94" s="206"/>
      <c r="R94" s="206"/>
      <c r="S94" s="206"/>
      <c r="T94" s="206"/>
      <c r="U94" s="223"/>
    </row>
    <row r="95" spans="1:21" ht="12.75">
      <c r="A95" s="285"/>
      <c r="B95" s="271"/>
      <c r="C95" s="233"/>
      <c r="D95" s="22" t="s">
        <v>91</v>
      </c>
      <c r="E95" s="23">
        <f>F95+G95+H95+I95+J95+K95+L95</f>
        <v>0</v>
      </c>
      <c r="F95" s="24"/>
      <c r="G95" s="24"/>
      <c r="H95" s="24"/>
      <c r="I95" s="24"/>
      <c r="J95" s="24"/>
      <c r="K95" s="24"/>
      <c r="L95" s="24"/>
      <c r="M95" s="288"/>
      <c r="N95" s="206"/>
      <c r="O95" s="206"/>
      <c r="P95" s="206"/>
      <c r="Q95" s="206"/>
      <c r="R95" s="206"/>
      <c r="S95" s="206"/>
      <c r="T95" s="206"/>
      <c r="U95" s="223"/>
    </row>
    <row r="96" spans="1:21" ht="12.75">
      <c r="A96" s="285"/>
      <c r="B96" s="271"/>
      <c r="C96" s="233"/>
      <c r="D96" s="22" t="s">
        <v>89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288"/>
      <c r="N96" s="206"/>
      <c r="O96" s="206"/>
      <c r="P96" s="206"/>
      <c r="Q96" s="206"/>
      <c r="R96" s="206"/>
      <c r="S96" s="206"/>
      <c r="T96" s="206"/>
      <c r="U96" s="223"/>
    </row>
    <row r="97" spans="1:21" ht="12.75">
      <c r="A97" s="285"/>
      <c r="B97" s="271"/>
      <c r="C97" s="233"/>
      <c r="D97" s="22" t="s">
        <v>90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288"/>
      <c r="N97" s="206"/>
      <c r="O97" s="206"/>
      <c r="P97" s="206"/>
      <c r="Q97" s="206"/>
      <c r="R97" s="206"/>
      <c r="S97" s="206"/>
      <c r="T97" s="206"/>
      <c r="U97" s="223"/>
    </row>
    <row r="98" spans="1:21" ht="12.75">
      <c r="A98" s="286"/>
      <c r="B98" s="272"/>
      <c r="C98" s="234"/>
      <c r="D98" s="22" t="s">
        <v>92</v>
      </c>
      <c r="E98" s="23">
        <f>F98+G98+H98+I98+J98+K98+L98</f>
        <v>158520233</v>
      </c>
      <c r="F98" s="24">
        <v>24365995</v>
      </c>
      <c r="G98" s="24">
        <v>21895744.36</v>
      </c>
      <c r="H98" s="24">
        <v>20844961.15</v>
      </c>
      <c r="I98" s="24">
        <f>841797.5+2680000+5420000+191337+4155222+3240098.99+5031340</f>
        <v>21559795.490000002</v>
      </c>
      <c r="J98" s="24">
        <v>23284579</v>
      </c>
      <c r="K98" s="24">
        <v>23284579</v>
      </c>
      <c r="L98" s="24">
        <v>23284579</v>
      </c>
      <c r="M98" s="289"/>
      <c r="N98" s="207"/>
      <c r="O98" s="207"/>
      <c r="P98" s="207"/>
      <c r="Q98" s="207"/>
      <c r="R98" s="207"/>
      <c r="S98" s="207"/>
      <c r="T98" s="207"/>
      <c r="U98" s="228"/>
    </row>
    <row r="99" spans="1:21" ht="12.75" customHeight="1">
      <c r="A99" s="284" t="s">
        <v>149</v>
      </c>
      <c r="B99" s="270" t="s">
        <v>0</v>
      </c>
      <c r="C99" s="232" t="s">
        <v>78</v>
      </c>
      <c r="D99" s="22" t="s">
        <v>93</v>
      </c>
      <c r="E99" s="23">
        <f>E101+E102+E103+E104</f>
        <v>7451599</v>
      </c>
      <c r="F99" s="23">
        <f aca="true" t="shared" si="16" ref="F99:L99">F101+F102+F103+F104</f>
        <v>7451599</v>
      </c>
      <c r="G99" s="23">
        <f t="shared" si="16"/>
        <v>0</v>
      </c>
      <c r="H99" s="23">
        <f t="shared" si="16"/>
        <v>0</v>
      </c>
      <c r="I99" s="23">
        <f t="shared" si="16"/>
        <v>0</v>
      </c>
      <c r="J99" s="23">
        <f t="shared" si="16"/>
        <v>0</v>
      </c>
      <c r="K99" s="23">
        <f t="shared" si="16"/>
        <v>0</v>
      </c>
      <c r="L99" s="23">
        <f t="shared" si="16"/>
        <v>0</v>
      </c>
      <c r="M99" s="208" t="s">
        <v>48</v>
      </c>
      <c r="N99" s="211">
        <v>100</v>
      </c>
      <c r="O99" s="211">
        <v>100</v>
      </c>
      <c r="P99" s="211">
        <v>100</v>
      </c>
      <c r="Q99" s="211">
        <v>100</v>
      </c>
      <c r="R99" s="211">
        <v>100</v>
      </c>
      <c r="S99" s="211">
        <v>100</v>
      </c>
      <c r="T99" s="211">
        <v>100</v>
      </c>
      <c r="U99" s="261" t="s">
        <v>50</v>
      </c>
    </row>
    <row r="100" spans="1:21" ht="12.75">
      <c r="A100" s="285"/>
      <c r="B100" s="271"/>
      <c r="C100" s="233"/>
      <c r="D100" s="219" t="s">
        <v>113</v>
      </c>
      <c r="E100" s="220"/>
      <c r="F100" s="220"/>
      <c r="G100" s="220"/>
      <c r="H100" s="220"/>
      <c r="I100" s="220"/>
      <c r="J100" s="220"/>
      <c r="K100" s="220"/>
      <c r="L100" s="221"/>
      <c r="M100" s="209"/>
      <c r="N100" s="212"/>
      <c r="O100" s="212"/>
      <c r="P100" s="212"/>
      <c r="Q100" s="212"/>
      <c r="R100" s="212"/>
      <c r="S100" s="212"/>
      <c r="T100" s="212"/>
      <c r="U100" s="262"/>
    </row>
    <row r="101" spans="1:21" ht="12.75">
      <c r="A101" s="285"/>
      <c r="B101" s="271"/>
      <c r="C101" s="233"/>
      <c r="D101" s="22" t="s">
        <v>91</v>
      </c>
      <c r="E101" s="23">
        <f>F101+G101+H101+I101+J101+K101+L101</f>
        <v>7451599</v>
      </c>
      <c r="F101" s="24">
        <v>7451599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09"/>
      <c r="N101" s="212"/>
      <c r="O101" s="212"/>
      <c r="P101" s="212"/>
      <c r="Q101" s="212"/>
      <c r="R101" s="212"/>
      <c r="S101" s="212"/>
      <c r="T101" s="212"/>
      <c r="U101" s="262"/>
    </row>
    <row r="102" spans="1:21" ht="12.75">
      <c r="A102" s="285"/>
      <c r="B102" s="271"/>
      <c r="C102" s="233"/>
      <c r="D102" s="22" t="s">
        <v>89</v>
      </c>
      <c r="E102" s="23">
        <f>F102+G102+H102+I102+J102+K102+L102</f>
        <v>0</v>
      </c>
      <c r="F102" s="24"/>
      <c r="G102" s="24"/>
      <c r="H102" s="24"/>
      <c r="I102" s="24"/>
      <c r="J102" s="24"/>
      <c r="K102" s="24"/>
      <c r="L102" s="24"/>
      <c r="M102" s="209"/>
      <c r="N102" s="212"/>
      <c r="O102" s="212"/>
      <c r="P102" s="212"/>
      <c r="Q102" s="212"/>
      <c r="R102" s="212"/>
      <c r="S102" s="212"/>
      <c r="T102" s="212"/>
      <c r="U102" s="262"/>
    </row>
    <row r="103" spans="1:21" ht="12.75">
      <c r="A103" s="285"/>
      <c r="B103" s="271"/>
      <c r="C103" s="233"/>
      <c r="D103" s="22" t="s">
        <v>90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09"/>
      <c r="N103" s="212"/>
      <c r="O103" s="212"/>
      <c r="P103" s="212"/>
      <c r="Q103" s="212"/>
      <c r="R103" s="212"/>
      <c r="S103" s="212"/>
      <c r="T103" s="212"/>
      <c r="U103" s="262"/>
    </row>
    <row r="104" spans="1:21" ht="12.75">
      <c r="A104" s="286"/>
      <c r="B104" s="272"/>
      <c r="C104" s="234"/>
      <c r="D104" s="22" t="s">
        <v>92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10"/>
      <c r="N104" s="213"/>
      <c r="O104" s="213"/>
      <c r="P104" s="213"/>
      <c r="Q104" s="213"/>
      <c r="R104" s="213"/>
      <c r="S104" s="213"/>
      <c r="T104" s="213"/>
      <c r="U104" s="263"/>
    </row>
    <row r="105" spans="1:21" ht="12.75" customHeight="1">
      <c r="A105" s="284" t="s">
        <v>150</v>
      </c>
      <c r="B105" s="270" t="s">
        <v>146</v>
      </c>
      <c r="C105" s="232" t="s">
        <v>78</v>
      </c>
      <c r="D105" s="22" t="s">
        <v>93</v>
      </c>
      <c r="E105" s="23">
        <f>E107+E108+E109+E110</f>
        <v>575647</v>
      </c>
      <c r="F105" s="23">
        <f aca="true" t="shared" si="17" ref="F105:L105">F107+F108+F109+F110</f>
        <v>575647</v>
      </c>
      <c r="G105" s="23">
        <f t="shared" si="17"/>
        <v>0</v>
      </c>
      <c r="H105" s="23">
        <f t="shared" si="17"/>
        <v>0</v>
      </c>
      <c r="I105" s="23">
        <f t="shared" si="17"/>
        <v>0</v>
      </c>
      <c r="J105" s="23">
        <f t="shared" si="17"/>
        <v>0</v>
      </c>
      <c r="K105" s="23">
        <f t="shared" si="17"/>
        <v>0</v>
      </c>
      <c r="L105" s="23">
        <f t="shared" si="17"/>
        <v>0</v>
      </c>
      <c r="M105" s="208" t="s">
        <v>3</v>
      </c>
      <c r="N105" s="205">
        <v>1</v>
      </c>
      <c r="O105" s="205">
        <v>1</v>
      </c>
      <c r="P105" s="205">
        <v>1</v>
      </c>
      <c r="Q105" s="205">
        <v>1</v>
      </c>
      <c r="R105" s="205">
        <v>1</v>
      </c>
      <c r="S105" s="205">
        <v>1</v>
      </c>
      <c r="T105" s="205">
        <v>1</v>
      </c>
      <c r="U105" s="261" t="s">
        <v>50</v>
      </c>
    </row>
    <row r="106" spans="1:21" ht="12.75">
      <c r="A106" s="285"/>
      <c r="B106" s="271"/>
      <c r="C106" s="233"/>
      <c r="D106" s="219" t="s">
        <v>113</v>
      </c>
      <c r="E106" s="220"/>
      <c r="F106" s="220"/>
      <c r="G106" s="220"/>
      <c r="H106" s="220"/>
      <c r="I106" s="220"/>
      <c r="J106" s="220"/>
      <c r="K106" s="220"/>
      <c r="L106" s="221"/>
      <c r="M106" s="209"/>
      <c r="N106" s="206"/>
      <c r="O106" s="206"/>
      <c r="P106" s="206"/>
      <c r="Q106" s="206"/>
      <c r="R106" s="206"/>
      <c r="S106" s="206"/>
      <c r="T106" s="206"/>
      <c r="U106" s="262"/>
    </row>
    <row r="107" spans="1:21" ht="12.75">
      <c r="A107" s="285"/>
      <c r="B107" s="271"/>
      <c r="C107" s="233"/>
      <c r="D107" s="22" t="s">
        <v>91</v>
      </c>
      <c r="E107" s="23">
        <f>F107+G107+H107+I107+J107+K107+L107</f>
        <v>575647</v>
      </c>
      <c r="F107" s="24">
        <v>575647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09"/>
      <c r="N107" s="206"/>
      <c r="O107" s="206"/>
      <c r="P107" s="206"/>
      <c r="Q107" s="206"/>
      <c r="R107" s="206"/>
      <c r="S107" s="206"/>
      <c r="T107" s="206"/>
      <c r="U107" s="262"/>
    </row>
    <row r="108" spans="1:21" ht="12.75">
      <c r="A108" s="285"/>
      <c r="B108" s="271"/>
      <c r="C108" s="233"/>
      <c r="D108" s="22" t="s">
        <v>89</v>
      </c>
      <c r="E108" s="23">
        <f>F108+G108+H108+I108+J108+K108+L108</f>
        <v>0</v>
      </c>
      <c r="F108" s="24"/>
      <c r="G108" s="24"/>
      <c r="H108" s="24"/>
      <c r="I108" s="24"/>
      <c r="J108" s="24"/>
      <c r="K108" s="24"/>
      <c r="L108" s="24"/>
      <c r="M108" s="209"/>
      <c r="N108" s="206"/>
      <c r="O108" s="206"/>
      <c r="P108" s="206"/>
      <c r="Q108" s="206"/>
      <c r="R108" s="206"/>
      <c r="S108" s="206"/>
      <c r="T108" s="206"/>
      <c r="U108" s="262"/>
    </row>
    <row r="109" spans="1:21" ht="12.75">
      <c r="A109" s="285"/>
      <c r="B109" s="271"/>
      <c r="C109" s="233"/>
      <c r="D109" s="22" t="s">
        <v>90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09"/>
      <c r="N109" s="206"/>
      <c r="O109" s="206"/>
      <c r="P109" s="206"/>
      <c r="Q109" s="206"/>
      <c r="R109" s="206"/>
      <c r="S109" s="206"/>
      <c r="T109" s="206"/>
      <c r="U109" s="262"/>
    </row>
    <row r="110" spans="1:21" ht="12.75">
      <c r="A110" s="286"/>
      <c r="B110" s="272"/>
      <c r="C110" s="234"/>
      <c r="D110" s="22" t="s">
        <v>92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10"/>
      <c r="N110" s="207"/>
      <c r="O110" s="207"/>
      <c r="P110" s="207"/>
      <c r="Q110" s="207"/>
      <c r="R110" s="207"/>
      <c r="S110" s="207"/>
      <c r="T110" s="207"/>
      <c r="U110" s="263"/>
    </row>
    <row r="111" spans="1:21" ht="12.75" customHeight="1">
      <c r="A111" s="284" t="s">
        <v>1</v>
      </c>
      <c r="B111" s="270" t="s">
        <v>147</v>
      </c>
      <c r="C111" s="232" t="s">
        <v>78</v>
      </c>
      <c r="D111" s="22" t="s">
        <v>93</v>
      </c>
      <c r="E111" s="23">
        <f>E113+E114+E115+E116</f>
        <v>8750000</v>
      </c>
      <c r="F111" s="23">
        <f aca="true" t="shared" si="18" ref="F111:L111">F113+F114+F115+F116</f>
        <v>8750000</v>
      </c>
      <c r="G111" s="23">
        <f t="shared" si="18"/>
        <v>0</v>
      </c>
      <c r="H111" s="23">
        <f t="shared" si="18"/>
        <v>0</v>
      </c>
      <c r="I111" s="23">
        <f t="shared" si="18"/>
        <v>0</v>
      </c>
      <c r="J111" s="23">
        <f t="shared" si="18"/>
        <v>0</v>
      </c>
      <c r="K111" s="23">
        <f t="shared" si="18"/>
        <v>0</v>
      </c>
      <c r="L111" s="23">
        <f t="shared" si="18"/>
        <v>0</v>
      </c>
      <c r="M111" s="287" t="s">
        <v>51</v>
      </c>
      <c r="N111" s="205">
        <v>1</v>
      </c>
      <c r="O111" s="205">
        <v>1</v>
      </c>
      <c r="P111" s="205">
        <v>1</v>
      </c>
      <c r="Q111" s="205">
        <v>1</v>
      </c>
      <c r="R111" s="205">
        <v>1</v>
      </c>
      <c r="S111" s="205">
        <v>1</v>
      </c>
      <c r="T111" s="205">
        <v>1</v>
      </c>
      <c r="U111" s="261" t="s">
        <v>50</v>
      </c>
    </row>
    <row r="112" spans="1:21" ht="12.75">
      <c r="A112" s="285"/>
      <c r="B112" s="271"/>
      <c r="C112" s="233"/>
      <c r="D112" s="219" t="s">
        <v>113</v>
      </c>
      <c r="E112" s="220"/>
      <c r="F112" s="220"/>
      <c r="G112" s="220"/>
      <c r="H112" s="220"/>
      <c r="I112" s="220"/>
      <c r="J112" s="220"/>
      <c r="K112" s="220"/>
      <c r="L112" s="221"/>
      <c r="M112" s="288"/>
      <c r="N112" s="206"/>
      <c r="O112" s="206"/>
      <c r="P112" s="206"/>
      <c r="Q112" s="206"/>
      <c r="R112" s="206"/>
      <c r="S112" s="206"/>
      <c r="T112" s="206"/>
      <c r="U112" s="262"/>
    </row>
    <row r="113" spans="1:21" ht="12.75">
      <c r="A113" s="285"/>
      <c r="B113" s="271"/>
      <c r="C113" s="233"/>
      <c r="D113" s="22" t="s">
        <v>91</v>
      </c>
      <c r="E113" s="23">
        <f>F113+G113+H113+I113+J113+K113+L113</f>
        <v>0</v>
      </c>
      <c r="F113" s="24"/>
      <c r="G113" s="24"/>
      <c r="H113" s="24"/>
      <c r="I113" s="24"/>
      <c r="J113" s="24"/>
      <c r="K113" s="24"/>
      <c r="L113" s="24"/>
      <c r="M113" s="288"/>
      <c r="N113" s="206"/>
      <c r="O113" s="206"/>
      <c r="P113" s="206"/>
      <c r="Q113" s="206"/>
      <c r="R113" s="206"/>
      <c r="S113" s="206"/>
      <c r="T113" s="206"/>
      <c r="U113" s="262"/>
    </row>
    <row r="114" spans="1:21" ht="12.75">
      <c r="A114" s="285"/>
      <c r="B114" s="271"/>
      <c r="C114" s="233"/>
      <c r="D114" s="22" t="s">
        <v>89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288"/>
      <c r="N114" s="206"/>
      <c r="O114" s="206"/>
      <c r="P114" s="206"/>
      <c r="Q114" s="206"/>
      <c r="R114" s="206"/>
      <c r="S114" s="206"/>
      <c r="T114" s="206"/>
      <c r="U114" s="262"/>
    </row>
    <row r="115" spans="1:21" ht="12.75">
      <c r="A115" s="285"/>
      <c r="B115" s="271"/>
      <c r="C115" s="233"/>
      <c r="D115" s="22" t="s">
        <v>90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288"/>
      <c r="N115" s="206"/>
      <c r="O115" s="206"/>
      <c r="P115" s="206"/>
      <c r="Q115" s="206"/>
      <c r="R115" s="206"/>
      <c r="S115" s="206"/>
      <c r="T115" s="206"/>
      <c r="U115" s="262"/>
    </row>
    <row r="116" spans="1:21" ht="12.75">
      <c r="A116" s="286"/>
      <c r="B116" s="272"/>
      <c r="C116" s="234"/>
      <c r="D116" s="22" t="s">
        <v>92</v>
      </c>
      <c r="E116" s="23">
        <f>F116+G116+H116+I116+J116+K116+L116</f>
        <v>8750000</v>
      </c>
      <c r="F116" s="24">
        <v>8750000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89"/>
      <c r="N116" s="207"/>
      <c r="O116" s="207"/>
      <c r="P116" s="207"/>
      <c r="Q116" s="207"/>
      <c r="R116" s="207"/>
      <c r="S116" s="207"/>
      <c r="T116" s="207"/>
      <c r="U116" s="263"/>
    </row>
    <row r="117" spans="1:21" ht="13.5" customHeight="1">
      <c r="A117" s="264"/>
      <c r="B117" s="267" t="s">
        <v>151</v>
      </c>
      <c r="C117" s="264"/>
      <c r="D117" s="102" t="s">
        <v>93</v>
      </c>
      <c r="E117" s="103">
        <f aca="true" t="shared" si="19" ref="E117:L117">E119+E120+E121+E122</f>
        <v>1602013272.44</v>
      </c>
      <c r="F117" s="103">
        <f t="shared" si="19"/>
        <v>222458828.14</v>
      </c>
      <c r="G117" s="103">
        <f t="shared" si="19"/>
        <v>212714311.44</v>
      </c>
      <c r="H117" s="103">
        <f t="shared" si="19"/>
        <v>222798082.33</v>
      </c>
      <c r="I117" s="103">
        <f t="shared" si="19"/>
        <v>231183867.49</v>
      </c>
      <c r="J117" s="103">
        <f t="shared" si="19"/>
        <v>243383957.51999998</v>
      </c>
      <c r="K117" s="103">
        <f t="shared" si="19"/>
        <v>232972586.92999998</v>
      </c>
      <c r="L117" s="103">
        <f t="shared" si="19"/>
        <v>236501638.59</v>
      </c>
      <c r="M117" s="239"/>
      <c r="N117" s="247"/>
      <c r="O117" s="247"/>
      <c r="P117" s="247"/>
      <c r="Q117" s="247"/>
      <c r="R117" s="247"/>
      <c r="S117" s="247"/>
      <c r="T117" s="247"/>
      <c r="U117" s="250"/>
    </row>
    <row r="118" spans="1:21" ht="12.75" customHeight="1">
      <c r="A118" s="265"/>
      <c r="B118" s="268"/>
      <c r="C118" s="265"/>
      <c r="D118" s="242" t="s">
        <v>113</v>
      </c>
      <c r="E118" s="243"/>
      <c r="F118" s="243"/>
      <c r="G118" s="243"/>
      <c r="H118" s="243"/>
      <c r="I118" s="243"/>
      <c r="J118" s="243"/>
      <c r="K118" s="243"/>
      <c r="L118" s="244"/>
      <c r="M118" s="240"/>
      <c r="N118" s="248"/>
      <c r="O118" s="248"/>
      <c r="P118" s="248"/>
      <c r="Q118" s="248"/>
      <c r="R118" s="248"/>
      <c r="S118" s="248"/>
      <c r="T118" s="248"/>
      <c r="U118" s="251"/>
    </row>
    <row r="119" spans="1:21" ht="13.5" customHeight="1">
      <c r="A119" s="265"/>
      <c r="B119" s="268"/>
      <c r="C119" s="265"/>
      <c r="D119" s="104" t="s">
        <v>91</v>
      </c>
      <c r="E119" s="103">
        <f>F119+G119+H119+I119+J119+K119+L119</f>
        <v>1400221872.73</v>
      </c>
      <c r="F119" s="105">
        <f aca="true" t="shared" si="20" ref="F119:L122">F77+F83+F95+F101+F107+F113+F89</f>
        <v>186855783.14</v>
      </c>
      <c r="G119" s="105">
        <f t="shared" si="20"/>
        <v>188442557.08</v>
      </c>
      <c r="H119" s="105">
        <f t="shared" si="20"/>
        <v>198994771.18</v>
      </c>
      <c r="I119" s="105">
        <f t="shared" si="20"/>
        <v>203088364.52</v>
      </c>
      <c r="J119" s="105">
        <f t="shared" si="20"/>
        <v>213717449.41</v>
      </c>
      <c r="K119" s="105">
        <f t="shared" si="20"/>
        <v>202950257.52999997</v>
      </c>
      <c r="L119" s="105">
        <f t="shared" si="20"/>
        <v>206172689.87</v>
      </c>
      <c r="M119" s="240"/>
      <c r="N119" s="248"/>
      <c r="O119" s="248"/>
      <c r="P119" s="248"/>
      <c r="Q119" s="248"/>
      <c r="R119" s="248"/>
      <c r="S119" s="248"/>
      <c r="T119" s="248"/>
      <c r="U119" s="251"/>
    </row>
    <row r="120" spans="1:21" ht="13.5" customHeight="1">
      <c r="A120" s="265"/>
      <c r="B120" s="268"/>
      <c r="C120" s="265"/>
      <c r="D120" s="104" t="s">
        <v>89</v>
      </c>
      <c r="E120" s="103">
        <f>F120+G120+H120+I120+J120+K120+L120</f>
        <v>34521166.71</v>
      </c>
      <c r="F120" s="105">
        <f t="shared" si="20"/>
        <v>2487050</v>
      </c>
      <c r="G120" s="105">
        <f t="shared" si="20"/>
        <v>2376010</v>
      </c>
      <c r="H120" s="105">
        <f t="shared" si="20"/>
        <v>2958350</v>
      </c>
      <c r="I120" s="105">
        <f t="shared" si="20"/>
        <v>6535707.4799999995</v>
      </c>
      <c r="J120" s="105">
        <f t="shared" si="20"/>
        <v>6381929.109999999</v>
      </c>
      <c r="K120" s="105">
        <f t="shared" si="20"/>
        <v>6737750.4</v>
      </c>
      <c r="L120" s="105">
        <f t="shared" si="20"/>
        <v>7044369.72</v>
      </c>
      <c r="M120" s="240"/>
      <c r="N120" s="248"/>
      <c r="O120" s="248"/>
      <c r="P120" s="248"/>
      <c r="Q120" s="248"/>
      <c r="R120" s="248"/>
      <c r="S120" s="248"/>
      <c r="T120" s="248"/>
      <c r="U120" s="251"/>
    </row>
    <row r="121" spans="1:21" ht="13.5" customHeight="1">
      <c r="A121" s="265"/>
      <c r="B121" s="268"/>
      <c r="C121" s="265"/>
      <c r="D121" s="104" t="s">
        <v>90</v>
      </c>
      <c r="E121" s="103">
        <f>F121+G121+H121+I121+J121+K121+L121</f>
        <v>0</v>
      </c>
      <c r="F121" s="105">
        <f t="shared" si="20"/>
        <v>0</v>
      </c>
      <c r="G121" s="105">
        <f t="shared" si="20"/>
        <v>0</v>
      </c>
      <c r="H121" s="105">
        <f t="shared" si="20"/>
        <v>0</v>
      </c>
      <c r="I121" s="105">
        <f t="shared" si="20"/>
        <v>0</v>
      </c>
      <c r="J121" s="105">
        <f t="shared" si="20"/>
        <v>0</v>
      </c>
      <c r="K121" s="105">
        <f t="shared" si="20"/>
        <v>0</v>
      </c>
      <c r="L121" s="105">
        <f t="shared" si="20"/>
        <v>0</v>
      </c>
      <c r="M121" s="240"/>
      <c r="N121" s="248"/>
      <c r="O121" s="248"/>
      <c r="P121" s="248"/>
      <c r="Q121" s="248"/>
      <c r="R121" s="248"/>
      <c r="S121" s="248"/>
      <c r="T121" s="248"/>
      <c r="U121" s="251"/>
    </row>
    <row r="122" spans="1:21" ht="13.5" customHeight="1">
      <c r="A122" s="266"/>
      <c r="B122" s="269"/>
      <c r="C122" s="266"/>
      <c r="D122" s="104" t="s">
        <v>92</v>
      </c>
      <c r="E122" s="103">
        <f>F122+G122+H122+I122+J122+K122+L122</f>
        <v>167270233</v>
      </c>
      <c r="F122" s="105">
        <f t="shared" si="20"/>
        <v>33115995</v>
      </c>
      <c r="G122" s="105">
        <f t="shared" si="20"/>
        <v>21895744.36</v>
      </c>
      <c r="H122" s="105">
        <f t="shared" si="20"/>
        <v>20844961.15</v>
      </c>
      <c r="I122" s="105">
        <f t="shared" si="20"/>
        <v>21559795.490000002</v>
      </c>
      <c r="J122" s="105">
        <f t="shared" si="20"/>
        <v>23284579</v>
      </c>
      <c r="K122" s="105">
        <f t="shared" si="20"/>
        <v>23284579</v>
      </c>
      <c r="L122" s="105">
        <f t="shared" si="20"/>
        <v>23284579</v>
      </c>
      <c r="M122" s="241"/>
      <c r="N122" s="249"/>
      <c r="O122" s="249"/>
      <c r="P122" s="249"/>
      <c r="Q122" s="249"/>
      <c r="R122" s="249"/>
      <c r="S122" s="249"/>
      <c r="T122" s="249"/>
      <c r="U122" s="252"/>
    </row>
    <row r="123" spans="1:21" s="79" customFormat="1" ht="13.5" customHeight="1">
      <c r="A123" s="264"/>
      <c r="B123" s="267" t="s">
        <v>74</v>
      </c>
      <c r="C123" s="264"/>
      <c r="D123" s="102" t="s">
        <v>93</v>
      </c>
      <c r="E123" s="103">
        <f>E125+E126+E127+E128</f>
        <v>4833169052.87</v>
      </c>
      <c r="F123" s="103">
        <f aca="true" t="shared" si="21" ref="F123:L123">F117+F68</f>
        <v>630157257.97</v>
      </c>
      <c r="G123" s="103">
        <f t="shared" si="21"/>
        <v>629509067.48</v>
      </c>
      <c r="H123" s="103">
        <f t="shared" si="21"/>
        <v>659507806.04</v>
      </c>
      <c r="I123" s="103">
        <f t="shared" si="21"/>
        <v>695886728.07</v>
      </c>
      <c r="J123" s="103">
        <f t="shared" si="21"/>
        <v>731046481.05</v>
      </c>
      <c r="K123" s="103">
        <f t="shared" si="21"/>
        <v>731573147.76</v>
      </c>
      <c r="L123" s="103">
        <f t="shared" si="21"/>
        <v>755488564.5</v>
      </c>
      <c r="M123" s="239"/>
      <c r="N123" s="247"/>
      <c r="O123" s="247"/>
      <c r="P123" s="247"/>
      <c r="Q123" s="247"/>
      <c r="R123" s="247"/>
      <c r="S123" s="247"/>
      <c r="T123" s="247"/>
      <c r="U123" s="250"/>
    </row>
    <row r="124" spans="1:21" ht="12.75" customHeight="1">
      <c r="A124" s="265"/>
      <c r="B124" s="268"/>
      <c r="C124" s="265"/>
      <c r="D124" s="242" t="s">
        <v>113</v>
      </c>
      <c r="E124" s="243"/>
      <c r="F124" s="243"/>
      <c r="G124" s="243"/>
      <c r="H124" s="243"/>
      <c r="I124" s="243"/>
      <c r="J124" s="243"/>
      <c r="K124" s="243"/>
      <c r="L124" s="244"/>
      <c r="M124" s="240"/>
      <c r="N124" s="248"/>
      <c r="O124" s="248"/>
      <c r="P124" s="248"/>
      <c r="Q124" s="248"/>
      <c r="R124" s="248"/>
      <c r="S124" s="248"/>
      <c r="T124" s="248"/>
      <c r="U124" s="251"/>
    </row>
    <row r="125" spans="1:21" ht="13.5" customHeight="1">
      <c r="A125" s="265"/>
      <c r="B125" s="268"/>
      <c r="C125" s="265"/>
      <c r="D125" s="104" t="s">
        <v>91</v>
      </c>
      <c r="E125" s="103">
        <f>F125+G125+H125+I125+J125+K125+L125</f>
        <v>2153233159.16</v>
      </c>
      <c r="F125" s="105">
        <f aca="true" t="shared" si="22" ref="F125:L128">F70+F119</f>
        <v>288108773.96999997</v>
      </c>
      <c r="G125" s="105">
        <f t="shared" si="22"/>
        <v>288034535.81</v>
      </c>
      <c r="H125" s="105">
        <f t="shared" si="22"/>
        <v>305418423.32</v>
      </c>
      <c r="I125" s="105">
        <f t="shared" si="22"/>
        <v>313261876.9</v>
      </c>
      <c r="J125" s="105">
        <f t="shared" si="22"/>
        <v>327538565.09</v>
      </c>
      <c r="K125" s="105">
        <f t="shared" si="22"/>
        <v>311991355.09999996</v>
      </c>
      <c r="L125" s="105">
        <f t="shared" si="22"/>
        <v>318879628.97</v>
      </c>
      <c r="M125" s="240"/>
      <c r="N125" s="248"/>
      <c r="O125" s="248"/>
      <c r="P125" s="248"/>
      <c r="Q125" s="248"/>
      <c r="R125" s="248"/>
      <c r="S125" s="248"/>
      <c r="T125" s="248"/>
      <c r="U125" s="251"/>
    </row>
    <row r="126" spans="1:21" ht="13.5" customHeight="1">
      <c r="A126" s="265"/>
      <c r="B126" s="268"/>
      <c r="C126" s="265"/>
      <c r="D126" s="104" t="s">
        <v>89</v>
      </c>
      <c r="E126" s="103">
        <f>F126+G126+H126+I126+J126+K126+L126</f>
        <v>2501541699.52</v>
      </c>
      <c r="F126" s="105">
        <f t="shared" si="22"/>
        <v>308069784</v>
      </c>
      <c r="G126" s="105">
        <f t="shared" si="22"/>
        <v>318165579.24</v>
      </c>
      <c r="H126" s="105">
        <f t="shared" si="22"/>
        <v>331671421.57</v>
      </c>
      <c r="I126" s="105">
        <f t="shared" si="22"/>
        <v>359340007.56000006</v>
      </c>
      <c r="J126" s="105">
        <f t="shared" si="22"/>
        <v>378373336.96000004</v>
      </c>
      <c r="K126" s="105">
        <f t="shared" si="22"/>
        <v>394447213.65999997</v>
      </c>
      <c r="L126" s="105">
        <f t="shared" si="22"/>
        <v>411474356.53000003</v>
      </c>
      <c r="M126" s="240"/>
      <c r="N126" s="248"/>
      <c r="O126" s="248"/>
      <c r="P126" s="248"/>
      <c r="Q126" s="248"/>
      <c r="R126" s="248"/>
      <c r="S126" s="248"/>
      <c r="T126" s="248"/>
      <c r="U126" s="251"/>
    </row>
    <row r="127" spans="1:21" ht="13.5" customHeight="1">
      <c r="A127" s="265"/>
      <c r="B127" s="268"/>
      <c r="C127" s="265"/>
      <c r="D127" s="104" t="s">
        <v>90</v>
      </c>
      <c r="E127" s="103">
        <f>F127+G127+H127+I127+J127+K127+L127</f>
        <v>0</v>
      </c>
      <c r="F127" s="105">
        <f t="shared" si="22"/>
        <v>0</v>
      </c>
      <c r="G127" s="105">
        <f t="shared" si="22"/>
        <v>0</v>
      </c>
      <c r="H127" s="105">
        <f t="shared" si="22"/>
        <v>0</v>
      </c>
      <c r="I127" s="105">
        <f t="shared" si="22"/>
        <v>0</v>
      </c>
      <c r="J127" s="105">
        <f t="shared" si="22"/>
        <v>0</v>
      </c>
      <c r="K127" s="105">
        <f t="shared" si="22"/>
        <v>0</v>
      </c>
      <c r="L127" s="105">
        <f t="shared" si="22"/>
        <v>0</v>
      </c>
      <c r="M127" s="240"/>
      <c r="N127" s="248"/>
      <c r="O127" s="248"/>
      <c r="P127" s="248"/>
      <c r="Q127" s="248"/>
      <c r="R127" s="248"/>
      <c r="S127" s="248"/>
      <c r="T127" s="248"/>
      <c r="U127" s="251"/>
    </row>
    <row r="128" spans="1:21" ht="13.5" customHeight="1">
      <c r="A128" s="266"/>
      <c r="B128" s="269"/>
      <c r="C128" s="266"/>
      <c r="D128" s="104" t="s">
        <v>92</v>
      </c>
      <c r="E128" s="103">
        <f>F128+G128+H128+I128+J128+K128+L128</f>
        <v>178394194.19</v>
      </c>
      <c r="F128" s="105">
        <f t="shared" si="22"/>
        <v>33978700</v>
      </c>
      <c r="G128" s="105">
        <f t="shared" si="22"/>
        <v>23308952.43</v>
      </c>
      <c r="H128" s="105">
        <f t="shared" si="22"/>
        <v>22417961.15</v>
      </c>
      <c r="I128" s="105">
        <f t="shared" si="22"/>
        <v>23284843.610000003</v>
      </c>
      <c r="J128" s="105">
        <f t="shared" si="22"/>
        <v>25134579</v>
      </c>
      <c r="K128" s="105">
        <f t="shared" si="22"/>
        <v>25134579</v>
      </c>
      <c r="L128" s="105">
        <f t="shared" si="22"/>
        <v>25134579</v>
      </c>
      <c r="M128" s="241"/>
      <c r="N128" s="249"/>
      <c r="O128" s="249"/>
      <c r="P128" s="249"/>
      <c r="Q128" s="249"/>
      <c r="R128" s="249"/>
      <c r="S128" s="249"/>
      <c r="T128" s="249"/>
      <c r="U128" s="252"/>
    </row>
    <row r="130" spans="5:8" s="32" customFormat="1" ht="12.75">
      <c r="E130" s="33"/>
      <c r="G130" s="78"/>
      <c r="H130" s="78"/>
    </row>
    <row r="131" spans="7:9" ht="12.75">
      <c r="G131" s="78"/>
      <c r="H131" s="78"/>
      <c r="I131" s="32"/>
    </row>
    <row r="132" spans="5:9" ht="12.75">
      <c r="E132" s="26"/>
      <c r="G132" s="34"/>
      <c r="H132" s="78"/>
      <c r="I132" s="89"/>
    </row>
    <row r="133" spans="5:9" ht="12.75">
      <c r="E133" s="26"/>
      <c r="F133" s="35"/>
      <c r="G133" s="36"/>
      <c r="H133" s="90"/>
      <c r="I133" s="90"/>
    </row>
    <row r="134" spans="5:9" ht="12.75">
      <c r="E134" s="26"/>
      <c r="F134" s="35"/>
      <c r="G134" s="34"/>
      <c r="H134" s="89"/>
      <c r="I134" s="89"/>
    </row>
    <row r="135" spans="2:9" ht="12.75">
      <c r="B135" s="26"/>
      <c r="E135" s="26"/>
      <c r="F135" s="37"/>
      <c r="G135" s="38"/>
      <c r="H135" s="26"/>
      <c r="I135" s="26"/>
    </row>
    <row r="136" spans="2:9" ht="12.75">
      <c r="B136" s="26"/>
      <c r="E136" s="26"/>
      <c r="F136" s="39"/>
      <c r="G136" s="38"/>
      <c r="H136" s="26"/>
      <c r="I136" s="26"/>
    </row>
    <row r="137" spans="2:9" ht="12.75">
      <c r="B137" s="26"/>
      <c r="E137" s="26"/>
      <c r="F137" s="37"/>
      <c r="G137" s="38"/>
      <c r="H137" s="26"/>
      <c r="I137" s="26"/>
    </row>
    <row r="138" spans="2:9" ht="12.75">
      <c r="B138" s="26"/>
      <c r="E138" s="36"/>
      <c r="F138" s="37"/>
      <c r="G138" s="40"/>
      <c r="H138" s="26"/>
      <c r="I138" s="26"/>
    </row>
    <row r="139" spans="2:9" ht="12.75">
      <c r="B139" s="26"/>
      <c r="C139" s="35"/>
      <c r="E139" s="2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1"/>
      <c r="H140" s="26"/>
      <c r="I140" s="26"/>
    </row>
    <row r="141" spans="2:9" ht="12.75">
      <c r="B141" s="26"/>
      <c r="C141" s="42"/>
      <c r="E141" s="26"/>
      <c r="F141" s="37"/>
      <c r="G141" s="43"/>
      <c r="H141" s="41"/>
      <c r="I141" s="26"/>
    </row>
    <row r="142" spans="2:9" ht="12.75">
      <c r="B142" s="26"/>
      <c r="C142" s="35"/>
      <c r="E142" s="38"/>
      <c r="F142" s="37"/>
      <c r="G142" s="41"/>
      <c r="H142" s="26"/>
      <c r="I142" s="26"/>
    </row>
    <row r="143" spans="2:9" ht="12.75">
      <c r="B143" s="26"/>
      <c r="C143" s="35"/>
      <c r="E143" s="38"/>
      <c r="F143" s="37"/>
      <c r="G143" s="40"/>
      <c r="H143" s="44"/>
      <c r="I143" s="44"/>
    </row>
    <row r="144" spans="5:9" ht="12.75">
      <c r="E144" s="36"/>
      <c r="F144" s="37"/>
      <c r="G144" s="40"/>
      <c r="H144" s="44"/>
      <c r="I144" s="44"/>
    </row>
    <row r="145" spans="6:9" ht="12.75">
      <c r="F145" s="37"/>
      <c r="G145" s="40"/>
      <c r="H145" s="44"/>
      <c r="I145" s="44"/>
    </row>
    <row r="146" spans="6:9" ht="12.75">
      <c r="F146" s="37"/>
      <c r="G146" s="40"/>
      <c r="H146" s="45"/>
      <c r="I146" s="45"/>
    </row>
    <row r="147" spans="6:9" ht="12.75">
      <c r="F147" s="37"/>
      <c r="G147" s="40"/>
      <c r="H147" s="44"/>
      <c r="I147" s="44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5"/>
      <c r="I150" s="45"/>
    </row>
    <row r="151" spans="6:9" ht="12.75">
      <c r="F151" s="37"/>
      <c r="G151" s="46"/>
      <c r="H151" s="44"/>
      <c r="I151" s="44"/>
    </row>
    <row r="152" spans="6:9" ht="12.75">
      <c r="F152" s="37"/>
      <c r="G152" s="40"/>
      <c r="H152" s="45"/>
      <c r="I152" s="45"/>
    </row>
    <row r="153" spans="6:9" ht="12.75">
      <c r="F153" s="37"/>
      <c r="G153" s="41"/>
      <c r="H153" s="44"/>
      <c r="I153" s="26"/>
    </row>
    <row r="154" spans="6:9" ht="12.75">
      <c r="F154" s="37"/>
      <c r="G154" s="38"/>
      <c r="H154" s="44"/>
      <c r="I154" s="26"/>
    </row>
    <row r="155" spans="6:9" ht="12.75">
      <c r="F155" s="35"/>
      <c r="G155" s="26"/>
      <c r="H155" s="38"/>
      <c r="I155" s="26"/>
    </row>
    <row r="156" ht="12.75">
      <c r="F156" s="47"/>
    </row>
    <row r="157" spans="6:7" ht="12.75">
      <c r="F157" s="35"/>
      <c r="G157" s="26"/>
    </row>
    <row r="158" spans="6:8" ht="12.75">
      <c r="F158" s="35"/>
      <c r="G158" s="26"/>
      <c r="H158" s="48"/>
    </row>
    <row r="159" spans="6:7" ht="12.75">
      <c r="F159" s="46"/>
      <c r="G159" s="40"/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spans="6:7" ht="12.75">
      <c r="F166" s="260"/>
      <c r="G166" s="260"/>
    </row>
    <row r="167" ht="12.75">
      <c r="G167" s="26"/>
    </row>
    <row r="168" ht="12.75">
      <c r="G168" s="26"/>
    </row>
    <row r="170" ht="12.75">
      <c r="G170" s="26"/>
    </row>
    <row r="171" ht="12.75">
      <c r="G171" s="26"/>
    </row>
    <row r="173" ht="12.75">
      <c r="F173" s="35"/>
    </row>
    <row r="174" spans="7:9" ht="12.75">
      <c r="G174" s="26"/>
      <c r="H174" s="26"/>
      <c r="I174" s="26"/>
    </row>
    <row r="175" spans="7:9" ht="12.75">
      <c r="G175" s="26"/>
      <c r="H175" s="26"/>
      <c r="I175" s="26"/>
    </row>
    <row r="176" spans="7:9" ht="12.75">
      <c r="G176" s="26"/>
      <c r="H176" s="26"/>
      <c r="I176" s="26"/>
    </row>
  </sheetData>
  <sheetProtection/>
  <mergeCells count="273">
    <mergeCell ref="M105:M110"/>
    <mergeCell ref="N105:N110"/>
    <mergeCell ref="O105:O110"/>
    <mergeCell ref="S105:S110"/>
    <mergeCell ref="S56:S61"/>
    <mergeCell ref="T105:T110"/>
    <mergeCell ref="R93:R98"/>
    <mergeCell ref="T87:T92"/>
    <mergeCell ref="T93:T98"/>
    <mergeCell ref="O93:O98"/>
    <mergeCell ref="Q62:Q67"/>
    <mergeCell ref="Q68:Q73"/>
    <mergeCell ref="D82:L82"/>
    <mergeCell ref="M81:M86"/>
    <mergeCell ref="Q75:Q80"/>
    <mergeCell ref="U105:U110"/>
    <mergeCell ref="D106:L106"/>
    <mergeCell ref="P105:P110"/>
    <mergeCell ref="Q105:Q110"/>
    <mergeCell ref="R105:R110"/>
    <mergeCell ref="Q99:Q104"/>
    <mergeCell ref="P99:P104"/>
    <mergeCell ref="O75:O80"/>
    <mergeCell ref="O68:O73"/>
    <mergeCell ref="O99:O104"/>
    <mergeCell ref="P87:P92"/>
    <mergeCell ref="P93:P98"/>
    <mergeCell ref="Q93:Q98"/>
    <mergeCell ref="A105:A110"/>
    <mergeCell ref="B105:B110"/>
    <mergeCell ref="C105:C110"/>
    <mergeCell ref="B99:B104"/>
    <mergeCell ref="C99:C104"/>
    <mergeCell ref="U93:U98"/>
    <mergeCell ref="D94:L94"/>
    <mergeCell ref="A93:A98"/>
    <mergeCell ref="B93:B98"/>
    <mergeCell ref="C93:C98"/>
    <mergeCell ref="U87:U92"/>
    <mergeCell ref="D100:L100"/>
    <mergeCell ref="S93:S98"/>
    <mergeCell ref="D88:L88"/>
    <mergeCell ref="R99:R104"/>
    <mergeCell ref="N93:N98"/>
    <mergeCell ref="S87:S92"/>
    <mergeCell ref="M99:M104"/>
    <mergeCell ref="N99:N104"/>
    <mergeCell ref="M93:M98"/>
    <mergeCell ref="A99:A104"/>
    <mergeCell ref="A87:A92"/>
    <mergeCell ref="B87:B92"/>
    <mergeCell ref="C87:C92"/>
    <mergeCell ref="M87:M92"/>
    <mergeCell ref="O87:O92"/>
    <mergeCell ref="N87:N92"/>
    <mergeCell ref="R87:R92"/>
    <mergeCell ref="Q87:Q92"/>
    <mergeCell ref="N81:N86"/>
    <mergeCell ref="P81:P86"/>
    <mergeCell ref="Q81:Q86"/>
    <mergeCell ref="O81:O86"/>
    <mergeCell ref="R81:R86"/>
    <mergeCell ref="A81:A86"/>
    <mergeCell ref="B81:B86"/>
    <mergeCell ref="C81:C86"/>
    <mergeCell ref="C50:C55"/>
    <mergeCell ref="A56:A61"/>
    <mergeCell ref="B56:B61"/>
    <mergeCell ref="C56:C61"/>
    <mergeCell ref="A50:A55"/>
    <mergeCell ref="B50:B55"/>
    <mergeCell ref="A75:A80"/>
    <mergeCell ref="N56:N61"/>
    <mergeCell ref="D57:L57"/>
    <mergeCell ref="A2:U2"/>
    <mergeCell ref="A3:A4"/>
    <mergeCell ref="B3:B4"/>
    <mergeCell ref="C3:C4"/>
    <mergeCell ref="D3:D4"/>
    <mergeCell ref="D51:L51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D15:L15"/>
    <mergeCell ref="P14:P19"/>
    <mergeCell ref="R14:R19"/>
    <mergeCell ref="S14:S19"/>
    <mergeCell ref="N20:N25"/>
    <mergeCell ref="O20:O25"/>
    <mergeCell ref="D21:L21"/>
    <mergeCell ref="P20:P25"/>
    <mergeCell ref="A20:A25"/>
    <mergeCell ref="B20:B25"/>
    <mergeCell ref="C20:C25"/>
    <mergeCell ref="M20:M25"/>
    <mergeCell ref="S20:S25"/>
    <mergeCell ref="T20:T25"/>
    <mergeCell ref="T14:T19"/>
    <mergeCell ref="U14:U19"/>
    <mergeCell ref="P26:P31"/>
    <mergeCell ref="Q26:Q31"/>
    <mergeCell ref="Q20:Q25"/>
    <mergeCell ref="R20:R25"/>
    <mergeCell ref="T26:T31"/>
    <mergeCell ref="U26:U31"/>
    <mergeCell ref="U20:U25"/>
    <mergeCell ref="Q14:Q19"/>
    <mergeCell ref="A26:A31"/>
    <mergeCell ref="B26:B31"/>
    <mergeCell ref="C26:C31"/>
    <mergeCell ref="M26:M31"/>
    <mergeCell ref="N26:N31"/>
    <mergeCell ref="O26:O31"/>
    <mergeCell ref="D27:L27"/>
    <mergeCell ref="R32:R37"/>
    <mergeCell ref="R26:R31"/>
    <mergeCell ref="S26:S31"/>
    <mergeCell ref="U32:U37"/>
    <mergeCell ref="S32:S37"/>
    <mergeCell ref="T32:T37"/>
    <mergeCell ref="U38:U43"/>
    <mergeCell ref="A32:A37"/>
    <mergeCell ref="B32:B37"/>
    <mergeCell ref="C32:C37"/>
    <mergeCell ref="D33:L33"/>
    <mergeCell ref="A38:A43"/>
    <mergeCell ref="B38:B43"/>
    <mergeCell ref="C38:C43"/>
    <mergeCell ref="D39:L39"/>
    <mergeCell ref="Q32:Q37"/>
    <mergeCell ref="O38:O43"/>
    <mergeCell ref="S38:S43"/>
    <mergeCell ref="P38:P43"/>
    <mergeCell ref="Q38:Q43"/>
    <mergeCell ref="R38:R43"/>
    <mergeCell ref="T38:T43"/>
    <mergeCell ref="U44:U49"/>
    <mergeCell ref="A44:A49"/>
    <mergeCell ref="B44:B49"/>
    <mergeCell ref="C44:C49"/>
    <mergeCell ref="M44:M49"/>
    <mergeCell ref="N44:N49"/>
    <mergeCell ref="O44:O49"/>
    <mergeCell ref="D45:L45"/>
    <mergeCell ref="P44:P49"/>
    <mergeCell ref="Q44:Q49"/>
    <mergeCell ref="R44:R49"/>
    <mergeCell ref="S44:S49"/>
    <mergeCell ref="T44:T49"/>
    <mergeCell ref="P50:P55"/>
    <mergeCell ref="Q50:Q55"/>
    <mergeCell ref="R50:R55"/>
    <mergeCell ref="S50:S55"/>
    <mergeCell ref="T50:T55"/>
    <mergeCell ref="A111:A116"/>
    <mergeCell ref="B111:B116"/>
    <mergeCell ref="C111:C116"/>
    <mergeCell ref="M111:M116"/>
    <mergeCell ref="D112:L112"/>
    <mergeCell ref="N111:N116"/>
    <mergeCell ref="O111:O116"/>
    <mergeCell ref="S111:S116"/>
    <mergeCell ref="T111:T116"/>
    <mergeCell ref="P111:P116"/>
    <mergeCell ref="Q111:Q116"/>
    <mergeCell ref="R111:R116"/>
    <mergeCell ref="S99:S104"/>
    <mergeCell ref="T99:T104"/>
    <mergeCell ref="U56:U61"/>
    <mergeCell ref="S75:S80"/>
    <mergeCell ref="T75:T80"/>
    <mergeCell ref="U75:U80"/>
    <mergeCell ref="U62:U67"/>
    <mergeCell ref="S81:S86"/>
    <mergeCell ref="T81:T86"/>
    <mergeCell ref="U99:U104"/>
    <mergeCell ref="U50:U55"/>
    <mergeCell ref="U81:U86"/>
    <mergeCell ref="T56:T61"/>
    <mergeCell ref="O50:O55"/>
    <mergeCell ref="R75:R80"/>
    <mergeCell ref="P75:P80"/>
    <mergeCell ref="P56:P61"/>
    <mergeCell ref="Q56:Q61"/>
    <mergeCell ref="R56:R61"/>
    <mergeCell ref="O56:O61"/>
    <mergeCell ref="C75:C80"/>
    <mergeCell ref="M75:M80"/>
    <mergeCell ref="M32:M37"/>
    <mergeCell ref="N32:N37"/>
    <mergeCell ref="N75:N80"/>
    <mergeCell ref="M38:M43"/>
    <mergeCell ref="N38:N43"/>
    <mergeCell ref="M50:M55"/>
    <mergeCell ref="N50:N55"/>
    <mergeCell ref="M56:M61"/>
    <mergeCell ref="O32:O37"/>
    <mergeCell ref="P32:P37"/>
    <mergeCell ref="A62:A67"/>
    <mergeCell ref="B62:B67"/>
    <mergeCell ref="C62:C67"/>
    <mergeCell ref="M62:M67"/>
    <mergeCell ref="N62:N67"/>
    <mergeCell ref="O62:O67"/>
    <mergeCell ref="D63:L63"/>
    <mergeCell ref="P62:P67"/>
    <mergeCell ref="R62:R67"/>
    <mergeCell ref="S62:S67"/>
    <mergeCell ref="T62:T67"/>
    <mergeCell ref="A68:A73"/>
    <mergeCell ref="B68:B73"/>
    <mergeCell ref="C68:C73"/>
    <mergeCell ref="M68:M73"/>
    <mergeCell ref="N68:N73"/>
    <mergeCell ref="P68:P73"/>
    <mergeCell ref="D69:L69"/>
    <mergeCell ref="R68:R73"/>
    <mergeCell ref="S68:S73"/>
    <mergeCell ref="T68:T73"/>
    <mergeCell ref="U68:U73"/>
    <mergeCell ref="B74:U74"/>
    <mergeCell ref="A117:A122"/>
    <mergeCell ref="B117:B122"/>
    <mergeCell ref="C117:C122"/>
    <mergeCell ref="M117:M122"/>
    <mergeCell ref="N117:N122"/>
    <mergeCell ref="D118:L118"/>
    <mergeCell ref="D76:L76"/>
    <mergeCell ref="U111:U116"/>
    <mergeCell ref="A123:A128"/>
    <mergeCell ref="B123:B128"/>
    <mergeCell ref="C123:C128"/>
    <mergeCell ref="M123:M128"/>
    <mergeCell ref="D124:L124"/>
    <mergeCell ref="P117:P122"/>
    <mergeCell ref="B75:B80"/>
    <mergeCell ref="U123:U128"/>
    <mergeCell ref="S117:S122"/>
    <mergeCell ref="T117:T122"/>
    <mergeCell ref="U117:U122"/>
    <mergeCell ref="T123:T128"/>
    <mergeCell ref="O117:O122"/>
    <mergeCell ref="Q1:U1"/>
    <mergeCell ref="F166:G166"/>
    <mergeCell ref="P123:P128"/>
    <mergeCell ref="Q123:Q128"/>
    <mergeCell ref="R123:R128"/>
    <mergeCell ref="N123:N128"/>
    <mergeCell ref="O123:O128"/>
    <mergeCell ref="Q117:Q122"/>
    <mergeCell ref="R117:R122"/>
    <mergeCell ref="S123:S12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B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3.00390625" style="127" customWidth="1"/>
    <col min="5" max="9" width="13.7109375" style="127" customWidth="1"/>
    <col min="10" max="16384" width="9.140625" style="127" customWidth="1"/>
  </cols>
  <sheetData>
    <row r="1" spans="6:10" s="92" customFormat="1" ht="79.5" customHeight="1">
      <c r="F1" s="178" t="s">
        <v>279</v>
      </c>
      <c r="G1" s="179"/>
      <c r="H1" s="179"/>
      <c r="I1" s="179"/>
      <c r="J1" s="129"/>
    </row>
    <row r="2" spans="5:10" ht="18.75" customHeight="1">
      <c r="E2" s="124"/>
      <c r="F2" s="146"/>
      <c r="G2" s="132"/>
      <c r="I2" s="143" t="s">
        <v>153</v>
      </c>
      <c r="J2" s="100"/>
    </row>
    <row r="3" ht="15.75">
      <c r="F3" s="132"/>
    </row>
    <row r="4" spans="1:9" ht="36.75" customHeight="1">
      <c r="A4" s="199" t="s">
        <v>75</v>
      </c>
      <c r="B4" s="199"/>
      <c r="C4" s="199"/>
      <c r="D4" s="199"/>
      <c r="E4" s="199"/>
      <c r="F4" s="199"/>
      <c r="G4" s="199"/>
      <c r="H4" s="199"/>
      <c r="I4" s="199"/>
    </row>
    <row r="5" spans="1:9" ht="30" customHeight="1">
      <c r="A5" s="184" t="s">
        <v>99</v>
      </c>
      <c r="B5" s="186" t="s">
        <v>100</v>
      </c>
      <c r="C5" s="188" t="s">
        <v>101</v>
      </c>
      <c r="D5" s="188"/>
      <c r="E5" s="188"/>
      <c r="F5" s="188"/>
      <c r="G5" s="188"/>
      <c r="H5" s="188"/>
      <c r="I5" s="188"/>
    </row>
    <row r="6" spans="1:9" ht="16.5" customHeight="1">
      <c r="A6" s="185"/>
      <c r="B6" s="187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7" t="s">
        <v>59</v>
      </c>
      <c r="B7" s="147" t="s">
        <v>60</v>
      </c>
      <c r="C7" s="147" t="s">
        <v>61</v>
      </c>
      <c r="D7" s="147" t="s">
        <v>62</v>
      </c>
      <c r="E7" s="147" t="s">
        <v>63</v>
      </c>
      <c r="F7" s="147" t="s">
        <v>64</v>
      </c>
      <c r="G7" s="147" t="s">
        <v>65</v>
      </c>
      <c r="H7" s="147" t="s">
        <v>66</v>
      </c>
      <c r="I7" s="147" t="s">
        <v>67</v>
      </c>
    </row>
    <row r="8" spans="1:9" ht="19.5" customHeight="1">
      <c r="A8" s="144" t="s">
        <v>76</v>
      </c>
      <c r="B8" s="126">
        <f>B10+B11+B12+B13</f>
        <v>376050937.57</v>
      </c>
      <c r="C8" s="126">
        <f aca="true" t="shared" si="0" ref="C8:I8">C10+C11+C12+C13</f>
        <v>43291513</v>
      </c>
      <c r="D8" s="126">
        <f t="shared" si="0"/>
        <v>49712022.47</v>
      </c>
      <c r="E8" s="126">
        <f t="shared" si="0"/>
        <v>51860010.43</v>
      </c>
      <c r="F8" s="126">
        <f t="shared" si="0"/>
        <v>55807718.66</v>
      </c>
      <c r="G8" s="126">
        <f t="shared" si="0"/>
        <v>61871502.33</v>
      </c>
      <c r="H8" s="126">
        <f t="shared" si="0"/>
        <v>55837385.34</v>
      </c>
      <c r="I8" s="126">
        <f t="shared" si="0"/>
        <v>57670785.34</v>
      </c>
    </row>
    <row r="9" spans="1:9" ht="16.5" customHeight="1">
      <c r="A9" s="253" t="s">
        <v>102</v>
      </c>
      <c r="B9" s="254"/>
      <c r="C9" s="254"/>
      <c r="D9" s="254"/>
      <c r="E9" s="254"/>
      <c r="F9" s="254"/>
      <c r="G9" s="254"/>
      <c r="H9" s="254"/>
      <c r="I9" s="255"/>
    </row>
    <row r="10" spans="1:9" ht="16.5" customHeight="1">
      <c r="A10" s="87" t="s">
        <v>103</v>
      </c>
      <c r="B10" s="148">
        <f>B17</f>
        <v>97643037.57000001</v>
      </c>
      <c r="C10" s="149">
        <f aca="true" t="shared" si="1" ref="C10:I10">C17</f>
        <v>12523313</v>
      </c>
      <c r="D10" s="149">
        <f t="shared" si="1"/>
        <v>14817822.469999999</v>
      </c>
      <c r="E10" s="149">
        <f t="shared" si="1"/>
        <v>15255210.430000002</v>
      </c>
      <c r="F10" s="149">
        <f t="shared" si="1"/>
        <v>16476318.66</v>
      </c>
      <c r="G10" s="149">
        <f t="shared" si="1"/>
        <v>17759802.33</v>
      </c>
      <c r="H10" s="149">
        <f t="shared" si="1"/>
        <v>10405285.34</v>
      </c>
      <c r="I10" s="149">
        <f t="shared" si="1"/>
        <v>10405285.34</v>
      </c>
    </row>
    <row r="11" spans="1:9" ht="16.5" customHeight="1">
      <c r="A11" s="87" t="s">
        <v>20</v>
      </c>
      <c r="B11" s="148">
        <f aca="true" t="shared" si="2" ref="B11:I13">B18</f>
        <v>278407900</v>
      </c>
      <c r="C11" s="149">
        <f t="shared" si="2"/>
        <v>30768200</v>
      </c>
      <c r="D11" s="149">
        <f t="shared" si="2"/>
        <v>34894200</v>
      </c>
      <c r="E11" s="149">
        <f t="shared" si="2"/>
        <v>36604800</v>
      </c>
      <c r="F11" s="149">
        <f t="shared" si="2"/>
        <v>39331400</v>
      </c>
      <c r="G11" s="149">
        <f t="shared" si="2"/>
        <v>44111700</v>
      </c>
      <c r="H11" s="149">
        <f t="shared" si="2"/>
        <v>45432100</v>
      </c>
      <c r="I11" s="149">
        <f t="shared" si="2"/>
        <v>47265500</v>
      </c>
    </row>
    <row r="12" spans="1:9" ht="16.5" customHeight="1">
      <c r="A12" s="87" t="s">
        <v>21</v>
      </c>
      <c r="B12" s="148">
        <f t="shared" si="2"/>
        <v>0</v>
      </c>
      <c r="C12" s="149">
        <f t="shared" si="2"/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</row>
    <row r="13" spans="1:9" ht="16.5" customHeight="1">
      <c r="A13" s="87" t="s">
        <v>106</v>
      </c>
      <c r="B13" s="148">
        <f t="shared" si="2"/>
        <v>0</v>
      </c>
      <c r="C13" s="149">
        <f t="shared" si="2"/>
        <v>0</v>
      </c>
      <c r="D13" s="149">
        <f t="shared" si="2"/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</row>
    <row r="14" spans="1:9" ht="16.5" customHeight="1">
      <c r="A14" s="189" t="s">
        <v>107</v>
      </c>
      <c r="B14" s="190"/>
      <c r="C14" s="190"/>
      <c r="D14" s="190"/>
      <c r="E14" s="190"/>
      <c r="F14" s="190"/>
      <c r="G14" s="190"/>
      <c r="H14" s="190"/>
      <c r="I14" s="191"/>
    </row>
    <row r="15" spans="1:9" ht="39.75" customHeight="1">
      <c r="A15" s="145" t="s">
        <v>114</v>
      </c>
      <c r="B15" s="126">
        <f>B17+B18+B19+B20</f>
        <v>376050937.57</v>
      </c>
      <c r="C15" s="126">
        <f>C17+C18+C19+C20</f>
        <v>43291513</v>
      </c>
      <c r="D15" s="126">
        <f aca="true" t="shared" si="3" ref="D15:I15">D17+D18+D19+D20</f>
        <v>49712022.47</v>
      </c>
      <c r="E15" s="126">
        <f t="shared" si="3"/>
        <v>51860010.43</v>
      </c>
      <c r="F15" s="126">
        <f t="shared" si="3"/>
        <v>55807718.66</v>
      </c>
      <c r="G15" s="126">
        <f t="shared" si="3"/>
        <v>61871502.33</v>
      </c>
      <c r="H15" s="126">
        <f t="shared" si="3"/>
        <v>55837385.34</v>
      </c>
      <c r="I15" s="126">
        <f t="shared" si="3"/>
        <v>57670785.34</v>
      </c>
    </row>
    <row r="16" spans="1:9" ht="16.5" customHeight="1">
      <c r="A16" s="253" t="s">
        <v>102</v>
      </c>
      <c r="B16" s="254"/>
      <c r="C16" s="254"/>
      <c r="D16" s="254"/>
      <c r="E16" s="254"/>
      <c r="F16" s="254"/>
      <c r="G16" s="254"/>
      <c r="H16" s="254"/>
      <c r="I16" s="255"/>
    </row>
    <row r="17" spans="1:9" ht="16.5" customHeight="1">
      <c r="A17" s="87" t="s">
        <v>103</v>
      </c>
      <c r="B17" s="148">
        <f>SUM(C17:I17)</f>
        <v>97643037.57000001</v>
      </c>
      <c r="C17" s="150">
        <v>12523313</v>
      </c>
      <c r="D17" s="150">
        <f>+'таб 3(3)'!G115</f>
        <v>14817822.469999999</v>
      </c>
      <c r="E17" s="150">
        <f>+'таб 3(3)'!H115</f>
        <v>15255210.430000002</v>
      </c>
      <c r="F17" s="150">
        <f>+'таб 3(3)'!I115</f>
        <v>16476318.66</v>
      </c>
      <c r="G17" s="150">
        <f>+'таб 3(3)'!J115</f>
        <v>17759802.33</v>
      </c>
      <c r="H17" s="150">
        <f>+'таб 3(3)'!K115</f>
        <v>10405285.34</v>
      </c>
      <c r="I17" s="150">
        <f>+'таб 3(3)'!L115</f>
        <v>10405285.34</v>
      </c>
    </row>
    <row r="18" spans="1:9" ht="16.5" customHeight="1">
      <c r="A18" s="87" t="s">
        <v>20</v>
      </c>
      <c r="B18" s="148">
        <f>SUM(C18:I18)</f>
        <v>278407900</v>
      </c>
      <c r="C18" s="151">
        <f>'таб 3(3)'!F116</f>
        <v>30768200</v>
      </c>
      <c r="D18" s="150">
        <f>+'таб 3(3)'!G116</f>
        <v>34894200</v>
      </c>
      <c r="E18" s="150">
        <f>+'таб 3(3)'!H116</f>
        <v>36604800</v>
      </c>
      <c r="F18" s="150">
        <f>+'таб 3(3)'!I116</f>
        <v>39331400</v>
      </c>
      <c r="G18" s="150">
        <f>+'таб 3(3)'!J116</f>
        <v>44111700</v>
      </c>
      <c r="H18" s="150">
        <f>+'таб 3(3)'!K116</f>
        <v>45432100</v>
      </c>
      <c r="I18" s="150">
        <f>+'таб 3(3)'!L116</f>
        <v>47265500</v>
      </c>
    </row>
    <row r="19" spans="1:9" ht="16.5" customHeight="1">
      <c r="A19" s="87" t="s">
        <v>21</v>
      </c>
      <c r="B19" s="148">
        <f>SUM(C19:I19)</f>
        <v>0</v>
      </c>
      <c r="C19" s="149"/>
      <c r="D19" s="149"/>
      <c r="E19" s="149"/>
      <c r="F19" s="149"/>
      <c r="G19" s="149"/>
      <c r="H19" s="149"/>
      <c r="I19" s="149"/>
    </row>
    <row r="20" spans="1:9" ht="16.5" customHeight="1">
      <c r="A20" s="87" t="s">
        <v>106</v>
      </c>
      <c r="B20" s="148">
        <f>SUM(C20:I20)</f>
        <v>0</v>
      </c>
      <c r="C20" s="149"/>
      <c r="D20" s="149"/>
      <c r="E20" s="149"/>
      <c r="F20" s="149"/>
      <c r="G20" s="149"/>
      <c r="H20" s="149"/>
      <c r="I20" s="149"/>
    </row>
    <row r="21" spans="1:9" ht="25.5">
      <c r="A21" s="4" t="s">
        <v>108</v>
      </c>
      <c r="B21" s="148">
        <f>SUM(C21:I21)</f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8"/>
  <sheetViews>
    <sheetView zoomScaleSheetLayoutView="115" zoomScalePageLayoutView="0" workbookViewId="0" topLeftCell="A1">
      <pane xSplit="3" ySplit="7" topLeftCell="O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71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71"/>
      <c r="J1" s="19"/>
      <c r="K1" s="19"/>
      <c r="L1" s="19"/>
      <c r="Q1" s="178" t="s">
        <v>280</v>
      </c>
      <c r="R1" s="179"/>
      <c r="S1" s="179"/>
      <c r="T1" s="179"/>
      <c r="U1" s="179"/>
    </row>
    <row r="2" spans="1:21" ht="15.75">
      <c r="A2" s="246" t="s">
        <v>154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ht="29.25" customHeight="1">
      <c r="A3" s="188" t="s">
        <v>97</v>
      </c>
      <c r="B3" s="188" t="s">
        <v>109</v>
      </c>
      <c r="C3" s="188" t="s">
        <v>110</v>
      </c>
      <c r="D3" s="188" t="s">
        <v>99</v>
      </c>
      <c r="E3" s="188" t="s">
        <v>111</v>
      </c>
      <c r="F3" s="188"/>
      <c r="G3" s="188"/>
      <c r="H3" s="188"/>
      <c r="I3" s="188"/>
      <c r="J3" s="188"/>
      <c r="K3" s="188"/>
      <c r="L3" s="188"/>
      <c r="M3" s="188" t="s">
        <v>32</v>
      </c>
      <c r="N3" s="188"/>
      <c r="O3" s="188"/>
      <c r="P3" s="188"/>
      <c r="Q3" s="188"/>
      <c r="R3" s="188"/>
      <c r="S3" s="188"/>
      <c r="T3" s="188"/>
      <c r="U3" s="235" t="s">
        <v>112</v>
      </c>
    </row>
    <row r="4" spans="1:21" ht="38.25" customHeight="1">
      <c r="A4" s="188"/>
      <c r="B4" s="188"/>
      <c r="C4" s="188"/>
      <c r="D4" s="188"/>
      <c r="E4" s="20" t="s">
        <v>93</v>
      </c>
      <c r="F4" s="6" t="s">
        <v>82</v>
      </c>
      <c r="G4" s="6" t="s">
        <v>83</v>
      </c>
      <c r="H4" s="6" t="s">
        <v>84</v>
      </c>
      <c r="I4" s="169" t="s">
        <v>85</v>
      </c>
      <c r="J4" s="6" t="s">
        <v>86</v>
      </c>
      <c r="K4" s="6" t="s">
        <v>87</v>
      </c>
      <c r="L4" s="6" t="s">
        <v>88</v>
      </c>
      <c r="M4" s="3" t="s">
        <v>98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86</v>
      </c>
      <c r="S4" s="6" t="s">
        <v>87</v>
      </c>
      <c r="T4" s="6" t="s">
        <v>88</v>
      </c>
      <c r="U4" s="236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172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16" t="s">
        <v>155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8"/>
    </row>
    <row r="7" spans="1:21" ht="12.75">
      <c r="A7" s="21">
        <v>1</v>
      </c>
      <c r="B7" s="216" t="s">
        <v>35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12.75">
      <c r="A8" s="226" t="s">
        <v>121</v>
      </c>
      <c r="B8" s="290" t="s">
        <v>5</v>
      </c>
      <c r="C8" s="232" t="s">
        <v>78</v>
      </c>
      <c r="D8" s="22" t="s">
        <v>93</v>
      </c>
      <c r="E8" s="23">
        <f>E10+E11+E12+E13</f>
        <v>10613211.749999998</v>
      </c>
      <c r="F8" s="23">
        <f aca="true" t="shared" si="0" ref="F8:L8">F10+F11+F12+F13</f>
        <v>1951875</v>
      </c>
      <c r="G8" s="23">
        <f t="shared" si="0"/>
        <v>2375630.76</v>
      </c>
      <c r="H8" s="23">
        <f t="shared" si="0"/>
        <v>1116398.92</v>
      </c>
      <c r="I8" s="23">
        <f t="shared" si="0"/>
        <v>484246.31</v>
      </c>
      <c r="J8" s="23">
        <f t="shared" si="0"/>
        <v>1566686.92</v>
      </c>
      <c r="K8" s="23">
        <f t="shared" si="0"/>
        <v>1559186.92</v>
      </c>
      <c r="L8" s="23">
        <f t="shared" si="0"/>
        <v>1559186.92</v>
      </c>
      <c r="M8" s="261" t="s">
        <v>10</v>
      </c>
      <c r="N8" s="205">
        <v>1</v>
      </c>
      <c r="O8" s="205">
        <v>1</v>
      </c>
      <c r="P8" s="205">
        <v>1</v>
      </c>
      <c r="Q8" s="205">
        <v>1</v>
      </c>
      <c r="R8" s="205">
        <v>1</v>
      </c>
      <c r="S8" s="205">
        <v>1</v>
      </c>
      <c r="T8" s="205">
        <v>1</v>
      </c>
      <c r="U8" s="261" t="s">
        <v>77</v>
      </c>
    </row>
    <row r="9" spans="1:21" ht="12.75">
      <c r="A9" s="226"/>
      <c r="B9" s="291"/>
      <c r="C9" s="233"/>
      <c r="D9" s="219" t="s">
        <v>113</v>
      </c>
      <c r="E9" s="220"/>
      <c r="F9" s="220"/>
      <c r="G9" s="220"/>
      <c r="H9" s="220"/>
      <c r="I9" s="220"/>
      <c r="J9" s="220"/>
      <c r="K9" s="220"/>
      <c r="L9" s="221"/>
      <c r="M9" s="262"/>
      <c r="N9" s="206"/>
      <c r="O9" s="206"/>
      <c r="P9" s="206"/>
      <c r="Q9" s="206"/>
      <c r="R9" s="206"/>
      <c r="S9" s="206"/>
      <c r="T9" s="206"/>
      <c r="U9" s="262"/>
    </row>
    <row r="10" spans="1:21" ht="12.75">
      <c r="A10" s="226"/>
      <c r="B10" s="291"/>
      <c r="C10" s="233"/>
      <c r="D10" s="22" t="s">
        <v>91</v>
      </c>
      <c r="E10" s="23">
        <f>F10+G10+H10+I10+J10+K10+L10</f>
        <v>10613211.749999998</v>
      </c>
      <c r="F10" s="23">
        <v>1951875</v>
      </c>
      <c r="G10" s="23">
        <f>2216680-110834+269784.76</f>
        <v>2375630.76</v>
      </c>
      <c r="H10" s="23">
        <f>797662.85+498963.25+150686.9+10663.8-258447.59-83130.29</f>
        <v>1116398.92</v>
      </c>
      <c r="I10" s="23">
        <f>1055130+318649.26-894955.67+5200.38+222.34</f>
        <v>484246.31</v>
      </c>
      <c r="J10" s="23">
        <f>1174490.72+354696.2+37500</f>
        <v>1566686.92</v>
      </c>
      <c r="K10" s="23">
        <f>1174490.72+354696.2+30000</f>
        <v>1559186.92</v>
      </c>
      <c r="L10" s="23">
        <f>1174490.72+354696.2+30000</f>
        <v>1559186.92</v>
      </c>
      <c r="M10" s="262"/>
      <c r="N10" s="206"/>
      <c r="O10" s="206"/>
      <c r="P10" s="206"/>
      <c r="Q10" s="206"/>
      <c r="R10" s="206"/>
      <c r="S10" s="206"/>
      <c r="T10" s="206"/>
      <c r="U10" s="262"/>
    </row>
    <row r="11" spans="1:21" ht="12.75">
      <c r="A11" s="226"/>
      <c r="B11" s="291"/>
      <c r="C11" s="233"/>
      <c r="D11" s="22" t="s">
        <v>89</v>
      </c>
      <c r="E11" s="23">
        <f>F11+G11+H11+I11+J11+K11+L11</f>
        <v>0</v>
      </c>
      <c r="F11" s="23"/>
      <c r="G11" s="23"/>
      <c r="H11" s="23"/>
      <c r="I11" s="23"/>
      <c r="J11" s="23"/>
      <c r="K11" s="23"/>
      <c r="L11" s="23"/>
      <c r="M11" s="262"/>
      <c r="N11" s="206"/>
      <c r="O11" s="206"/>
      <c r="P11" s="206"/>
      <c r="Q11" s="206"/>
      <c r="R11" s="206"/>
      <c r="S11" s="206"/>
      <c r="T11" s="206"/>
      <c r="U11" s="262"/>
    </row>
    <row r="12" spans="1:21" ht="12.75">
      <c r="A12" s="226"/>
      <c r="B12" s="291"/>
      <c r="C12" s="233"/>
      <c r="D12" s="22" t="s">
        <v>90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62"/>
      <c r="N12" s="206"/>
      <c r="O12" s="206"/>
      <c r="P12" s="206"/>
      <c r="Q12" s="206"/>
      <c r="R12" s="206"/>
      <c r="S12" s="206"/>
      <c r="T12" s="206"/>
      <c r="U12" s="262"/>
    </row>
    <row r="13" spans="1:21" ht="12.75">
      <c r="A13" s="226"/>
      <c r="B13" s="292"/>
      <c r="C13" s="234"/>
      <c r="D13" s="22" t="s">
        <v>92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63"/>
      <c r="N13" s="207"/>
      <c r="O13" s="207"/>
      <c r="P13" s="207"/>
      <c r="Q13" s="207"/>
      <c r="R13" s="207"/>
      <c r="S13" s="207"/>
      <c r="T13" s="207"/>
      <c r="U13" s="263"/>
    </row>
    <row r="14" spans="1:21" ht="12.75" customHeight="1">
      <c r="A14" s="226" t="s">
        <v>122</v>
      </c>
      <c r="B14" s="290" t="s">
        <v>6</v>
      </c>
      <c r="C14" s="232" t="s">
        <v>78</v>
      </c>
      <c r="D14" s="22" t="s">
        <v>93</v>
      </c>
      <c r="E14" s="23">
        <f>E16+E17+E18+E19</f>
        <v>16658679.84</v>
      </c>
      <c r="F14" s="23">
        <f aca="true" t="shared" si="1" ref="F14:L14">F16+F17+F18+F19</f>
        <v>1951875</v>
      </c>
      <c r="G14" s="23">
        <f t="shared" si="1"/>
        <v>2105846</v>
      </c>
      <c r="H14" s="23">
        <f t="shared" si="1"/>
        <v>2741536.32</v>
      </c>
      <c r="I14" s="23">
        <f t="shared" si="1"/>
        <v>2897595.5199999996</v>
      </c>
      <c r="J14" s="23">
        <f t="shared" si="1"/>
        <v>2320609</v>
      </c>
      <c r="K14" s="23">
        <f t="shared" si="1"/>
        <v>2320609</v>
      </c>
      <c r="L14" s="23">
        <f t="shared" si="1"/>
        <v>2320609</v>
      </c>
      <c r="M14" s="261" t="s">
        <v>9</v>
      </c>
      <c r="N14" s="205">
        <v>1</v>
      </c>
      <c r="O14" s="205">
        <v>1</v>
      </c>
      <c r="P14" s="205">
        <v>1</v>
      </c>
      <c r="Q14" s="205">
        <v>1</v>
      </c>
      <c r="R14" s="205">
        <v>1</v>
      </c>
      <c r="S14" s="205">
        <v>1</v>
      </c>
      <c r="T14" s="205">
        <v>1</v>
      </c>
      <c r="U14" s="261" t="s">
        <v>77</v>
      </c>
    </row>
    <row r="15" spans="1:21" ht="12.75">
      <c r="A15" s="226"/>
      <c r="B15" s="291"/>
      <c r="C15" s="233"/>
      <c r="D15" s="219" t="s">
        <v>113</v>
      </c>
      <c r="E15" s="220"/>
      <c r="F15" s="220"/>
      <c r="G15" s="220"/>
      <c r="H15" s="220"/>
      <c r="I15" s="220"/>
      <c r="J15" s="220"/>
      <c r="K15" s="220"/>
      <c r="L15" s="221"/>
      <c r="M15" s="262"/>
      <c r="N15" s="206"/>
      <c r="O15" s="206"/>
      <c r="P15" s="206"/>
      <c r="Q15" s="206"/>
      <c r="R15" s="206"/>
      <c r="S15" s="206"/>
      <c r="T15" s="206"/>
      <c r="U15" s="262"/>
    </row>
    <row r="16" spans="1:21" ht="12.75">
      <c r="A16" s="226"/>
      <c r="B16" s="291"/>
      <c r="C16" s="233"/>
      <c r="D16" s="22" t="s">
        <v>91</v>
      </c>
      <c r="E16" s="23">
        <f>F16+G16+H16+I16+J16+K16+L16</f>
        <v>16658679.84</v>
      </c>
      <c r="F16" s="23">
        <v>1951875</v>
      </c>
      <c r="G16" s="23">
        <f>2216680-110834</f>
        <v>2105846</v>
      </c>
      <c r="H16" s="23">
        <f>955551.47+60000+841416+254107.63+527936.67+132524.55-30000</f>
        <v>2741536.32</v>
      </c>
      <c r="I16" s="23">
        <f>1612208+486886.82+25000+773500.7</f>
        <v>2897595.5199999996</v>
      </c>
      <c r="J16" s="23">
        <f>1766980.8+533628.2+20000</f>
        <v>2320609</v>
      </c>
      <c r="K16" s="23">
        <f>1766980.8+533628.2+20000</f>
        <v>2320609</v>
      </c>
      <c r="L16" s="23">
        <f>1766980.8+533628.2+20000</f>
        <v>2320609</v>
      </c>
      <c r="M16" s="262"/>
      <c r="N16" s="206"/>
      <c r="O16" s="206"/>
      <c r="P16" s="206"/>
      <c r="Q16" s="206"/>
      <c r="R16" s="206"/>
      <c r="S16" s="206"/>
      <c r="T16" s="206"/>
      <c r="U16" s="262"/>
    </row>
    <row r="17" spans="1:21" ht="12.75">
      <c r="A17" s="226"/>
      <c r="B17" s="291"/>
      <c r="C17" s="233"/>
      <c r="D17" s="22" t="s">
        <v>89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62"/>
      <c r="N17" s="206"/>
      <c r="O17" s="206"/>
      <c r="P17" s="206"/>
      <c r="Q17" s="206"/>
      <c r="R17" s="206"/>
      <c r="S17" s="206"/>
      <c r="T17" s="206"/>
      <c r="U17" s="262"/>
    </row>
    <row r="18" spans="1:21" ht="12.75">
      <c r="A18" s="226"/>
      <c r="B18" s="291"/>
      <c r="C18" s="233"/>
      <c r="D18" s="22" t="s">
        <v>90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2"/>
      <c r="N18" s="206"/>
      <c r="O18" s="206"/>
      <c r="P18" s="206"/>
      <c r="Q18" s="206"/>
      <c r="R18" s="206"/>
      <c r="S18" s="206"/>
      <c r="T18" s="206"/>
      <c r="U18" s="262"/>
    </row>
    <row r="19" spans="1:21" ht="12.75">
      <c r="A19" s="226"/>
      <c r="B19" s="292"/>
      <c r="C19" s="234"/>
      <c r="D19" s="22" t="s">
        <v>92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3"/>
      <c r="N19" s="207"/>
      <c r="O19" s="207"/>
      <c r="P19" s="207"/>
      <c r="Q19" s="207"/>
      <c r="R19" s="207"/>
      <c r="S19" s="207"/>
      <c r="T19" s="207"/>
      <c r="U19" s="263"/>
    </row>
    <row r="20" spans="1:21" ht="13.5">
      <c r="A20" s="237"/>
      <c r="B20" s="267" t="s">
        <v>152</v>
      </c>
      <c r="C20" s="237"/>
      <c r="D20" s="102" t="s">
        <v>93</v>
      </c>
      <c r="E20" s="103">
        <f aca="true" t="shared" si="2" ref="E20:L20">E22+E23+E24+E25</f>
        <v>27271891.590000004</v>
      </c>
      <c r="F20" s="103">
        <f t="shared" si="2"/>
        <v>3903750</v>
      </c>
      <c r="G20" s="103">
        <f t="shared" si="2"/>
        <v>4481476.76</v>
      </c>
      <c r="H20" s="103">
        <f t="shared" si="2"/>
        <v>3857935.2399999998</v>
      </c>
      <c r="I20" s="103">
        <f t="shared" si="2"/>
        <v>3381841.8299999996</v>
      </c>
      <c r="J20" s="103">
        <f t="shared" si="2"/>
        <v>3887295.92</v>
      </c>
      <c r="K20" s="103">
        <f t="shared" si="2"/>
        <v>3879795.92</v>
      </c>
      <c r="L20" s="103">
        <f t="shared" si="2"/>
        <v>3879795.92</v>
      </c>
      <c r="M20" s="239"/>
      <c r="N20" s="247"/>
      <c r="O20" s="247"/>
      <c r="P20" s="247"/>
      <c r="Q20" s="247"/>
      <c r="R20" s="247"/>
      <c r="S20" s="247"/>
      <c r="T20" s="247"/>
      <c r="U20" s="250"/>
    </row>
    <row r="21" spans="1:21" ht="12.75">
      <c r="A21" s="237"/>
      <c r="B21" s="268"/>
      <c r="C21" s="237"/>
      <c r="D21" s="242" t="s">
        <v>113</v>
      </c>
      <c r="E21" s="243"/>
      <c r="F21" s="243"/>
      <c r="G21" s="243"/>
      <c r="H21" s="243"/>
      <c r="I21" s="243"/>
      <c r="J21" s="243"/>
      <c r="K21" s="243"/>
      <c r="L21" s="244"/>
      <c r="M21" s="240"/>
      <c r="N21" s="248"/>
      <c r="O21" s="248"/>
      <c r="P21" s="248"/>
      <c r="Q21" s="248"/>
      <c r="R21" s="248"/>
      <c r="S21" s="248"/>
      <c r="T21" s="248"/>
      <c r="U21" s="251"/>
    </row>
    <row r="22" spans="1:21" ht="13.5">
      <c r="A22" s="237"/>
      <c r="B22" s="268"/>
      <c r="C22" s="237"/>
      <c r="D22" s="104" t="s">
        <v>91</v>
      </c>
      <c r="E22" s="103">
        <f>F22+G22+H22+I22+J22+K22+L22</f>
        <v>27271891.590000004</v>
      </c>
      <c r="F22" s="105">
        <f>F16+F10</f>
        <v>3903750</v>
      </c>
      <c r="G22" s="105">
        <f aca="true" t="shared" si="3" ref="G22:L22">G16+G10</f>
        <v>4481476.76</v>
      </c>
      <c r="H22" s="105">
        <f t="shared" si="3"/>
        <v>3857935.2399999998</v>
      </c>
      <c r="I22" s="105">
        <f t="shared" si="3"/>
        <v>3381841.8299999996</v>
      </c>
      <c r="J22" s="105">
        <f t="shared" si="3"/>
        <v>3887295.92</v>
      </c>
      <c r="K22" s="105">
        <f t="shared" si="3"/>
        <v>3879795.92</v>
      </c>
      <c r="L22" s="105">
        <f t="shared" si="3"/>
        <v>3879795.92</v>
      </c>
      <c r="M22" s="240"/>
      <c r="N22" s="248"/>
      <c r="O22" s="248"/>
      <c r="P22" s="248"/>
      <c r="Q22" s="248"/>
      <c r="R22" s="248"/>
      <c r="S22" s="248"/>
      <c r="T22" s="248"/>
      <c r="U22" s="251"/>
    </row>
    <row r="23" spans="1:21" ht="13.5">
      <c r="A23" s="237"/>
      <c r="B23" s="268"/>
      <c r="C23" s="237"/>
      <c r="D23" s="104" t="s">
        <v>89</v>
      </c>
      <c r="E23" s="103">
        <f>F23+G23+H23+I23+J23+K23+L23</f>
        <v>0</v>
      </c>
      <c r="F23" s="105">
        <f aca="true" t="shared" si="4" ref="F23:L25">F11+F17</f>
        <v>0</v>
      </c>
      <c r="G23" s="105">
        <f t="shared" si="4"/>
        <v>0</v>
      </c>
      <c r="H23" s="105">
        <f t="shared" si="4"/>
        <v>0</v>
      </c>
      <c r="I23" s="105">
        <f t="shared" si="4"/>
        <v>0</v>
      </c>
      <c r="J23" s="105">
        <f t="shared" si="4"/>
        <v>0</v>
      </c>
      <c r="K23" s="105">
        <f t="shared" si="4"/>
        <v>0</v>
      </c>
      <c r="L23" s="105">
        <f t="shared" si="4"/>
        <v>0</v>
      </c>
      <c r="M23" s="240"/>
      <c r="N23" s="248"/>
      <c r="O23" s="248"/>
      <c r="P23" s="248"/>
      <c r="Q23" s="248"/>
      <c r="R23" s="248"/>
      <c r="S23" s="248"/>
      <c r="T23" s="248"/>
      <c r="U23" s="251"/>
    </row>
    <row r="24" spans="1:21" ht="13.5">
      <c r="A24" s="237"/>
      <c r="B24" s="268"/>
      <c r="C24" s="237"/>
      <c r="D24" s="104" t="s">
        <v>90</v>
      </c>
      <c r="E24" s="103">
        <f>F24+G24+H24+I24+J24+K24+L24</f>
        <v>0</v>
      </c>
      <c r="F24" s="105">
        <f aca="true" t="shared" si="5" ref="F24:H25">F12+F18</f>
        <v>0</v>
      </c>
      <c r="G24" s="105">
        <f t="shared" si="5"/>
        <v>0</v>
      </c>
      <c r="H24" s="105">
        <f t="shared" si="5"/>
        <v>0</v>
      </c>
      <c r="I24" s="105">
        <f t="shared" si="4"/>
        <v>0</v>
      </c>
      <c r="J24" s="105">
        <f t="shared" si="4"/>
        <v>0</v>
      </c>
      <c r="K24" s="105">
        <f t="shared" si="4"/>
        <v>0</v>
      </c>
      <c r="L24" s="105">
        <f t="shared" si="4"/>
        <v>0</v>
      </c>
      <c r="M24" s="240"/>
      <c r="N24" s="248"/>
      <c r="O24" s="248"/>
      <c r="P24" s="248"/>
      <c r="Q24" s="248"/>
      <c r="R24" s="248"/>
      <c r="S24" s="248"/>
      <c r="T24" s="248"/>
      <c r="U24" s="251"/>
    </row>
    <row r="25" spans="1:21" ht="13.5">
      <c r="A25" s="237"/>
      <c r="B25" s="269"/>
      <c r="C25" s="237"/>
      <c r="D25" s="104" t="s">
        <v>92</v>
      </c>
      <c r="E25" s="103">
        <f>F25+G25+H25+I25+J25+K25+L25</f>
        <v>0</v>
      </c>
      <c r="F25" s="105">
        <f t="shared" si="5"/>
        <v>0</v>
      </c>
      <c r="G25" s="105">
        <f t="shared" si="5"/>
        <v>0</v>
      </c>
      <c r="H25" s="105">
        <f t="shared" si="5"/>
        <v>0</v>
      </c>
      <c r="I25" s="105">
        <f t="shared" si="4"/>
        <v>0</v>
      </c>
      <c r="J25" s="105">
        <f t="shared" si="4"/>
        <v>0</v>
      </c>
      <c r="K25" s="105">
        <f t="shared" si="4"/>
        <v>0</v>
      </c>
      <c r="L25" s="105">
        <f t="shared" si="4"/>
        <v>0</v>
      </c>
      <c r="M25" s="241"/>
      <c r="N25" s="249"/>
      <c r="O25" s="249"/>
      <c r="P25" s="249"/>
      <c r="Q25" s="249"/>
      <c r="R25" s="249"/>
      <c r="S25" s="249"/>
      <c r="T25" s="249"/>
      <c r="U25" s="252"/>
    </row>
    <row r="26" spans="1:21" ht="12.75">
      <c r="A26" s="21">
        <v>2</v>
      </c>
      <c r="B26" s="216" t="s">
        <v>37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8"/>
    </row>
    <row r="27" spans="1:21" ht="12.75" customHeight="1">
      <c r="A27" s="226" t="s">
        <v>127</v>
      </c>
      <c r="B27" s="290" t="s">
        <v>156</v>
      </c>
      <c r="C27" s="232" t="s">
        <v>78</v>
      </c>
      <c r="D27" s="22" t="s">
        <v>93</v>
      </c>
      <c r="E27" s="23">
        <f>E29+E30+E31+E32</f>
        <v>35239000</v>
      </c>
      <c r="F27" s="23">
        <f aca="true" t="shared" si="6" ref="F27:L27">F29+F30+F31+F32</f>
        <v>4265000</v>
      </c>
      <c r="G27" s="23">
        <f t="shared" si="6"/>
        <v>4405000</v>
      </c>
      <c r="H27" s="23">
        <f t="shared" si="6"/>
        <v>4405000</v>
      </c>
      <c r="I27" s="23">
        <f t="shared" si="6"/>
        <v>5286000</v>
      </c>
      <c r="J27" s="23">
        <f t="shared" si="6"/>
        <v>5406000</v>
      </c>
      <c r="K27" s="23">
        <f t="shared" si="6"/>
        <v>5622000</v>
      </c>
      <c r="L27" s="23">
        <f t="shared" si="6"/>
        <v>5850000</v>
      </c>
      <c r="M27" s="261" t="s">
        <v>15</v>
      </c>
      <c r="N27" s="211">
        <v>100</v>
      </c>
      <c r="O27" s="211">
        <v>100</v>
      </c>
      <c r="P27" s="211">
        <v>100</v>
      </c>
      <c r="Q27" s="211">
        <v>100</v>
      </c>
      <c r="R27" s="211">
        <v>100</v>
      </c>
      <c r="S27" s="211">
        <v>100</v>
      </c>
      <c r="T27" s="211">
        <v>100</v>
      </c>
      <c r="U27" s="261" t="s">
        <v>77</v>
      </c>
    </row>
    <row r="28" spans="1:21" ht="12.75">
      <c r="A28" s="226"/>
      <c r="B28" s="291"/>
      <c r="C28" s="233"/>
      <c r="D28" s="219" t="s">
        <v>113</v>
      </c>
      <c r="E28" s="220"/>
      <c r="F28" s="220"/>
      <c r="G28" s="220"/>
      <c r="H28" s="220"/>
      <c r="I28" s="220"/>
      <c r="J28" s="220"/>
      <c r="K28" s="220"/>
      <c r="L28" s="221"/>
      <c r="M28" s="262"/>
      <c r="N28" s="212"/>
      <c r="O28" s="212"/>
      <c r="P28" s="212"/>
      <c r="Q28" s="212"/>
      <c r="R28" s="212"/>
      <c r="S28" s="212"/>
      <c r="T28" s="212"/>
      <c r="U28" s="262"/>
    </row>
    <row r="29" spans="1:21" ht="12.75">
      <c r="A29" s="226"/>
      <c r="B29" s="291"/>
      <c r="C29" s="233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2"/>
      <c r="N29" s="212"/>
      <c r="O29" s="212"/>
      <c r="P29" s="212"/>
      <c r="Q29" s="212"/>
      <c r="R29" s="212"/>
      <c r="S29" s="212"/>
      <c r="T29" s="212"/>
      <c r="U29" s="262"/>
    </row>
    <row r="30" spans="1:21" ht="12.75">
      <c r="A30" s="226"/>
      <c r="B30" s="291"/>
      <c r="C30" s="233"/>
      <c r="D30" s="22" t="s">
        <v>89</v>
      </c>
      <c r="E30" s="23">
        <f>F30+G30+H30+I30+J30+K30+L30</f>
        <v>35239000</v>
      </c>
      <c r="F30" s="23">
        <v>4265000</v>
      </c>
      <c r="G30" s="23">
        <v>4405000</v>
      </c>
      <c r="H30" s="23">
        <f>3554115.42+850884.58</f>
        <v>4405000</v>
      </c>
      <c r="I30" s="23">
        <f>2797068.04+132900+844714.55+646414+864903.41</f>
        <v>5286000</v>
      </c>
      <c r="J30" s="23">
        <f>2797068.04+240000+844714.55+1524217.41</f>
        <v>5406000</v>
      </c>
      <c r="K30" s="23">
        <f>2797068.04+240000+844714.55+1740217.41</f>
        <v>5622000</v>
      </c>
      <c r="L30" s="23">
        <f>2797068.04+270000+844714.55+1938217.41</f>
        <v>5850000</v>
      </c>
      <c r="M30" s="262"/>
      <c r="N30" s="212"/>
      <c r="O30" s="212"/>
      <c r="P30" s="212"/>
      <c r="Q30" s="212"/>
      <c r="R30" s="212"/>
      <c r="S30" s="212"/>
      <c r="T30" s="212"/>
      <c r="U30" s="262"/>
    </row>
    <row r="31" spans="1:21" ht="12.75">
      <c r="A31" s="226"/>
      <c r="B31" s="291"/>
      <c r="C31" s="233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2"/>
      <c r="N31" s="212"/>
      <c r="O31" s="212"/>
      <c r="P31" s="212"/>
      <c r="Q31" s="212"/>
      <c r="R31" s="212"/>
      <c r="S31" s="212"/>
      <c r="T31" s="212"/>
      <c r="U31" s="262"/>
    </row>
    <row r="32" spans="1:21" ht="12.75">
      <c r="A32" s="226"/>
      <c r="B32" s="292"/>
      <c r="C32" s="234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63"/>
      <c r="N32" s="213"/>
      <c r="O32" s="213"/>
      <c r="P32" s="213"/>
      <c r="Q32" s="213"/>
      <c r="R32" s="213"/>
      <c r="S32" s="213"/>
      <c r="T32" s="213"/>
      <c r="U32" s="263"/>
    </row>
    <row r="33" spans="1:21" ht="12.75" customHeight="1">
      <c r="A33" s="226" t="s">
        <v>128</v>
      </c>
      <c r="B33" s="270" t="s">
        <v>157</v>
      </c>
      <c r="C33" s="232" t="s">
        <v>78</v>
      </c>
      <c r="D33" s="22" t="s">
        <v>93</v>
      </c>
      <c r="E33" s="23">
        <f>E35+E36+E37+E38</f>
        <v>517500</v>
      </c>
      <c r="F33" s="23">
        <f aca="true" t="shared" si="7" ref="F33:L33">F35+F36+F37+F38</f>
        <v>131600</v>
      </c>
      <c r="G33" s="23">
        <f t="shared" si="7"/>
        <v>0</v>
      </c>
      <c r="H33" s="23">
        <f t="shared" si="7"/>
        <v>147200</v>
      </c>
      <c r="I33" s="23">
        <f t="shared" si="7"/>
        <v>0</v>
      </c>
      <c r="J33" s="23">
        <f t="shared" si="7"/>
        <v>76500</v>
      </c>
      <c r="K33" s="23">
        <f t="shared" si="7"/>
        <v>79500</v>
      </c>
      <c r="L33" s="23">
        <f t="shared" si="7"/>
        <v>82700</v>
      </c>
      <c r="M33" s="261" t="s">
        <v>14</v>
      </c>
      <c r="N33" s="211">
        <v>100</v>
      </c>
      <c r="O33" s="211">
        <v>100</v>
      </c>
      <c r="P33" s="211">
        <v>100</v>
      </c>
      <c r="Q33" s="211">
        <v>100</v>
      </c>
      <c r="R33" s="211">
        <v>100</v>
      </c>
      <c r="S33" s="211">
        <v>100</v>
      </c>
      <c r="T33" s="211">
        <v>100</v>
      </c>
      <c r="U33" s="261" t="s">
        <v>77</v>
      </c>
    </row>
    <row r="34" spans="1:21" ht="12.75">
      <c r="A34" s="226"/>
      <c r="B34" s="271"/>
      <c r="C34" s="233"/>
      <c r="D34" s="219" t="s">
        <v>113</v>
      </c>
      <c r="E34" s="220"/>
      <c r="F34" s="220"/>
      <c r="G34" s="220"/>
      <c r="H34" s="220"/>
      <c r="I34" s="220"/>
      <c r="J34" s="220"/>
      <c r="K34" s="220"/>
      <c r="L34" s="221"/>
      <c r="M34" s="262"/>
      <c r="N34" s="212"/>
      <c r="O34" s="212"/>
      <c r="P34" s="212"/>
      <c r="Q34" s="212"/>
      <c r="R34" s="212"/>
      <c r="S34" s="212"/>
      <c r="T34" s="212"/>
      <c r="U34" s="262"/>
    </row>
    <row r="35" spans="1:21" ht="12.75">
      <c r="A35" s="226"/>
      <c r="B35" s="271"/>
      <c r="C35" s="233"/>
      <c r="D35" s="22" t="s">
        <v>91</v>
      </c>
      <c r="E35" s="23">
        <f>F35+G35+H35+I35+J35+K35+L35</f>
        <v>0</v>
      </c>
      <c r="F35" s="24"/>
      <c r="G35" s="23"/>
      <c r="H35" s="23"/>
      <c r="I35" s="23"/>
      <c r="J35" s="23"/>
      <c r="K35" s="23"/>
      <c r="L35" s="23"/>
      <c r="M35" s="262"/>
      <c r="N35" s="212"/>
      <c r="O35" s="212"/>
      <c r="P35" s="212"/>
      <c r="Q35" s="212"/>
      <c r="R35" s="212"/>
      <c r="S35" s="212"/>
      <c r="T35" s="212"/>
      <c r="U35" s="262"/>
    </row>
    <row r="36" spans="1:21" ht="12.75">
      <c r="A36" s="226"/>
      <c r="B36" s="271"/>
      <c r="C36" s="233"/>
      <c r="D36" s="22" t="s">
        <v>89</v>
      </c>
      <c r="E36" s="23">
        <f>F36+G36+H36+I36+J36+K36+L36</f>
        <v>517500</v>
      </c>
      <c r="F36" s="23">
        <v>131600</v>
      </c>
      <c r="G36" s="23">
        <v>0</v>
      </c>
      <c r="H36" s="23">
        <f>73600+73600</f>
        <v>147200</v>
      </c>
      <c r="I36" s="23">
        <f>147100-147100</f>
        <v>0</v>
      </c>
      <c r="J36" s="23">
        <v>76500</v>
      </c>
      <c r="K36" s="23">
        <v>79500</v>
      </c>
      <c r="L36" s="23">
        <v>82700</v>
      </c>
      <c r="M36" s="262"/>
      <c r="N36" s="212"/>
      <c r="O36" s="212"/>
      <c r="P36" s="212"/>
      <c r="Q36" s="212"/>
      <c r="R36" s="212"/>
      <c r="S36" s="212"/>
      <c r="T36" s="212"/>
      <c r="U36" s="262"/>
    </row>
    <row r="37" spans="1:21" ht="12.75">
      <c r="A37" s="226"/>
      <c r="B37" s="271"/>
      <c r="C37" s="233"/>
      <c r="D37" s="22" t="s">
        <v>90</v>
      </c>
      <c r="E37" s="23">
        <f>F37+G37+H37+I37+J37+K37+L37</f>
        <v>0</v>
      </c>
      <c r="F37" s="24"/>
      <c r="G37" s="23"/>
      <c r="H37" s="23"/>
      <c r="I37" s="23"/>
      <c r="J37" s="23"/>
      <c r="K37" s="23"/>
      <c r="L37" s="23"/>
      <c r="M37" s="262"/>
      <c r="N37" s="212"/>
      <c r="O37" s="212"/>
      <c r="P37" s="212"/>
      <c r="Q37" s="212"/>
      <c r="R37" s="212"/>
      <c r="S37" s="212"/>
      <c r="T37" s="212"/>
      <c r="U37" s="262"/>
    </row>
    <row r="38" spans="1:21" ht="12.75">
      <c r="A38" s="226"/>
      <c r="B38" s="272"/>
      <c r="C38" s="234"/>
      <c r="D38" s="22" t="s">
        <v>92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63"/>
      <c r="N38" s="213"/>
      <c r="O38" s="213"/>
      <c r="P38" s="213"/>
      <c r="Q38" s="213"/>
      <c r="R38" s="213"/>
      <c r="S38" s="213"/>
      <c r="T38" s="213"/>
      <c r="U38" s="263"/>
    </row>
    <row r="39" spans="1:21" ht="12.75" customHeight="1">
      <c r="A39" s="226" t="s">
        <v>129</v>
      </c>
      <c r="B39" s="270" t="s">
        <v>158</v>
      </c>
      <c r="C39" s="232" t="s">
        <v>78</v>
      </c>
      <c r="D39" s="22" t="s">
        <v>93</v>
      </c>
      <c r="E39" s="23">
        <f>E41+E42+E43+E44</f>
        <v>13146200</v>
      </c>
      <c r="F39" s="23">
        <f aca="true" t="shared" si="8" ref="F39:L39">F41+F42+F43+F44</f>
        <v>1876300</v>
      </c>
      <c r="G39" s="23">
        <f t="shared" si="8"/>
        <v>1698600</v>
      </c>
      <c r="H39" s="23">
        <f t="shared" si="8"/>
        <v>1563700</v>
      </c>
      <c r="I39" s="23">
        <f t="shared" si="8"/>
        <v>1947800</v>
      </c>
      <c r="J39" s="23">
        <f t="shared" si="8"/>
        <v>1941200</v>
      </c>
      <c r="K39" s="23">
        <f t="shared" si="8"/>
        <v>2018900</v>
      </c>
      <c r="L39" s="23">
        <f t="shared" si="8"/>
        <v>2099700</v>
      </c>
      <c r="M39" s="261" t="s">
        <v>12</v>
      </c>
      <c r="N39" s="211">
        <v>100</v>
      </c>
      <c r="O39" s="211">
        <v>100</v>
      </c>
      <c r="P39" s="211">
        <v>100</v>
      </c>
      <c r="Q39" s="211">
        <v>100</v>
      </c>
      <c r="R39" s="211">
        <v>100</v>
      </c>
      <c r="S39" s="211">
        <v>100</v>
      </c>
      <c r="T39" s="211">
        <v>100</v>
      </c>
      <c r="U39" s="261" t="s">
        <v>77</v>
      </c>
    </row>
    <row r="40" spans="1:21" ht="12.75">
      <c r="A40" s="226"/>
      <c r="B40" s="271"/>
      <c r="C40" s="233"/>
      <c r="D40" s="219" t="s">
        <v>113</v>
      </c>
      <c r="E40" s="220"/>
      <c r="F40" s="220"/>
      <c r="G40" s="220"/>
      <c r="H40" s="220"/>
      <c r="I40" s="220"/>
      <c r="J40" s="220"/>
      <c r="K40" s="220"/>
      <c r="L40" s="221"/>
      <c r="M40" s="262"/>
      <c r="N40" s="212"/>
      <c r="O40" s="212"/>
      <c r="P40" s="212"/>
      <c r="Q40" s="212"/>
      <c r="R40" s="212"/>
      <c r="S40" s="212"/>
      <c r="T40" s="212"/>
      <c r="U40" s="262"/>
    </row>
    <row r="41" spans="1:21" ht="12.75">
      <c r="A41" s="226"/>
      <c r="B41" s="271"/>
      <c r="C41" s="233"/>
      <c r="D41" s="22" t="s">
        <v>91</v>
      </c>
      <c r="E41" s="23">
        <f>F41+G41+H41+I41+J41+K41+L41</f>
        <v>0</v>
      </c>
      <c r="F41" s="24"/>
      <c r="G41" s="24"/>
      <c r="H41" s="24"/>
      <c r="I41" s="23"/>
      <c r="J41" s="24"/>
      <c r="K41" s="24"/>
      <c r="L41" s="24"/>
      <c r="M41" s="262"/>
      <c r="N41" s="212"/>
      <c r="O41" s="212"/>
      <c r="P41" s="212"/>
      <c r="Q41" s="212"/>
      <c r="R41" s="212"/>
      <c r="S41" s="212"/>
      <c r="T41" s="212"/>
      <c r="U41" s="262"/>
    </row>
    <row r="42" spans="1:21" ht="12.75">
      <c r="A42" s="226"/>
      <c r="B42" s="271"/>
      <c r="C42" s="233"/>
      <c r="D42" s="22" t="s">
        <v>89</v>
      </c>
      <c r="E42" s="23">
        <f>F42+G42+H42+I42+J42+K42+L42</f>
        <v>13146200</v>
      </c>
      <c r="F42" s="24">
        <v>1876300</v>
      </c>
      <c r="G42" s="24">
        <f>1675100+18049.15+5450.85</f>
        <v>1698600</v>
      </c>
      <c r="H42" s="24">
        <f>1594000+22400-52000-4301.09-1298.91+4900</f>
        <v>1563700</v>
      </c>
      <c r="I42" s="23">
        <f>1847600+16743.47+5056.53+78400</f>
        <v>1947800</v>
      </c>
      <c r="J42" s="24">
        <f>17127.5+5172.5+1918900</f>
        <v>1941200</v>
      </c>
      <c r="K42" s="24">
        <f>17818.74+5381.26+1995700</f>
        <v>2018900</v>
      </c>
      <c r="L42" s="24">
        <f>5613.21+18586.79+2075500</f>
        <v>2099700</v>
      </c>
      <c r="M42" s="262"/>
      <c r="N42" s="212"/>
      <c r="O42" s="212"/>
      <c r="P42" s="212"/>
      <c r="Q42" s="212"/>
      <c r="R42" s="212"/>
      <c r="S42" s="212"/>
      <c r="T42" s="212"/>
      <c r="U42" s="262"/>
    </row>
    <row r="43" spans="1:21" ht="12.75">
      <c r="A43" s="226"/>
      <c r="B43" s="271"/>
      <c r="C43" s="233"/>
      <c r="D43" s="22" t="s">
        <v>90</v>
      </c>
      <c r="E43" s="23">
        <f>F43+G43+H43+I43+J43+K43+L43</f>
        <v>0</v>
      </c>
      <c r="F43" s="24">
        <v>0</v>
      </c>
      <c r="G43" s="24">
        <v>0</v>
      </c>
      <c r="H43" s="24">
        <v>0</v>
      </c>
      <c r="I43" s="23">
        <v>0</v>
      </c>
      <c r="J43" s="24">
        <v>0</v>
      </c>
      <c r="K43" s="24">
        <v>0</v>
      </c>
      <c r="L43" s="24">
        <v>0</v>
      </c>
      <c r="M43" s="262"/>
      <c r="N43" s="212"/>
      <c r="O43" s="212"/>
      <c r="P43" s="212"/>
      <c r="Q43" s="212"/>
      <c r="R43" s="212"/>
      <c r="S43" s="212"/>
      <c r="T43" s="212"/>
      <c r="U43" s="262"/>
    </row>
    <row r="44" spans="1:21" ht="12.75">
      <c r="A44" s="226"/>
      <c r="B44" s="272"/>
      <c r="C44" s="234"/>
      <c r="D44" s="22" t="s">
        <v>92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4">
        <v>0</v>
      </c>
      <c r="M44" s="263"/>
      <c r="N44" s="213"/>
      <c r="O44" s="213"/>
      <c r="P44" s="213"/>
      <c r="Q44" s="213"/>
      <c r="R44" s="213"/>
      <c r="S44" s="213"/>
      <c r="T44" s="213"/>
      <c r="U44" s="263"/>
    </row>
    <row r="45" spans="1:21" ht="12.75" customHeight="1">
      <c r="A45" s="226" t="s">
        <v>148</v>
      </c>
      <c r="B45" s="270" t="s">
        <v>159</v>
      </c>
      <c r="C45" s="232" t="s">
        <v>78</v>
      </c>
      <c r="D45" s="22" t="s">
        <v>93</v>
      </c>
      <c r="E45" s="23">
        <f>E47+E48+E49+E50</f>
        <v>2189000</v>
      </c>
      <c r="F45" s="23">
        <f aca="true" t="shared" si="9" ref="F45:L45">F47+F48+F49+F50</f>
        <v>418700</v>
      </c>
      <c r="G45" s="23">
        <f t="shared" si="9"/>
        <v>209400</v>
      </c>
      <c r="H45" s="23">
        <f t="shared" si="9"/>
        <v>200000</v>
      </c>
      <c r="I45" s="23">
        <f t="shared" si="9"/>
        <v>314000</v>
      </c>
      <c r="J45" s="23">
        <f t="shared" si="9"/>
        <v>628100</v>
      </c>
      <c r="K45" s="23">
        <f t="shared" si="9"/>
        <v>209400</v>
      </c>
      <c r="L45" s="23">
        <f t="shared" si="9"/>
        <v>209400</v>
      </c>
      <c r="M45" s="261" t="s">
        <v>40</v>
      </c>
      <c r="N45" s="211">
        <v>100</v>
      </c>
      <c r="O45" s="211">
        <v>100</v>
      </c>
      <c r="P45" s="211">
        <v>100</v>
      </c>
      <c r="Q45" s="211">
        <v>100</v>
      </c>
      <c r="R45" s="211">
        <v>100</v>
      </c>
      <c r="S45" s="211">
        <v>100</v>
      </c>
      <c r="T45" s="211">
        <v>100</v>
      </c>
      <c r="U45" s="261" t="s">
        <v>77</v>
      </c>
    </row>
    <row r="46" spans="1:21" ht="12.75">
      <c r="A46" s="226"/>
      <c r="B46" s="271"/>
      <c r="C46" s="233"/>
      <c r="D46" s="219" t="s">
        <v>113</v>
      </c>
      <c r="E46" s="220"/>
      <c r="F46" s="220"/>
      <c r="G46" s="220"/>
      <c r="H46" s="220"/>
      <c r="I46" s="220"/>
      <c r="J46" s="220"/>
      <c r="K46" s="220"/>
      <c r="L46" s="221"/>
      <c r="M46" s="262"/>
      <c r="N46" s="212"/>
      <c r="O46" s="212"/>
      <c r="P46" s="212"/>
      <c r="Q46" s="212"/>
      <c r="R46" s="212"/>
      <c r="S46" s="212"/>
      <c r="T46" s="212"/>
      <c r="U46" s="262"/>
    </row>
    <row r="47" spans="1:21" ht="12.75">
      <c r="A47" s="226"/>
      <c r="B47" s="271"/>
      <c r="C47" s="233"/>
      <c r="D47" s="22" t="s">
        <v>91</v>
      </c>
      <c r="E47" s="23">
        <f>F47+G47+H47+I47+J47+K47+L47</f>
        <v>0</v>
      </c>
      <c r="F47" s="24"/>
      <c r="G47" s="24"/>
      <c r="H47" s="24"/>
      <c r="I47" s="23"/>
      <c r="J47" s="24"/>
      <c r="K47" s="24"/>
      <c r="L47" s="24"/>
      <c r="M47" s="262"/>
      <c r="N47" s="212"/>
      <c r="O47" s="212"/>
      <c r="P47" s="212"/>
      <c r="Q47" s="212"/>
      <c r="R47" s="212"/>
      <c r="S47" s="212"/>
      <c r="T47" s="212"/>
      <c r="U47" s="262"/>
    </row>
    <row r="48" spans="1:21" ht="12.75">
      <c r="A48" s="226"/>
      <c r="B48" s="271"/>
      <c r="C48" s="233"/>
      <c r="D48" s="22" t="s">
        <v>89</v>
      </c>
      <c r="E48" s="23">
        <f>F48+G48+H48+I48+J48+K48+L48</f>
        <v>2189000</v>
      </c>
      <c r="F48" s="24">
        <v>418700</v>
      </c>
      <c r="G48" s="24">
        <v>209400</v>
      </c>
      <c r="H48" s="24">
        <f>209400-9400</f>
        <v>200000</v>
      </c>
      <c r="I48" s="23">
        <v>314000</v>
      </c>
      <c r="J48" s="24">
        <v>628100</v>
      </c>
      <c r="K48" s="24">
        <v>209400</v>
      </c>
      <c r="L48" s="24">
        <v>209400</v>
      </c>
      <c r="M48" s="262"/>
      <c r="N48" s="212"/>
      <c r="O48" s="212"/>
      <c r="P48" s="212"/>
      <c r="Q48" s="212"/>
      <c r="R48" s="212"/>
      <c r="S48" s="212"/>
      <c r="T48" s="212"/>
      <c r="U48" s="262"/>
    </row>
    <row r="49" spans="1:21" ht="12.75">
      <c r="A49" s="226"/>
      <c r="B49" s="271"/>
      <c r="C49" s="233"/>
      <c r="D49" s="22" t="s">
        <v>90</v>
      </c>
      <c r="E49" s="23">
        <f>F49+G49+H49+I49+J49+K49+L49</f>
        <v>0</v>
      </c>
      <c r="F49" s="24"/>
      <c r="G49" s="24"/>
      <c r="H49" s="24"/>
      <c r="I49" s="23"/>
      <c r="J49" s="24"/>
      <c r="K49" s="24"/>
      <c r="L49" s="24"/>
      <c r="M49" s="262"/>
      <c r="N49" s="212"/>
      <c r="O49" s="212"/>
      <c r="P49" s="212"/>
      <c r="Q49" s="212"/>
      <c r="R49" s="212"/>
      <c r="S49" s="212"/>
      <c r="T49" s="212"/>
      <c r="U49" s="262"/>
    </row>
    <row r="50" spans="1:21" ht="12.75">
      <c r="A50" s="226"/>
      <c r="B50" s="272"/>
      <c r="C50" s="234"/>
      <c r="D50" s="22" t="s">
        <v>92</v>
      </c>
      <c r="E50" s="23">
        <f>F50+G50+H50+I50+J50+K50+L50</f>
        <v>0</v>
      </c>
      <c r="F50" s="24"/>
      <c r="G50" s="24"/>
      <c r="H50" s="24"/>
      <c r="I50" s="23"/>
      <c r="J50" s="24"/>
      <c r="K50" s="24"/>
      <c r="L50" s="24"/>
      <c r="M50" s="263"/>
      <c r="N50" s="213"/>
      <c r="O50" s="213"/>
      <c r="P50" s="213"/>
      <c r="Q50" s="213"/>
      <c r="R50" s="213"/>
      <c r="S50" s="213"/>
      <c r="T50" s="213"/>
      <c r="U50" s="263"/>
    </row>
    <row r="51" spans="1:21" ht="12.75" customHeight="1">
      <c r="A51" s="226" t="s">
        <v>149</v>
      </c>
      <c r="B51" s="270" t="s">
        <v>160</v>
      </c>
      <c r="C51" s="232" t="s">
        <v>78</v>
      </c>
      <c r="D51" s="22" t="s">
        <v>93</v>
      </c>
      <c r="E51" s="23">
        <f>E53+E54+E55+E56</f>
        <v>3297500</v>
      </c>
      <c r="F51" s="23">
        <f aca="true" t="shared" si="10" ref="F51:L51">F53+F54+F55+F56</f>
        <v>409000</v>
      </c>
      <c r="G51" s="23">
        <f>G53+G54+G55+G56</f>
        <v>338000</v>
      </c>
      <c r="H51" s="23">
        <f t="shared" si="10"/>
        <v>619300</v>
      </c>
      <c r="I51" s="23">
        <f t="shared" si="10"/>
        <v>397000</v>
      </c>
      <c r="J51" s="23">
        <f t="shared" si="10"/>
        <v>491500</v>
      </c>
      <c r="K51" s="23">
        <f t="shared" si="10"/>
        <v>511100</v>
      </c>
      <c r="L51" s="23">
        <f t="shared" si="10"/>
        <v>531600</v>
      </c>
      <c r="M51" s="261" t="s">
        <v>13</v>
      </c>
      <c r="N51" s="211">
        <v>100</v>
      </c>
      <c r="O51" s="211">
        <v>100</v>
      </c>
      <c r="P51" s="211">
        <v>100</v>
      </c>
      <c r="Q51" s="211">
        <v>100</v>
      </c>
      <c r="R51" s="211">
        <v>100</v>
      </c>
      <c r="S51" s="211">
        <v>100</v>
      </c>
      <c r="T51" s="211">
        <v>100</v>
      </c>
      <c r="U51" s="261" t="s">
        <v>77</v>
      </c>
    </row>
    <row r="52" spans="1:21" ht="12.75">
      <c r="A52" s="226"/>
      <c r="B52" s="271"/>
      <c r="C52" s="233"/>
      <c r="D52" s="219" t="s">
        <v>113</v>
      </c>
      <c r="E52" s="220"/>
      <c r="F52" s="220"/>
      <c r="G52" s="220"/>
      <c r="H52" s="220"/>
      <c r="I52" s="220"/>
      <c r="J52" s="220"/>
      <c r="K52" s="220"/>
      <c r="L52" s="221"/>
      <c r="M52" s="262"/>
      <c r="N52" s="212"/>
      <c r="O52" s="212"/>
      <c r="P52" s="212"/>
      <c r="Q52" s="212"/>
      <c r="R52" s="212"/>
      <c r="S52" s="212"/>
      <c r="T52" s="212"/>
      <c r="U52" s="262"/>
    </row>
    <row r="53" spans="1:21" ht="12.75">
      <c r="A53" s="226"/>
      <c r="B53" s="271"/>
      <c r="C53" s="233"/>
      <c r="D53" s="22" t="s">
        <v>91</v>
      </c>
      <c r="E53" s="23">
        <f>F53+G53+H53+I53+J53+K53+L53</f>
        <v>0</v>
      </c>
      <c r="F53" s="24"/>
      <c r="G53" s="24"/>
      <c r="H53" s="24"/>
      <c r="I53" s="23"/>
      <c r="J53" s="24"/>
      <c r="K53" s="24"/>
      <c r="L53" s="24"/>
      <c r="M53" s="262"/>
      <c r="N53" s="212"/>
      <c r="O53" s="212"/>
      <c r="P53" s="212"/>
      <c r="Q53" s="212"/>
      <c r="R53" s="212"/>
      <c r="S53" s="212"/>
      <c r="T53" s="212"/>
      <c r="U53" s="262"/>
    </row>
    <row r="54" spans="1:21" ht="12.75">
      <c r="A54" s="226"/>
      <c r="B54" s="271"/>
      <c r="C54" s="233"/>
      <c r="D54" s="22" t="s">
        <v>89</v>
      </c>
      <c r="E54" s="23">
        <f>F54+G54+H54+I54+J54+K54+L54</f>
        <v>3297500</v>
      </c>
      <c r="F54" s="24">
        <v>409000</v>
      </c>
      <c r="G54" s="24">
        <v>338000</v>
      </c>
      <c r="H54" s="24">
        <f>491500+127800</f>
        <v>619300</v>
      </c>
      <c r="I54" s="23">
        <f>756100-359100</f>
        <v>397000</v>
      </c>
      <c r="J54" s="24">
        <v>491500</v>
      </c>
      <c r="K54" s="24">
        <v>511100</v>
      </c>
      <c r="L54" s="24">
        <v>531600</v>
      </c>
      <c r="M54" s="262"/>
      <c r="N54" s="212"/>
      <c r="O54" s="212"/>
      <c r="P54" s="212"/>
      <c r="Q54" s="212"/>
      <c r="R54" s="212"/>
      <c r="S54" s="212"/>
      <c r="T54" s="212"/>
      <c r="U54" s="262"/>
    </row>
    <row r="55" spans="1:21" ht="12.75">
      <c r="A55" s="226"/>
      <c r="B55" s="271"/>
      <c r="C55" s="233"/>
      <c r="D55" s="22" t="s">
        <v>90</v>
      </c>
      <c r="E55" s="23">
        <f>F55+G55+H55+I55+J55+K55+L55</f>
        <v>0</v>
      </c>
      <c r="F55" s="24"/>
      <c r="G55" s="24"/>
      <c r="H55" s="24"/>
      <c r="I55" s="23"/>
      <c r="J55" s="24"/>
      <c r="K55" s="24"/>
      <c r="L55" s="24"/>
      <c r="M55" s="262"/>
      <c r="N55" s="212"/>
      <c r="O55" s="212"/>
      <c r="P55" s="212"/>
      <c r="Q55" s="212"/>
      <c r="R55" s="212"/>
      <c r="S55" s="212"/>
      <c r="T55" s="212"/>
      <c r="U55" s="262"/>
    </row>
    <row r="56" spans="1:21" ht="12.75">
      <c r="A56" s="226"/>
      <c r="B56" s="272"/>
      <c r="C56" s="234"/>
      <c r="D56" s="22" t="s">
        <v>92</v>
      </c>
      <c r="E56" s="23">
        <f>F56+G56+H56+I56+J56+K56+L56</f>
        <v>0</v>
      </c>
      <c r="F56" s="24"/>
      <c r="G56" s="24"/>
      <c r="H56" s="24"/>
      <c r="I56" s="23"/>
      <c r="J56" s="24"/>
      <c r="K56" s="24"/>
      <c r="L56" s="24"/>
      <c r="M56" s="263"/>
      <c r="N56" s="213"/>
      <c r="O56" s="213"/>
      <c r="P56" s="213"/>
      <c r="Q56" s="213"/>
      <c r="R56" s="213"/>
      <c r="S56" s="213"/>
      <c r="T56" s="213"/>
      <c r="U56" s="263"/>
    </row>
    <row r="57" spans="1:21" ht="12.75" customHeight="1">
      <c r="A57" s="226" t="s">
        <v>150</v>
      </c>
      <c r="B57" s="270" t="s">
        <v>161</v>
      </c>
      <c r="C57" s="232" t="s">
        <v>78</v>
      </c>
      <c r="D57" s="22" t="s">
        <v>93</v>
      </c>
      <c r="E57" s="23">
        <f>E59+E60+E61+E62</f>
        <v>224018700</v>
      </c>
      <c r="F57" s="23">
        <f aca="true" t="shared" si="11" ref="F57:L57">F59+F60+F61+F62</f>
        <v>23667600</v>
      </c>
      <c r="G57" s="23">
        <f t="shared" si="11"/>
        <v>28243200</v>
      </c>
      <c r="H57" s="23">
        <f t="shared" si="11"/>
        <v>29669600</v>
      </c>
      <c r="I57" s="23">
        <f t="shared" si="11"/>
        <v>31386600</v>
      </c>
      <c r="J57" s="23">
        <f t="shared" si="11"/>
        <v>35568400</v>
      </c>
      <c r="K57" s="23">
        <f t="shared" si="11"/>
        <v>36991200</v>
      </c>
      <c r="L57" s="23">
        <f t="shared" si="11"/>
        <v>38492100</v>
      </c>
      <c r="M57" s="261" t="s">
        <v>11</v>
      </c>
      <c r="N57" s="211">
        <v>100</v>
      </c>
      <c r="O57" s="211">
        <v>100</v>
      </c>
      <c r="P57" s="211">
        <v>100</v>
      </c>
      <c r="Q57" s="211">
        <v>100</v>
      </c>
      <c r="R57" s="211">
        <v>100</v>
      </c>
      <c r="S57" s="211">
        <v>100</v>
      </c>
      <c r="T57" s="211">
        <v>100</v>
      </c>
      <c r="U57" s="261" t="s">
        <v>77</v>
      </c>
    </row>
    <row r="58" spans="1:21" ht="12.75">
      <c r="A58" s="226"/>
      <c r="B58" s="271"/>
      <c r="C58" s="233"/>
      <c r="D58" s="219" t="s">
        <v>113</v>
      </c>
      <c r="E58" s="220"/>
      <c r="F58" s="220"/>
      <c r="G58" s="220"/>
      <c r="H58" s="220"/>
      <c r="I58" s="220"/>
      <c r="J58" s="220"/>
      <c r="K58" s="220"/>
      <c r="L58" s="221"/>
      <c r="M58" s="262"/>
      <c r="N58" s="212"/>
      <c r="O58" s="212"/>
      <c r="P58" s="212"/>
      <c r="Q58" s="212"/>
      <c r="R58" s="212"/>
      <c r="S58" s="212"/>
      <c r="T58" s="212"/>
      <c r="U58" s="262"/>
    </row>
    <row r="59" spans="1:21" ht="12.75">
      <c r="A59" s="226"/>
      <c r="B59" s="271"/>
      <c r="C59" s="233"/>
      <c r="D59" s="22" t="s">
        <v>91</v>
      </c>
      <c r="E59" s="23">
        <f>F59+G59+H59+I59+J59+K59+L59</f>
        <v>0</v>
      </c>
      <c r="F59" s="24"/>
      <c r="G59" s="24"/>
      <c r="H59" s="24"/>
      <c r="I59" s="23"/>
      <c r="J59" s="24"/>
      <c r="K59" s="24"/>
      <c r="L59" s="24"/>
      <c r="M59" s="262"/>
      <c r="N59" s="212"/>
      <c r="O59" s="212"/>
      <c r="P59" s="212"/>
      <c r="Q59" s="212"/>
      <c r="R59" s="212"/>
      <c r="S59" s="212"/>
      <c r="T59" s="212"/>
      <c r="U59" s="262"/>
    </row>
    <row r="60" spans="1:21" ht="12.75">
      <c r="A60" s="226"/>
      <c r="B60" s="271"/>
      <c r="C60" s="233"/>
      <c r="D60" s="22" t="s">
        <v>89</v>
      </c>
      <c r="E60" s="23">
        <f>F60+G60+H60+I60+J60+K60+L60</f>
        <v>224018700</v>
      </c>
      <c r="F60" s="24">
        <v>23667600</v>
      </c>
      <c r="G60" s="24">
        <f>13070900+15172300</f>
        <v>28243200</v>
      </c>
      <c r="H60" s="24">
        <f>12275000+21905300-5160700+650000</f>
        <v>29669600</v>
      </c>
      <c r="I60" s="23">
        <f>17297200+500000+15600000-1000000-1010600</f>
        <v>31386600</v>
      </c>
      <c r="J60" s="24">
        <f>17768400+800000+17000000</f>
        <v>35568400</v>
      </c>
      <c r="K60" s="24">
        <f>18191200+800000+18000000</f>
        <v>36991200</v>
      </c>
      <c r="L60" s="24">
        <f>18692100+800000+19000000</f>
        <v>38492100</v>
      </c>
      <c r="M60" s="262"/>
      <c r="N60" s="212"/>
      <c r="O60" s="212"/>
      <c r="P60" s="212"/>
      <c r="Q60" s="212"/>
      <c r="R60" s="212"/>
      <c r="S60" s="212"/>
      <c r="T60" s="212"/>
      <c r="U60" s="262"/>
    </row>
    <row r="61" spans="1:21" ht="12.75">
      <c r="A61" s="226"/>
      <c r="B61" s="271"/>
      <c r="C61" s="233"/>
      <c r="D61" s="22" t="s">
        <v>90</v>
      </c>
      <c r="E61" s="23">
        <f>F61+G61+H61+I61+J61+K61+L61</f>
        <v>0</v>
      </c>
      <c r="F61" s="24"/>
      <c r="G61" s="24"/>
      <c r="H61" s="24"/>
      <c r="I61" s="23"/>
      <c r="J61" s="24"/>
      <c r="K61" s="24"/>
      <c r="L61" s="24"/>
      <c r="M61" s="262"/>
      <c r="N61" s="212"/>
      <c r="O61" s="212"/>
      <c r="P61" s="212"/>
      <c r="Q61" s="212"/>
      <c r="R61" s="212"/>
      <c r="S61" s="212"/>
      <c r="T61" s="212"/>
      <c r="U61" s="262"/>
    </row>
    <row r="62" spans="1:21" ht="12.75">
      <c r="A62" s="226"/>
      <c r="B62" s="272"/>
      <c r="C62" s="234"/>
      <c r="D62" s="22" t="s">
        <v>92</v>
      </c>
      <c r="E62" s="23">
        <f>F62+G62+H62+I62+J62+K62+L62</f>
        <v>0</v>
      </c>
      <c r="F62" s="24"/>
      <c r="G62" s="24"/>
      <c r="H62" s="24"/>
      <c r="I62" s="23"/>
      <c r="J62" s="24"/>
      <c r="K62" s="24"/>
      <c r="L62" s="24"/>
      <c r="M62" s="263"/>
      <c r="N62" s="213"/>
      <c r="O62" s="213"/>
      <c r="P62" s="213"/>
      <c r="Q62" s="213"/>
      <c r="R62" s="213"/>
      <c r="S62" s="213"/>
      <c r="T62" s="213"/>
      <c r="U62" s="263"/>
    </row>
    <row r="63" spans="1:21" ht="13.5">
      <c r="A63" s="237"/>
      <c r="B63" s="267" t="s">
        <v>151</v>
      </c>
      <c r="C63" s="237"/>
      <c r="D63" s="102" t="s">
        <v>93</v>
      </c>
      <c r="E63" s="103">
        <f aca="true" t="shared" si="12" ref="E63:L63">E65+E66+E67+E68</f>
        <v>278407900</v>
      </c>
      <c r="F63" s="103">
        <f t="shared" si="12"/>
        <v>30768200</v>
      </c>
      <c r="G63" s="103">
        <f t="shared" si="12"/>
        <v>34894200</v>
      </c>
      <c r="H63" s="103">
        <f t="shared" si="12"/>
        <v>36604800</v>
      </c>
      <c r="I63" s="103">
        <f t="shared" si="12"/>
        <v>39331400</v>
      </c>
      <c r="J63" s="103">
        <f t="shared" si="12"/>
        <v>44111700</v>
      </c>
      <c r="K63" s="103">
        <f t="shared" si="12"/>
        <v>45432100</v>
      </c>
      <c r="L63" s="103">
        <f t="shared" si="12"/>
        <v>47265500</v>
      </c>
      <c r="M63" s="239"/>
      <c r="N63" s="247"/>
      <c r="O63" s="247"/>
      <c r="P63" s="247"/>
      <c r="Q63" s="247"/>
      <c r="R63" s="247"/>
      <c r="S63" s="247"/>
      <c r="T63" s="247"/>
      <c r="U63" s="250"/>
    </row>
    <row r="64" spans="1:21" ht="12.75">
      <c r="A64" s="237"/>
      <c r="B64" s="268"/>
      <c r="C64" s="237"/>
      <c r="D64" s="242" t="s">
        <v>113</v>
      </c>
      <c r="E64" s="243"/>
      <c r="F64" s="243"/>
      <c r="G64" s="243"/>
      <c r="H64" s="243"/>
      <c r="I64" s="243"/>
      <c r="J64" s="243"/>
      <c r="K64" s="243"/>
      <c r="L64" s="244"/>
      <c r="M64" s="240"/>
      <c r="N64" s="248"/>
      <c r="O64" s="248"/>
      <c r="P64" s="248"/>
      <c r="Q64" s="248"/>
      <c r="R64" s="248"/>
      <c r="S64" s="248"/>
      <c r="T64" s="248"/>
      <c r="U64" s="251"/>
    </row>
    <row r="65" spans="1:21" ht="13.5">
      <c r="A65" s="237"/>
      <c r="B65" s="268"/>
      <c r="C65" s="237"/>
      <c r="D65" s="104" t="s">
        <v>91</v>
      </c>
      <c r="E65" s="103">
        <f>F65+G65+H65+I65+J65+K65+L65</f>
        <v>0</v>
      </c>
      <c r="F65" s="105">
        <f>F29+F35+F41+F47+F53+F59</f>
        <v>0</v>
      </c>
      <c r="G65" s="105">
        <f aca="true" t="shared" si="13" ref="G65:L68">G29+G35+G41+G47+G53+G59</f>
        <v>0</v>
      </c>
      <c r="H65" s="105">
        <f t="shared" si="13"/>
        <v>0</v>
      </c>
      <c r="I65" s="105">
        <f t="shared" si="13"/>
        <v>0</v>
      </c>
      <c r="J65" s="105">
        <f t="shared" si="13"/>
        <v>0</v>
      </c>
      <c r="K65" s="105">
        <f t="shared" si="13"/>
        <v>0</v>
      </c>
      <c r="L65" s="105">
        <f t="shared" si="13"/>
        <v>0</v>
      </c>
      <c r="M65" s="240"/>
      <c r="N65" s="248"/>
      <c r="O65" s="248"/>
      <c r="P65" s="248"/>
      <c r="Q65" s="248"/>
      <c r="R65" s="248"/>
      <c r="S65" s="248"/>
      <c r="T65" s="248"/>
      <c r="U65" s="251"/>
    </row>
    <row r="66" spans="1:21" ht="13.5">
      <c r="A66" s="237"/>
      <c r="B66" s="268"/>
      <c r="C66" s="237"/>
      <c r="D66" s="104" t="s">
        <v>89</v>
      </c>
      <c r="E66" s="103">
        <f>F66+G66+H66+I66+J66+K66+L66</f>
        <v>278407900</v>
      </c>
      <c r="F66" s="105">
        <f>F30+F36+F42+F48+F54+F60</f>
        <v>30768200</v>
      </c>
      <c r="G66" s="105">
        <f aca="true" t="shared" si="14" ref="G66:H68">G30+G36+G42+G48+G54+G60</f>
        <v>34894200</v>
      </c>
      <c r="H66" s="105">
        <f t="shared" si="14"/>
        <v>36604800</v>
      </c>
      <c r="I66" s="105">
        <f t="shared" si="13"/>
        <v>39331400</v>
      </c>
      <c r="J66" s="105">
        <f t="shared" si="13"/>
        <v>44111700</v>
      </c>
      <c r="K66" s="105">
        <f t="shared" si="13"/>
        <v>45432100</v>
      </c>
      <c r="L66" s="105">
        <f t="shared" si="13"/>
        <v>47265500</v>
      </c>
      <c r="M66" s="240"/>
      <c r="N66" s="248"/>
      <c r="O66" s="248"/>
      <c r="P66" s="248"/>
      <c r="Q66" s="248"/>
      <c r="R66" s="248"/>
      <c r="S66" s="248"/>
      <c r="T66" s="248"/>
      <c r="U66" s="251"/>
    </row>
    <row r="67" spans="1:21" ht="13.5">
      <c r="A67" s="237"/>
      <c r="B67" s="268"/>
      <c r="C67" s="237"/>
      <c r="D67" s="104" t="s">
        <v>90</v>
      </c>
      <c r="E67" s="103">
        <f>F67+G67+H67+I67+J67+K67+L67</f>
        <v>0</v>
      </c>
      <c r="F67" s="105">
        <f>F31+F37+F43+F49+F55+F61</f>
        <v>0</v>
      </c>
      <c r="G67" s="105">
        <f t="shared" si="14"/>
        <v>0</v>
      </c>
      <c r="H67" s="105">
        <f t="shared" si="14"/>
        <v>0</v>
      </c>
      <c r="I67" s="105">
        <f t="shared" si="13"/>
        <v>0</v>
      </c>
      <c r="J67" s="105">
        <f t="shared" si="13"/>
        <v>0</v>
      </c>
      <c r="K67" s="105">
        <f t="shared" si="13"/>
        <v>0</v>
      </c>
      <c r="L67" s="105">
        <f t="shared" si="13"/>
        <v>0</v>
      </c>
      <c r="M67" s="240"/>
      <c r="N67" s="248"/>
      <c r="O67" s="248"/>
      <c r="P67" s="248"/>
      <c r="Q67" s="248"/>
      <c r="R67" s="248"/>
      <c r="S67" s="248"/>
      <c r="T67" s="248"/>
      <c r="U67" s="251"/>
    </row>
    <row r="68" spans="1:21" ht="13.5">
      <c r="A68" s="237"/>
      <c r="B68" s="269"/>
      <c r="C68" s="237"/>
      <c r="D68" s="104" t="s">
        <v>92</v>
      </c>
      <c r="E68" s="103">
        <f>F68+G68+H68+I68+J68+K68+L68</f>
        <v>0</v>
      </c>
      <c r="F68" s="105">
        <f>F32+F38+F44+F50+F56+F62</f>
        <v>0</v>
      </c>
      <c r="G68" s="105">
        <f t="shared" si="14"/>
        <v>0</v>
      </c>
      <c r="H68" s="105">
        <f t="shared" si="14"/>
        <v>0</v>
      </c>
      <c r="I68" s="105">
        <f t="shared" si="13"/>
        <v>0</v>
      </c>
      <c r="J68" s="105">
        <f t="shared" si="13"/>
        <v>0</v>
      </c>
      <c r="K68" s="105">
        <f t="shared" si="13"/>
        <v>0</v>
      </c>
      <c r="L68" s="105">
        <f t="shared" si="13"/>
        <v>0</v>
      </c>
      <c r="M68" s="241"/>
      <c r="N68" s="249"/>
      <c r="O68" s="249"/>
      <c r="P68" s="249"/>
      <c r="Q68" s="249"/>
      <c r="R68" s="249"/>
      <c r="S68" s="249"/>
      <c r="T68" s="249"/>
      <c r="U68" s="252"/>
    </row>
    <row r="69" spans="1:21" ht="12.75">
      <c r="A69" s="21">
        <v>3</v>
      </c>
      <c r="B69" s="216" t="s">
        <v>38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8"/>
    </row>
    <row r="70" spans="1:21" ht="12.75" customHeight="1">
      <c r="A70" s="293" t="s">
        <v>181</v>
      </c>
      <c r="B70" s="270" t="s">
        <v>162</v>
      </c>
      <c r="C70" s="232" t="s">
        <v>78</v>
      </c>
      <c r="D70" s="22" t="s">
        <v>93</v>
      </c>
      <c r="E70" s="23">
        <f>E72+E73+E74+E75</f>
        <v>1954132.8399999999</v>
      </c>
      <c r="F70" s="23">
        <f aca="true" t="shared" si="15" ref="F70:L70">F72+F73+F74+F75</f>
        <v>952526</v>
      </c>
      <c r="G70" s="23">
        <f t="shared" si="15"/>
        <v>1001606.84</v>
      </c>
      <c r="H70" s="23">
        <f t="shared" si="15"/>
        <v>0</v>
      </c>
      <c r="I70" s="23">
        <f t="shared" si="15"/>
        <v>0</v>
      </c>
      <c r="J70" s="23">
        <f t="shared" si="15"/>
        <v>0</v>
      </c>
      <c r="K70" s="23">
        <f t="shared" si="15"/>
        <v>0</v>
      </c>
      <c r="L70" s="23">
        <f t="shared" si="15"/>
        <v>0</v>
      </c>
      <c r="M70" s="261" t="s">
        <v>16</v>
      </c>
      <c r="N70" s="205">
        <v>1</v>
      </c>
      <c r="O70" s="205">
        <v>1</v>
      </c>
      <c r="P70" s="205">
        <v>1</v>
      </c>
      <c r="Q70" s="205">
        <v>1</v>
      </c>
      <c r="R70" s="205">
        <v>1</v>
      </c>
      <c r="S70" s="205">
        <v>1</v>
      </c>
      <c r="T70" s="205">
        <v>1</v>
      </c>
      <c r="U70" s="208" t="s">
        <v>55</v>
      </c>
    </row>
    <row r="71" spans="1:21" ht="12.75">
      <c r="A71" s="293"/>
      <c r="B71" s="271"/>
      <c r="C71" s="233"/>
      <c r="D71" s="219" t="s">
        <v>113</v>
      </c>
      <c r="E71" s="220"/>
      <c r="F71" s="220"/>
      <c r="G71" s="220"/>
      <c r="H71" s="220"/>
      <c r="I71" s="220"/>
      <c r="J71" s="220"/>
      <c r="K71" s="220"/>
      <c r="L71" s="221"/>
      <c r="M71" s="262"/>
      <c r="N71" s="206"/>
      <c r="O71" s="206"/>
      <c r="P71" s="206"/>
      <c r="Q71" s="206"/>
      <c r="R71" s="206"/>
      <c r="S71" s="206"/>
      <c r="T71" s="206"/>
      <c r="U71" s="209"/>
    </row>
    <row r="72" spans="1:21" ht="12.75">
      <c r="A72" s="293"/>
      <c r="B72" s="271"/>
      <c r="C72" s="233"/>
      <c r="D72" s="22" t="s">
        <v>91</v>
      </c>
      <c r="E72" s="23">
        <f>F72+G72+H72+I72+J72+K72+L72</f>
        <v>1954132.8399999999</v>
      </c>
      <c r="F72" s="24">
        <v>952526</v>
      </c>
      <c r="G72" s="24">
        <f>1054322.98-52716.14</f>
        <v>1001606.84</v>
      </c>
      <c r="H72" s="24">
        <v>0</v>
      </c>
      <c r="I72" s="23">
        <v>0</v>
      </c>
      <c r="J72" s="24">
        <v>0</v>
      </c>
      <c r="K72" s="24">
        <v>0</v>
      </c>
      <c r="L72" s="24">
        <v>0</v>
      </c>
      <c r="M72" s="262"/>
      <c r="N72" s="206"/>
      <c r="O72" s="206"/>
      <c r="P72" s="206"/>
      <c r="Q72" s="206"/>
      <c r="R72" s="206"/>
      <c r="S72" s="206"/>
      <c r="T72" s="206"/>
      <c r="U72" s="209"/>
    </row>
    <row r="73" spans="1:21" ht="12.75">
      <c r="A73" s="293"/>
      <c r="B73" s="271"/>
      <c r="C73" s="233"/>
      <c r="D73" s="22" t="s">
        <v>89</v>
      </c>
      <c r="E73" s="23">
        <f>F73+G73+H73+I73+J73+K73+L73</f>
        <v>0</v>
      </c>
      <c r="F73" s="24"/>
      <c r="G73" s="24"/>
      <c r="H73" s="24"/>
      <c r="I73" s="23"/>
      <c r="J73" s="24"/>
      <c r="K73" s="24"/>
      <c r="L73" s="24"/>
      <c r="M73" s="262"/>
      <c r="N73" s="206"/>
      <c r="O73" s="206"/>
      <c r="P73" s="206"/>
      <c r="Q73" s="206"/>
      <c r="R73" s="206"/>
      <c r="S73" s="206"/>
      <c r="T73" s="206"/>
      <c r="U73" s="209"/>
    </row>
    <row r="74" spans="1:21" ht="12.75">
      <c r="A74" s="293"/>
      <c r="B74" s="271"/>
      <c r="C74" s="233"/>
      <c r="D74" s="22" t="s">
        <v>90</v>
      </c>
      <c r="E74" s="23">
        <f>F74+G74+H74+I74+J74+K74+L74</f>
        <v>0</v>
      </c>
      <c r="F74" s="24"/>
      <c r="G74" s="24"/>
      <c r="H74" s="24"/>
      <c r="I74" s="23"/>
      <c r="J74" s="24"/>
      <c r="K74" s="24"/>
      <c r="L74" s="24"/>
      <c r="M74" s="262"/>
      <c r="N74" s="206"/>
      <c r="O74" s="206"/>
      <c r="P74" s="206"/>
      <c r="Q74" s="206"/>
      <c r="R74" s="206"/>
      <c r="S74" s="206"/>
      <c r="T74" s="206"/>
      <c r="U74" s="209"/>
    </row>
    <row r="75" spans="1:21" ht="12.75">
      <c r="A75" s="293"/>
      <c r="B75" s="272"/>
      <c r="C75" s="234"/>
      <c r="D75" s="22" t="s">
        <v>92</v>
      </c>
      <c r="E75" s="23">
        <f>F75+G75+H75+I75+J75+K75+L75</f>
        <v>0</v>
      </c>
      <c r="F75" s="24"/>
      <c r="G75" s="24"/>
      <c r="H75" s="24"/>
      <c r="I75" s="23"/>
      <c r="J75" s="24"/>
      <c r="K75" s="24"/>
      <c r="L75" s="24"/>
      <c r="M75" s="263"/>
      <c r="N75" s="207"/>
      <c r="O75" s="207"/>
      <c r="P75" s="207"/>
      <c r="Q75" s="207"/>
      <c r="R75" s="207"/>
      <c r="S75" s="207"/>
      <c r="T75" s="207"/>
      <c r="U75" s="210"/>
    </row>
    <row r="76" spans="1:21" ht="13.5">
      <c r="A76" s="237"/>
      <c r="B76" s="267" t="s">
        <v>165</v>
      </c>
      <c r="C76" s="237"/>
      <c r="D76" s="102" t="s">
        <v>93</v>
      </c>
      <c r="E76" s="103">
        <f aca="true" t="shared" si="16" ref="E76:L76">E78+E79+E80+E81</f>
        <v>1954132.8399999999</v>
      </c>
      <c r="F76" s="103">
        <f t="shared" si="16"/>
        <v>952526</v>
      </c>
      <c r="G76" s="103">
        <f t="shared" si="16"/>
        <v>1001606.84</v>
      </c>
      <c r="H76" s="103">
        <f t="shared" si="16"/>
        <v>0</v>
      </c>
      <c r="I76" s="103">
        <f t="shared" si="16"/>
        <v>0</v>
      </c>
      <c r="J76" s="103">
        <f t="shared" si="16"/>
        <v>0</v>
      </c>
      <c r="K76" s="103">
        <f t="shared" si="16"/>
        <v>0</v>
      </c>
      <c r="L76" s="103">
        <f t="shared" si="16"/>
        <v>0</v>
      </c>
      <c r="M76" s="239"/>
      <c r="N76" s="247"/>
      <c r="O76" s="247"/>
      <c r="P76" s="247"/>
      <c r="Q76" s="247"/>
      <c r="R76" s="247"/>
      <c r="S76" s="247"/>
      <c r="T76" s="247"/>
      <c r="U76" s="250"/>
    </row>
    <row r="77" spans="1:21" ht="12.75">
      <c r="A77" s="237"/>
      <c r="B77" s="268"/>
      <c r="C77" s="237"/>
      <c r="D77" s="242" t="s">
        <v>113</v>
      </c>
      <c r="E77" s="243"/>
      <c r="F77" s="243"/>
      <c r="G77" s="243"/>
      <c r="H77" s="243"/>
      <c r="I77" s="243"/>
      <c r="J77" s="243"/>
      <c r="K77" s="243"/>
      <c r="L77" s="244"/>
      <c r="M77" s="240"/>
      <c r="N77" s="248"/>
      <c r="O77" s="248"/>
      <c r="P77" s="248"/>
      <c r="Q77" s="248"/>
      <c r="R77" s="248"/>
      <c r="S77" s="248"/>
      <c r="T77" s="248"/>
      <c r="U77" s="251"/>
    </row>
    <row r="78" spans="1:21" ht="13.5">
      <c r="A78" s="237"/>
      <c r="B78" s="268"/>
      <c r="C78" s="237"/>
      <c r="D78" s="104" t="s">
        <v>91</v>
      </c>
      <c r="E78" s="103">
        <f>F78+G78+H78+I78+J78+K78+L78</f>
        <v>1954132.8399999999</v>
      </c>
      <c r="F78" s="105">
        <f>F72</f>
        <v>952526</v>
      </c>
      <c r="G78" s="105">
        <f aca="true" t="shared" si="17" ref="G78:L81">G72</f>
        <v>1001606.84</v>
      </c>
      <c r="H78" s="105">
        <f t="shared" si="17"/>
        <v>0</v>
      </c>
      <c r="I78" s="105">
        <f t="shared" si="17"/>
        <v>0</v>
      </c>
      <c r="J78" s="105">
        <f t="shared" si="17"/>
        <v>0</v>
      </c>
      <c r="K78" s="105">
        <f t="shared" si="17"/>
        <v>0</v>
      </c>
      <c r="L78" s="105">
        <f t="shared" si="17"/>
        <v>0</v>
      </c>
      <c r="M78" s="240"/>
      <c r="N78" s="248"/>
      <c r="O78" s="248"/>
      <c r="P78" s="248"/>
      <c r="Q78" s="248"/>
      <c r="R78" s="248"/>
      <c r="S78" s="248"/>
      <c r="T78" s="248"/>
      <c r="U78" s="251"/>
    </row>
    <row r="79" spans="1:21" ht="13.5">
      <c r="A79" s="237"/>
      <c r="B79" s="268"/>
      <c r="C79" s="237"/>
      <c r="D79" s="104" t="s">
        <v>89</v>
      </c>
      <c r="E79" s="103">
        <f>F79+G79+H79+I79+J79+K79+L79</f>
        <v>0</v>
      </c>
      <c r="F79" s="105">
        <f>F73</f>
        <v>0</v>
      </c>
      <c r="G79" s="105">
        <f aca="true" t="shared" si="18" ref="G79:H81">G73</f>
        <v>0</v>
      </c>
      <c r="H79" s="105">
        <f t="shared" si="18"/>
        <v>0</v>
      </c>
      <c r="I79" s="105">
        <f t="shared" si="17"/>
        <v>0</v>
      </c>
      <c r="J79" s="105">
        <f t="shared" si="17"/>
        <v>0</v>
      </c>
      <c r="K79" s="105">
        <f t="shared" si="17"/>
        <v>0</v>
      </c>
      <c r="L79" s="105">
        <f t="shared" si="17"/>
        <v>0</v>
      </c>
      <c r="M79" s="240"/>
      <c r="N79" s="248"/>
      <c r="O79" s="248"/>
      <c r="P79" s="248"/>
      <c r="Q79" s="248"/>
      <c r="R79" s="248"/>
      <c r="S79" s="248"/>
      <c r="T79" s="248"/>
      <c r="U79" s="251"/>
    </row>
    <row r="80" spans="1:21" ht="13.5">
      <c r="A80" s="237"/>
      <c r="B80" s="268"/>
      <c r="C80" s="237"/>
      <c r="D80" s="104" t="s">
        <v>90</v>
      </c>
      <c r="E80" s="103">
        <f>F80+G80+H80+I80+J80+K80+L80</f>
        <v>0</v>
      </c>
      <c r="F80" s="105">
        <f>F74</f>
        <v>0</v>
      </c>
      <c r="G80" s="105">
        <f t="shared" si="18"/>
        <v>0</v>
      </c>
      <c r="H80" s="105">
        <f t="shared" si="18"/>
        <v>0</v>
      </c>
      <c r="I80" s="105">
        <f t="shared" si="17"/>
        <v>0</v>
      </c>
      <c r="J80" s="105">
        <f t="shared" si="17"/>
        <v>0</v>
      </c>
      <c r="K80" s="105">
        <f t="shared" si="17"/>
        <v>0</v>
      </c>
      <c r="L80" s="105">
        <f t="shared" si="17"/>
        <v>0</v>
      </c>
      <c r="M80" s="240"/>
      <c r="N80" s="248"/>
      <c r="O80" s="248"/>
      <c r="P80" s="248"/>
      <c r="Q80" s="248"/>
      <c r="R80" s="248"/>
      <c r="S80" s="248"/>
      <c r="T80" s="248"/>
      <c r="U80" s="251"/>
    </row>
    <row r="81" spans="1:21" ht="13.5">
      <c r="A81" s="237"/>
      <c r="B81" s="269"/>
      <c r="C81" s="237"/>
      <c r="D81" s="104" t="s">
        <v>92</v>
      </c>
      <c r="E81" s="103">
        <f>F81+G81+H81+I81+J81+K81+L81</f>
        <v>0</v>
      </c>
      <c r="F81" s="105">
        <f>F75</f>
        <v>0</v>
      </c>
      <c r="G81" s="105">
        <f t="shared" si="18"/>
        <v>0</v>
      </c>
      <c r="H81" s="105">
        <f t="shared" si="18"/>
        <v>0</v>
      </c>
      <c r="I81" s="105">
        <f t="shared" si="17"/>
        <v>0</v>
      </c>
      <c r="J81" s="105">
        <f t="shared" si="17"/>
        <v>0</v>
      </c>
      <c r="K81" s="105">
        <f t="shared" si="17"/>
        <v>0</v>
      </c>
      <c r="L81" s="105">
        <f t="shared" si="17"/>
        <v>0</v>
      </c>
      <c r="M81" s="241"/>
      <c r="N81" s="249"/>
      <c r="O81" s="249"/>
      <c r="P81" s="249"/>
      <c r="Q81" s="249"/>
      <c r="R81" s="249"/>
      <c r="S81" s="249"/>
      <c r="T81" s="249"/>
      <c r="U81" s="252"/>
    </row>
    <row r="82" spans="1:21" ht="12.75">
      <c r="A82" s="21">
        <v>4</v>
      </c>
      <c r="B82" s="216" t="s">
        <v>36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8"/>
    </row>
    <row r="83" spans="1:21" ht="12.75" customHeight="1">
      <c r="A83" s="293" t="s">
        <v>182</v>
      </c>
      <c r="B83" s="270" t="s">
        <v>163</v>
      </c>
      <c r="C83" s="232" t="s">
        <v>78</v>
      </c>
      <c r="D83" s="22" t="s">
        <v>93</v>
      </c>
      <c r="E83" s="23">
        <f>E85+E86+E87+E88</f>
        <v>3908260</v>
      </c>
      <c r="F83" s="23">
        <f aca="true" t="shared" si="19" ref="F83:L83">F85+F86+F87+F88</f>
        <v>1905052</v>
      </c>
      <c r="G83" s="23">
        <f t="shared" si="19"/>
        <v>2003208</v>
      </c>
      <c r="H83" s="23">
        <f t="shared" si="19"/>
        <v>0</v>
      </c>
      <c r="I83" s="23">
        <f t="shared" si="19"/>
        <v>0</v>
      </c>
      <c r="J83" s="23">
        <f t="shared" si="19"/>
        <v>0</v>
      </c>
      <c r="K83" s="23">
        <f t="shared" si="19"/>
        <v>0</v>
      </c>
      <c r="L83" s="23">
        <f t="shared" si="19"/>
        <v>0</v>
      </c>
      <c r="M83" s="261" t="s">
        <v>79</v>
      </c>
      <c r="N83" s="205">
        <v>1</v>
      </c>
      <c r="O83" s="205">
        <v>1</v>
      </c>
      <c r="P83" s="205">
        <v>1</v>
      </c>
      <c r="Q83" s="205">
        <v>1</v>
      </c>
      <c r="R83" s="205">
        <v>1</v>
      </c>
      <c r="S83" s="205">
        <v>1</v>
      </c>
      <c r="T83" s="205">
        <v>1</v>
      </c>
      <c r="U83" s="208" t="s">
        <v>55</v>
      </c>
    </row>
    <row r="84" spans="1:21" ht="12.75">
      <c r="A84" s="293"/>
      <c r="B84" s="271"/>
      <c r="C84" s="233"/>
      <c r="D84" s="219" t="s">
        <v>113</v>
      </c>
      <c r="E84" s="220"/>
      <c r="F84" s="220"/>
      <c r="G84" s="220"/>
      <c r="H84" s="220"/>
      <c r="I84" s="220"/>
      <c r="J84" s="220"/>
      <c r="K84" s="220"/>
      <c r="L84" s="221"/>
      <c r="M84" s="262"/>
      <c r="N84" s="206"/>
      <c r="O84" s="206"/>
      <c r="P84" s="206"/>
      <c r="Q84" s="206"/>
      <c r="R84" s="206"/>
      <c r="S84" s="206"/>
      <c r="T84" s="206"/>
      <c r="U84" s="209"/>
    </row>
    <row r="85" spans="1:21" ht="12.75">
      <c r="A85" s="293"/>
      <c r="B85" s="271"/>
      <c r="C85" s="233"/>
      <c r="D85" s="22" t="s">
        <v>91</v>
      </c>
      <c r="E85" s="23">
        <f>F85+G85+H85+I85+J85+K85+L85</f>
        <v>3908260</v>
      </c>
      <c r="F85" s="24">
        <v>1905052</v>
      </c>
      <c r="G85" s="24">
        <f>2108640-105432</f>
        <v>2003208</v>
      </c>
      <c r="H85" s="24">
        <v>0</v>
      </c>
      <c r="I85" s="23">
        <v>0</v>
      </c>
      <c r="J85" s="24">
        <v>0</v>
      </c>
      <c r="K85" s="24">
        <v>0</v>
      </c>
      <c r="L85" s="24">
        <v>0</v>
      </c>
      <c r="M85" s="262"/>
      <c r="N85" s="206"/>
      <c r="O85" s="206"/>
      <c r="P85" s="206"/>
      <c r="Q85" s="206"/>
      <c r="R85" s="206"/>
      <c r="S85" s="206"/>
      <c r="T85" s="206"/>
      <c r="U85" s="209"/>
    </row>
    <row r="86" spans="1:21" ht="12.75">
      <c r="A86" s="293"/>
      <c r="B86" s="271"/>
      <c r="C86" s="233"/>
      <c r="D86" s="22" t="s">
        <v>89</v>
      </c>
      <c r="E86" s="23">
        <f>F86+G86+H86+I86+J86+K86+L86</f>
        <v>0</v>
      </c>
      <c r="F86" s="24"/>
      <c r="G86" s="24"/>
      <c r="H86" s="24"/>
      <c r="I86" s="23"/>
      <c r="J86" s="24"/>
      <c r="K86" s="24"/>
      <c r="L86" s="24"/>
      <c r="M86" s="262"/>
      <c r="N86" s="206"/>
      <c r="O86" s="206"/>
      <c r="P86" s="206"/>
      <c r="Q86" s="206"/>
      <c r="R86" s="206"/>
      <c r="S86" s="206"/>
      <c r="T86" s="206"/>
      <c r="U86" s="209"/>
    </row>
    <row r="87" spans="1:21" ht="12.75">
      <c r="A87" s="293"/>
      <c r="B87" s="271"/>
      <c r="C87" s="233"/>
      <c r="D87" s="22" t="s">
        <v>90</v>
      </c>
      <c r="E87" s="23">
        <f>F87+G87+H87+I87+J87+K87+L87</f>
        <v>0</v>
      </c>
      <c r="F87" s="24"/>
      <c r="G87" s="24"/>
      <c r="H87" s="24"/>
      <c r="I87" s="23"/>
      <c r="J87" s="24"/>
      <c r="K87" s="24"/>
      <c r="L87" s="24"/>
      <c r="M87" s="262"/>
      <c r="N87" s="206"/>
      <c r="O87" s="206"/>
      <c r="P87" s="206"/>
      <c r="Q87" s="206"/>
      <c r="R87" s="206"/>
      <c r="S87" s="206"/>
      <c r="T87" s="206"/>
      <c r="U87" s="209"/>
    </row>
    <row r="88" spans="1:21" ht="12.75">
      <c r="A88" s="293"/>
      <c r="B88" s="272"/>
      <c r="C88" s="234"/>
      <c r="D88" s="22" t="s">
        <v>92</v>
      </c>
      <c r="E88" s="23">
        <f>F88+G88+H88+I88+J88+K88+L88</f>
        <v>0</v>
      </c>
      <c r="F88" s="24"/>
      <c r="G88" s="24"/>
      <c r="H88" s="24"/>
      <c r="I88" s="23"/>
      <c r="J88" s="24"/>
      <c r="K88" s="24"/>
      <c r="L88" s="24"/>
      <c r="M88" s="263"/>
      <c r="N88" s="207"/>
      <c r="O88" s="207"/>
      <c r="P88" s="207"/>
      <c r="Q88" s="207"/>
      <c r="R88" s="207"/>
      <c r="S88" s="207"/>
      <c r="T88" s="207"/>
      <c r="U88" s="210"/>
    </row>
    <row r="89" spans="1:21" ht="12.75" customHeight="1">
      <c r="A89" s="293" t="s">
        <v>183</v>
      </c>
      <c r="B89" s="270" t="s">
        <v>7</v>
      </c>
      <c r="C89" s="232" t="s">
        <v>78</v>
      </c>
      <c r="D89" s="22" t="s">
        <v>93</v>
      </c>
      <c r="E89" s="23">
        <f>E91+E92+E93+E94</f>
        <v>3908260</v>
      </c>
      <c r="F89" s="23">
        <f aca="true" t="shared" si="20" ref="F89:L89">F91+F92+F93+F94</f>
        <v>1905052</v>
      </c>
      <c r="G89" s="23">
        <f t="shared" si="20"/>
        <v>2003208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61" t="s">
        <v>41</v>
      </c>
      <c r="N89" s="205">
        <v>1</v>
      </c>
      <c r="O89" s="205">
        <v>1</v>
      </c>
      <c r="P89" s="205">
        <v>1</v>
      </c>
      <c r="Q89" s="205">
        <v>1</v>
      </c>
      <c r="R89" s="205">
        <v>1</v>
      </c>
      <c r="S89" s="205">
        <v>1</v>
      </c>
      <c r="T89" s="205">
        <v>1</v>
      </c>
      <c r="U89" s="208" t="s">
        <v>55</v>
      </c>
    </row>
    <row r="90" spans="1:21" ht="12.75">
      <c r="A90" s="293"/>
      <c r="B90" s="271"/>
      <c r="C90" s="233"/>
      <c r="D90" s="219" t="s">
        <v>113</v>
      </c>
      <c r="E90" s="220"/>
      <c r="F90" s="220"/>
      <c r="G90" s="220"/>
      <c r="H90" s="220"/>
      <c r="I90" s="220"/>
      <c r="J90" s="220"/>
      <c r="K90" s="220"/>
      <c r="L90" s="221"/>
      <c r="M90" s="262"/>
      <c r="N90" s="206"/>
      <c r="O90" s="206"/>
      <c r="P90" s="206"/>
      <c r="Q90" s="206"/>
      <c r="R90" s="206"/>
      <c r="S90" s="206"/>
      <c r="T90" s="206"/>
      <c r="U90" s="209"/>
    </row>
    <row r="91" spans="1:21" ht="12.75">
      <c r="A91" s="293"/>
      <c r="B91" s="271"/>
      <c r="C91" s="233"/>
      <c r="D91" s="22" t="s">
        <v>91</v>
      </c>
      <c r="E91" s="23">
        <f>F91+G91+H91+I91+J91+K91+L91</f>
        <v>3908260</v>
      </c>
      <c r="F91" s="24">
        <v>1905052</v>
      </c>
      <c r="G91" s="24">
        <f>2108640-105432</f>
        <v>2003208</v>
      </c>
      <c r="H91" s="24">
        <v>0</v>
      </c>
      <c r="I91" s="23">
        <v>0</v>
      </c>
      <c r="J91" s="24">
        <v>0</v>
      </c>
      <c r="K91" s="24">
        <v>0</v>
      </c>
      <c r="L91" s="24">
        <v>0</v>
      </c>
      <c r="M91" s="262"/>
      <c r="N91" s="206"/>
      <c r="O91" s="206"/>
      <c r="P91" s="206"/>
      <c r="Q91" s="206"/>
      <c r="R91" s="206"/>
      <c r="S91" s="206"/>
      <c r="T91" s="206"/>
      <c r="U91" s="209"/>
    </row>
    <row r="92" spans="1:21" ht="12.75">
      <c r="A92" s="293"/>
      <c r="B92" s="271"/>
      <c r="C92" s="233"/>
      <c r="D92" s="22" t="s">
        <v>89</v>
      </c>
      <c r="E92" s="23">
        <f>F92+G92+H92+I92+J92+K92+L92</f>
        <v>0</v>
      </c>
      <c r="F92" s="24"/>
      <c r="G92" s="24"/>
      <c r="H92" s="24"/>
      <c r="I92" s="23"/>
      <c r="J92" s="24"/>
      <c r="K92" s="24"/>
      <c r="L92" s="24"/>
      <c r="M92" s="262"/>
      <c r="N92" s="206"/>
      <c r="O92" s="206"/>
      <c r="P92" s="206"/>
      <c r="Q92" s="206"/>
      <c r="R92" s="206"/>
      <c r="S92" s="206"/>
      <c r="T92" s="206"/>
      <c r="U92" s="209"/>
    </row>
    <row r="93" spans="1:21" ht="12.75">
      <c r="A93" s="293"/>
      <c r="B93" s="271"/>
      <c r="C93" s="233"/>
      <c r="D93" s="22" t="s">
        <v>90</v>
      </c>
      <c r="E93" s="23">
        <f>F93+G93+H93+I93+J93+K93+L93</f>
        <v>0</v>
      </c>
      <c r="F93" s="24"/>
      <c r="G93" s="24"/>
      <c r="H93" s="24"/>
      <c r="I93" s="23"/>
      <c r="J93" s="24"/>
      <c r="K93" s="24"/>
      <c r="L93" s="24"/>
      <c r="M93" s="262"/>
      <c r="N93" s="206"/>
      <c r="O93" s="206"/>
      <c r="P93" s="206"/>
      <c r="Q93" s="206"/>
      <c r="R93" s="206"/>
      <c r="S93" s="206"/>
      <c r="T93" s="206"/>
      <c r="U93" s="209"/>
    </row>
    <row r="94" spans="1:21" ht="12.75">
      <c r="A94" s="293"/>
      <c r="B94" s="272"/>
      <c r="C94" s="234"/>
      <c r="D94" s="22" t="s">
        <v>92</v>
      </c>
      <c r="E94" s="23">
        <f>F94+G94+H94+I94+J94+K94+L94</f>
        <v>0</v>
      </c>
      <c r="F94" s="24"/>
      <c r="G94" s="24"/>
      <c r="H94" s="24"/>
      <c r="I94" s="23"/>
      <c r="J94" s="24"/>
      <c r="K94" s="24"/>
      <c r="L94" s="24"/>
      <c r="M94" s="263"/>
      <c r="N94" s="207"/>
      <c r="O94" s="207"/>
      <c r="P94" s="207"/>
      <c r="Q94" s="207"/>
      <c r="R94" s="207"/>
      <c r="S94" s="207"/>
      <c r="T94" s="207"/>
      <c r="U94" s="210"/>
    </row>
    <row r="95" spans="1:21" ht="12.75" customHeight="1">
      <c r="A95" s="293" t="s">
        <v>184</v>
      </c>
      <c r="B95" s="270" t="s">
        <v>164</v>
      </c>
      <c r="C95" s="232" t="s">
        <v>78</v>
      </c>
      <c r="D95" s="22" t="s">
        <v>93</v>
      </c>
      <c r="E95" s="23">
        <f>E97+E98+E99+E100</f>
        <v>34542425.870000005</v>
      </c>
      <c r="F95" s="23">
        <f aca="true" t="shared" si="21" ref="F95:L95">F97+F98+F99+F100</f>
        <v>1905052</v>
      </c>
      <c r="G95" s="23">
        <f t="shared" si="21"/>
        <v>2366532.1</v>
      </c>
      <c r="H95" s="23">
        <f t="shared" si="21"/>
        <v>4606452.909999999</v>
      </c>
      <c r="I95" s="23">
        <f t="shared" si="21"/>
        <v>6074534.600000001</v>
      </c>
      <c r="J95" s="23">
        <f t="shared" si="21"/>
        <v>6538875.42</v>
      </c>
      <c r="K95" s="23">
        <f t="shared" si="21"/>
        <v>6525489.42</v>
      </c>
      <c r="L95" s="23">
        <f t="shared" si="21"/>
        <v>6525489.42</v>
      </c>
      <c r="M95" s="261" t="s">
        <v>42</v>
      </c>
      <c r="N95" s="205">
        <v>1</v>
      </c>
      <c r="O95" s="205">
        <v>1</v>
      </c>
      <c r="P95" s="205">
        <v>1</v>
      </c>
      <c r="Q95" s="205">
        <v>1</v>
      </c>
      <c r="R95" s="205">
        <v>1</v>
      </c>
      <c r="S95" s="205">
        <v>1</v>
      </c>
      <c r="T95" s="205">
        <v>1</v>
      </c>
      <c r="U95" s="208" t="s">
        <v>55</v>
      </c>
    </row>
    <row r="96" spans="1:21" ht="12.75">
      <c r="A96" s="293"/>
      <c r="B96" s="271"/>
      <c r="C96" s="233"/>
      <c r="D96" s="219" t="s">
        <v>113</v>
      </c>
      <c r="E96" s="220"/>
      <c r="F96" s="220"/>
      <c r="G96" s="220"/>
      <c r="H96" s="220"/>
      <c r="I96" s="220"/>
      <c r="J96" s="220"/>
      <c r="K96" s="220"/>
      <c r="L96" s="221"/>
      <c r="M96" s="262"/>
      <c r="N96" s="206"/>
      <c r="O96" s="206"/>
      <c r="P96" s="206"/>
      <c r="Q96" s="206"/>
      <c r="R96" s="206"/>
      <c r="S96" s="206"/>
      <c r="T96" s="206"/>
      <c r="U96" s="209"/>
    </row>
    <row r="97" spans="1:21" ht="12.75">
      <c r="A97" s="293"/>
      <c r="B97" s="271"/>
      <c r="C97" s="233"/>
      <c r="D97" s="22" t="s">
        <v>91</v>
      </c>
      <c r="E97" s="23">
        <f>F97+G97+H97+I97+J97+K97+L97</f>
        <v>34542425.870000005</v>
      </c>
      <c r="F97" s="24">
        <v>1905052</v>
      </c>
      <c r="G97" s="24">
        <f>2108640-105432+363324.1</f>
        <v>2366532.1</v>
      </c>
      <c r="H97" s="24">
        <f>3901605.13+87764+553547.23+73076.55+122.5-9662.5</f>
        <v>4606452.909999999</v>
      </c>
      <c r="I97" s="23">
        <f>4486326.66+1354870.65+61382+171955.29</f>
        <v>6074534.600000001</v>
      </c>
      <c r="J97" s="24">
        <f>4935080.97+1490394.45+900+112500</f>
        <v>6538875.42</v>
      </c>
      <c r="K97" s="24">
        <f>4935080.97+1490394.45+3150+96864</f>
        <v>6525489.42</v>
      </c>
      <c r="L97" s="24">
        <f>4935080.97+1490394.45+3150+96864</f>
        <v>6525489.42</v>
      </c>
      <c r="M97" s="262"/>
      <c r="N97" s="206"/>
      <c r="O97" s="206"/>
      <c r="P97" s="206"/>
      <c r="Q97" s="206"/>
      <c r="R97" s="206"/>
      <c r="S97" s="206"/>
      <c r="T97" s="206"/>
      <c r="U97" s="209"/>
    </row>
    <row r="98" spans="1:21" ht="12.75">
      <c r="A98" s="293"/>
      <c r="B98" s="271"/>
      <c r="C98" s="233"/>
      <c r="D98" s="22" t="s">
        <v>89</v>
      </c>
      <c r="E98" s="23">
        <f>F98+G98+H98+I98+J98+K98+L98</f>
        <v>0</v>
      </c>
      <c r="F98" s="24"/>
      <c r="G98" s="24"/>
      <c r="H98" s="24"/>
      <c r="I98" s="23"/>
      <c r="J98" s="24"/>
      <c r="K98" s="24"/>
      <c r="L98" s="24"/>
      <c r="M98" s="262"/>
      <c r="N98" s="206"/>
      <c r="O98" s="206"/>
      <c r="P98" s="206"/>
      <c r="Q98" s="206"/>
      <c r="R98" s="206"/>
      <c r="S98" s="206"/>
      <c r="T98" s="206"/>
      <c r="U98" s="209"/>
    </row>
    <row r="99" spans="1:21" ht="12.75">
      <c r="A99" s="293"/>
      <c r="B99" s="271"/>
      <c r="C99" s="233"/>
      <c r="D99" s="22" t="s">
        <v>90</v>
      </c>
      <c r="E99" s="23">
        <f>F99+G99+H99+I99+J99+K99+L99</f>
        <v>0</v>
      </c>
      <c r="F99" s="24"/>
      <c r="G99" s="24"/>
      <c r="H99" s="24"/>
      <c r="I99" s="23"/>
      <c r="J99" s="24"/>
      <c r="K99" s="24"/>
      <c r="L99" s="24"/>
      <c r="M99" s="262"/>
      <c r="N99" s="206"/>
      <c r="O99" s="206"/>
      <c r="P99" s="206"/>
      <c r="Q99" s="206"/>
      <c r="R99" s="206"/>
      <c r="S99" s="206"/>
      <c r="T99" s="206"/>
      <c r="U99" s="209"/>
    </row>
    <row r="100" spans="1:21" ht="12.75">
      <c r="A100" s="293"/>
      <c r="B100" s="272"/>
      <c r="C100" s="234"/>
      <c r="D100" s="22" t="s">
        <v>92</v>
      </c>
      <c r="E100" s="23">
        <f>F100+G100+H100+I100+J100+K100+L100</f>
        <v>0</v>
      </c>
      <c r="F100" s="24"/>
      <c r="G100" s="24"/>
      <c r="H100" s="24"/>
      <c r="I100" s="23"/>
      <c r="J100" s="24"/>
      <c r="K100" s="24"/>
      <c r="L100" s="24"/>
      <c r="M100" s="263"/>
      <c r="N100" s="207"/>
      <c r="O100" s="207"/>
      <c r="P100" s="207"/>
      <c r="Q100" s="207"/>
      <c r="R100" s="207"/>
      <c r="S100" s="207"/>
      <c r="T100" s="207"/>
      <c r="U100" s="210"/>
    </row>
    <row r="101" spans="1:21" ht="12.75" customHeight="1">
      <c r="A101" s="293" t="s">
        <v>185</v>
      </c>
      <c r="B101" s="270" t="s">
        <v>8</v>
      </c>
      <c r="C101" s="232" t="s">
        <v>78</v>
      </c>
      <c r="D101" s="22" t="s">
        <v>93</v>
      </c>
      <c r="E101" s="23">
        <f>E103+E104+E105+E106</f>
        <v>26058067.270000003</v>
      </c>
      <c r="F101" s="23">
        <f aca="true" t="shared" si="22" ref="F101:L101">F103+F104+F105+F106</f>
        <v>1951881</v>
      </c>
      <c r="G101" s="23">
        <f t="shared" si="22"/>
        <v>2961790.7699999996</v>
      </c>
      <c r="H101" s="23">
        <f t="shared" si="22"/>
        <v>6790822.280000002</v>
      </c>
      <c r="I101" s="23">
        <f t="shared" si="22"/>
        <v>7019942.2299999995</v>
      </c>
      <c r="J101" s="23">
        <f t="shared" si="22"/>
        <v>7333630.99</v>
      </c>
      <c r="K101" s="23">
        <f t="shared" si="22"/>
        <v>0</v>
      </c>
      <c r="L101" s="23">
        <f t="shared" si="22"/>
        <v>0</v>
      </c>
      <c r="M101" s="261" t="s">
        <v>80</v>
      </c>
      <c r="N101" s="205">
        <v>1</v>
      </c>
      <c r="O101" s="205">
        <v>1</v>
      </c>
      <c r="P101" s="205">
        <v>1</v>
      </c>
      <c r="Q101" s="205">
        <v>1</v>
      </c>
      <c r="R101" s="205">
        <v>1</v>
      </c>
      <c r="S101" s="205">
        <v>1</v>
      </c>
      <c r="T101" s="205">
        <v>1</v>
      </c>
      <c r="U101" s="208" t="s">
        <v>55</v>
      </c>
    </row>
    <row r="102" spans="1:21" ht="12.75">
      <c r="A102" s="293"/>
      <c r="B102" s="271"/>
      <c r="C102" s="233"/>
      <c r="D102" s="219" t="s">
        <v>113</v>
      </c>
      <c r="E102" s="220"/>
      <c r="F102" s="220"/>
      <c r="G102" s="220"/>
      <c r="H102" s="220"/>
      <c r="I102" s="220"/>
      <c r="J102" s="220"/>
      <c r="K102" s="220"/>
      <c r="L102" s="221"/>
      <c r="M102" s="262"/>
      <c r="N102" s="206"/>
      <c r="O102" s="206"/>
      <c r="P102" s="206"/>
      <c r="Q102" s="206"/>
      <c r="R102" s="206"/>
      <c r="S102" s="206"/>
      <c r="T102" s="206"/>
      <c r="U102" s="209"/>
    </row>
    <row r="103" spans="1:21" ht="12.75">
      <c r="A103" s="293"/>
      <c r="B103" s="271"/>
      <c r="C103" s="233"/>
      <c r="D103" s="22" t="s">
        <v>91</v>
      </c>
      <c r="E103" s="23">
        <f>F103+G103+H103+I103+J103+K103+L103</f>
        <v>26058067.270000003</v>
      </c>
      <c r="F103" s="24">
        <v>1951881</v>
      </c>
      <c r="G103" s="24">
        <f>2048080-102404+821842.97+194271.8</f>
        <v>2961790.7699999996</v>
      </c>
      <c r="H103" s="24">
        <f>9947626.98+1800+103200-1850787.39-494386.39-10663.8-792668.31-113298.81</f>
        <v>6790822.280000002</v>
      </c>
      <c r="I103" s="23">
        <f>5385739.84+1626493.43+2250+61382-50500.32-5422.72</f>
        <v>7019942.2299999995</v>
      </c>
      <c r="J103" s="24">
        <f>5517386.72+1666250.79+149993.48</f>
        <v>7333630.99</v>
      </c>
      <c r="K103" s="24">
        <v>0</v>
      </c>
      <c r="L103" s="24">
        <v>0</v>
      </c>
      <c r="M103" s="262"/>
      <c r="N103" s="206"/>
      <c r="O103" s="206"/>
      <c r="P103" s="206"/>
      <c r="Q103" s="206"/>
      <c r="R103" s="206"/>
      <c r="S103" s="206"/>
      <c r="T103" s="206"/>
      <c r="U103" s="209"/>
    </row>
    <row r="104" spans="1:21" ht="12.75">
      <c r="A104" s="293"/>
      <c r="B104" s="271"/>
      <c r="C104" s="233"/>
      <c r="D104" s="22" t="s">
        <v>89</v>
      </c>
      <c r="E104" s="23">
        <f>F104+G104+H104+I104+J104+K104+L104</f>
        <v>0</v>
      </c>
      <c r="F104" s="24"/>
      <c r="G104" s="24"/>
      <c r="H104" s="24"/>
      <c r="I104" s="23"/>
      <c r="J104" s="24"/>
      <c r="K104" s="24"/>
      <c r="L104" s="24"/>
      <c r="M104" s="262"/>
      <c r="N104" s="206"/>
      <c r="O104" s="206"/>
      <c r="P104" s="206"/>
      <c r="Q104" s="206"/>
      <c r="R104" s="206"/>
      <c r="S104" s="206"/>
      <c r="T104" s="206"/>
      <c r="U104" s="209"/>
    </row>
    <row r="105" spans="1:21" ht="12.75">
      <c r="A105" s="293"/>
      <c r="B105" s="271"/>
      <c r="C105" s="233"/>
      <c r="D105" s="22" t="s">
        <v>90</v>
      </c>
      <c r="E105" s="23">
        <f>F105+G105+H105+I105+J105+K105+L105</f>
        <v>0</v>
      </c>
      <c r="F105" s="24"/>
      <c r="G105" s="24"/>
      <c r="H105" s="24"/>
      <c r="I105" s="23"/>
      <c r="J105" s="24"/>
      <c r="K105" s="24"/>
      <c r="L105" s="24"/>
      <c r="M105" s="262"/>
      <c r="N105" s="206"/>
      <c r="O105" s="206"/>
      <c r="P105" s="206"/>
      <c r="Q105" s="206"/>
      <c r="R105" s="206"/>
      <c r="S105" s="206"/>
      <c r="T105" s="206"/>
      <c r="U105" s="209"/>
    </row>
    <row r="106" spans="1:21" ht="12.75">
      <c r="A106" s="293"/>
      <c r="B106" s="272"/>
      <c r="C106" s="234"/>
      <c r="D106" s="22" t="s">
        <v>92</v>
      </c>
      <c r="E106" s="23">
        <f>F106+G106+H106+I106+J106+K106+L106</f>
        <v>0</v>
      </c>
      <c r="F106" s="24"/>
      <c r="G106" s="24"/>
      <c r="H106" s="24"/>
      <c r="I106" s="23"/>
      <c r="J106" s="24"/>
      <c r="K106" s="24"/>
      <c r="L106" s="24"/>
      <c r="M106" s="263"/>
      <c r="N106" s="207"/>
      <c r="O106" s="207"/>
      <c r="P106" s="207"/>
      <c r="Q106" s="207"/>
      <c r="R106" s="207"/>
      <c r="S106" s="207"/>
      <c r="T106" s="207"/>
      <c r="U106" s="210"/>
    </row>
    <row r="107" spans="1:21" ht="13.5">
      <c r="A107" s="237"/>
      <c r="B107" s="267" t="s">
        <v>166</v>
      </c>
      <c r="C107" s="237"/>
      <c r="D107" s="102" t="s">
        <v>93</v>
      </c>
      <c r="E107" s="103">
        <f>E109+E110+E111+E112</f>
        <v>68417013.14</v>
      </c>
      <c r="F107" s="103">
        <f>F109+F110+F111+F112</f>
        <v>7667037</v>
      </c>
      <c r="G107" s="103">
        <f aca="true" t="shared" si="23" ref="G107:L107">G109+G110+G111+G112</f>
        <v>9334738.87</v>
      </c>
      <c r="H107" s="103">
        <f t="shared" si="23"/>
        <v>11397275.190000001</v>
      </c>
      <c r="I107" s="103">
        <f t="shared" si="23"/>
        <v>13094476.83</v>
      </c>
      <c r="J107" s="103">
        <f t="shared" si="23"/>
        <v>13872506.41</v>
      </c>
      <c r="K107" s="103">
        <f t="shared" si="23"/>
        <v>6525489.42</v>
      </c>
      <c r="L107" s="103">
        <f t="shared" si="23"/>
        <v>6525489.42</v>
      </c>
      <c r="M107" s="239"/>
      <c r="N107" s="247"/>
      <c r="O107" s="247"/>
      <c r="P107" s="247"/>
      <c r="Q107" s="247"/>
      <c r="R107" s="247"/>
      <c r="S107" s="247"/>
      <c r="T107" s="247"/>
      <c r="U107" s="250"/>
    </row>
    <row r="108" spans="1:21" ht="12.75">
      <c r="A108" s="237"/>
      <c r="B108" s="268"/>
      <c r="C108" s="237"/>
      <c r="D108" s="242" t="s">
        <v>113</v>
      </c>
      <c r="E108" s="243"/>
      <c r="F108" s="243"/>
      <c r="G108" s="243"/>
      <c r="H108" s="243"/>
      <c r="I108" s="243"/>
      <c r="J108" s="243"/>
      <c r="K108" s="243"/>
      <c r="L108" s="244"/>
      <c r="M108" s="240"/>
      <c r="N108" s="248"/>
      <c r="O108" s="248"/>
      <c r="P108" s="248"/>
      <c r="Q108" s="248"/>
      <c r="R108" s="248"/>
      <c r="S108" s="248"/>
      <c r="T108" s="248"/>
      <c r="U108" s="251"/>
    </row>
    <row r="109" spans="1:21" ht="13.5">
      <c r="A109" s="237"/>
      <c r="B109" s="268"/>
      <c r="C109" s="237"/>
      <c r="D109" s="104" t="s">
        <v>91</v>
      </c>
      <c r="E109" s="103">
        <f>SUM(F109:L109)</f>
        <v>68417013.14</v>
      </c>
      <c r="F109" s="105">
        <f>F85+F91+F97+F103</f>
        <v>7667037</v>
      </c>
      <c r="G109" s="105">
        <f aca="true" t="shared" si="24" ref="G109:L112">G85+G91+G97+G103</f>
        <v>9334738.87</v>
      </c>
      <c r="H109" s="105">
        <f t="shared" si="24"/>
        <v>11397275.190000001</v>
      </c>
      <c r="I109" s="105">
        <f t="shared" si="24"/>
        <v>13094476.83</v>
      </c>
      <c r="J109" s="105">
        <f t="shared" si="24"/>
        <v>13872506.41</v>
      </c>
      <c r="K109" s="105">
        <f t="shared" si="24"/>
        <v>6525489.42</v>
      </c>
      <c r="L109" s="105">
        <f t="shared" si="24"/>
        <v>6525489.42</v>
      </c>
      <c r="M109" s="240"/>
      <c r="N109" s="248"/>
      <c r="O109" s="248"/>
      <c r="P109" s="248"/>
      <c r="Q109" s="248"/>
      <c r="R109" s="248"/>
      <c r="S109" s="248"/>
      <c r="T109" s="248"/>
      <c r="U109" s="251"/>
    </row>
    <row r="110" spans="1:21" ht="13.5">
      <c r="A110" s="237"/>
      <c r="B110" s="268"/>
      <c r="C110" s="237"/>
      <c r="D110" s="104" t="s">
        <v>89</v>
      </c>
      <c r="E110" s="103">
        <f>SUM(F110:L110)</f>
        <v>0</v>
      </c>
      <c r="F110" s="105">
        <f>F86+F92+F98+F104</f>
        <v>0</v>
      </c>
      <c r="G110" s="105">
        <f aca="true" t="shared" si="25" ref="G110:H112">G86+G92+G98+G104</f>
        <v>0</v>
      </c>
      <c r="H110" s="105">
        <f t="shared" si="25"/>
        <v>0</v>
      </c>
      <c r="I110" s="105">
        <f t="shared" si="24"/>
        <v>0</v>
      </c>
      <c r="J110" s="105">
        <f t="shared" si="24"/>
        <v>0</v>
      </c>
      <c r="K110" s="105">
        <f t="shared" si="24"/>
        <v>0</v>
      </c>
      <c r="L110" s="105">
        <f t="shared" si="24"/>
        <v>0</v>
      </c>
      <c r="M110" s="240"/>
      <c r="N110" s="248"/>
      <c r="O110" s="248"/>
      <c r="P110" s="248"/>
      <c r="Q110" s="248"/>
      <c r="R110" s="248"/>
      <c r="S110" s="248"/>
      <c r="T110" s="248"/>
      <c r="U110" s="251"/>
    </row>
    <row r="111" spans="1:21" ht="13.5">
      <c r="A111" s="237"/>
      <c r="B111" s="268"/>
      <c r="C111" s="237"/>
      <c r="D111" s="104" t="s">
        <v>90</v>
      </c>
      <c r="E111" s="103">
        <f>SUM(F111:L111)</f>
        <v>0</v>
      </c>
      <c r="F111" s="105">
        <f>F87+F93+F99+F105</f>
        <v>0</v>
      </c>
      <c r="G111" s="105">
        <f t="shared" si="25"/>
        <v>0</v>
      </c>
      <c r="H111" s="105">
        <f t="shared" si="25"/>
        <v>0</v>
      </c>
      <c r="I111" s="105">
        <f t="shared" si="24"/>
        <v>0</v>
      </c>
      <c r="J111" s="105">
        <f t="shared" si="24"/>
        <v>0</v>
      </c>
      <c r="K111" s="105">
        <f t="shared" si="24"/>
        <v>0</v>
      </c>
      <c r="L111" s="105">
        <f t="shared" si="24"/>
        <v>0</v>
      </c>
      <c r="M111" s="240"/>
      <c r="N111" s="248"/>
      <c r="O111" s="248"/>
      <c r="P111" s="248"/>
      <c r="Q111" s="248"/>
      <c r="R111" s="248"/>
      <c r="S111" s="248"/>
      <c r="T111" s="248"/>
      <c r="U111" s="251"/>
    </row>
    <row r="112" spans="1:21" ht="13.5">
      <c r="A112" s="237"/>
      <c r="B112" s="269"/>
      <c r="C112" s="237"/>
      <c r="D112" s="104" t="s">
        <v>92</v>
      </c>
      <c r="E112" s="103">
        <f>SUM(F112:L112)</f>
        <v>0</v>
      </c>
      <c r="F112" s="105">
        <f>F88+F94+F100+F106</f>
        <v>0</v>
      </c>
      <c r="G112" s="105">
        <f t="shared" si="25"/>
        <v>0</v>
      </c>
      <c r="H112" s="105">
        <f t="shared" si="25"/>
        <v>0</v>
      </c>
      <c r="I112" s="105">
        <f t="shared" si="24"/>
        <v>0</v>
      </c>
      <c r="J112" s="105">
        <f t="shared" si="24"/>
        <v>0</v>
      </c>
      <c r="K112" s="105">
        <f t="shared" si="24"/>
        <v>0</v>
      </c>
      <c r="L112" s="105">
        <f t="shared" si="24"/>
        <v>0</v>
      </c>
      <c r="M112" s="241"/>
      <c r="N112" s="249"/>
      <c r="O112" s="249"/>
      <c r="P112" s="249"/>
      <c r="Q112" s="249"/>
      <c r="R112" s="249"/>
      <c r="S112" s="249"/>
      <c r="T112" s="249"/>
      <c r="U112" s="252"/>
    </row>
    <row r="113" spans="1:21" ht="13.5">
      <c r="A113" s="237"/>
      <c r="B113" s="267" t="s">
        <v>81</v>
      </c>
      <c r="C113" s="237"/>
      <c r="D113" s="102" t="s">
        <v>93</v>
      </c>
      <c r="E113" s="103">
        <f aca="true" t="shared" si="26" ref="E113:L113">E115+E116+E117+E118</f>
        <v>376050937.57</v>
      </c>
      <c r="F113" s="103">
        <f t="shared" si="26"/>
        <v>43291513</v>
      </c>
      <c r="G113" s="103">
        <f t="shared" si="26"/>
        <v>49712022.47</v>
      </c>
      <c r="H113" s="103">
        <f t="shared" si="26"/>
        <v>51860010.43</v>
      </c>
      <c r="I113" s="103">
        <f t="shared" si="26"/>
        <v>55807718.66</v>
      </c>
      <c r="J113" s="103">
        <f t="shared" si="26"/>
        <v>61871502.33</v>
      </c>
      <c r="K113" s="103">
        <f t="shared" si="26"/>
        <v>55837385.34</v>
      </c>
      <c r="L113" s="103">
        <f t="shared" si="26"/>
        <v>57670785.34</v>
      </c>
      <c r="M113" s="239"/>
      <c r="N113" s="247"/>
      <c r="O113" s="247"/>
      <c r="P113" s="247"/>
      <c r="Q113" s="247"/>
      <c r="R113" s="247"/>
      <c r="S113" s="247"/>
      <c r="T113" s="247"/>
      <c r="U113" s="250"/>
    </row>
    <row r="114" spans="1:21" ht="12.75">
      <c r="A114" s="237"/>
      <c r="B114" s="268"/>
      <c r="C114" s="237"/>
      <c r="D114" s="242" t="s">
        <v>113</v>
      </c>
      <c r="E114" s="243"/>
      <c r="F114" s="243"/>
      <c r="G114" s="243"/>
      <c r="H114" s="243"/>
      <c r="I114" s="243"/>
      <c r="J114" s="243"/>
      <c r="K114" s="243"/>
      <c r="L114" s="244"/>
      <c r="M114" s="240"/>
      <c r="N114" s="248"/>
      <c r="O114" s="248"/>
      <c r="P114" s="248"/>
      <c r="Q114" s="248"/>
      <c r="R114" s="248"/>
      <c r="S114" s="248"/>
      <c r="T114" s="248"/>
      <c r="U114" s="251"/>
    </row>
    <row r="115" spans="1:21" ht="13.5">
      <c r="A115" s="237"/>
      <c r="B115" s="268"/>
      <c r="C115" s="237"/>
      <c r="D115" s="104" t="s">
        <v>91</v>
      </c>
      <c r="E115" s="103">
        <f>SUM(F115:L115)</f>
        <v>97643037.57000001</v>
      </c>
      <c r="F115" s="105">
        <f aca="true" t="shared" si="27" ref="F115:L118">F22+F65+F78+F109</f>
        <v>12523313</v>
      </c>
      <c r="G115" s="105">
        <f t="shared" si="27"/>
        <v>14817822.469999999</v>
      </c>
      <c r="H115" s="105">
        <f t="shared" si="27"/>
        <v>15255210.430000002</v>
      </c>
      <c r="I115" s="105">
        <f t="shared" si="27"/>
        <v>16476318.66</v>
      </c>
      <c r="J115" s="105">
        <f t="shared" si="27"/>
        <v>17759802.33</v>
      </c>
      <c r="K115" s="105">
        <f t="shared" si="27"/>
        <v>10405285.34</v>
      </c>
      <c r="L115" s="105">
        <f t="shared" si="27"/>
        <v>10405285.34</v>
      </c>
      <c r="M115" s="240"/>
      <c r="N115" s="248"/>
      <c r="O115" s="248"/>
      <c r="P115" s="248"/>
      <c r="Q115" s="248"/>
      <c r="R115" s="248"/>
      <c r="S115" s="248"/>
      <c r="T115" s="248"/>
      <c r="U115" s="251"/>
    </row>
    <row r="116" spans="1:21" ht="13.5">
      <c r="A116" s="237"/>
      <c r="B116" s="268"/>
      <c r="C116" s="237"/>
      <c r="D116" s="104" t="s">
        <v>89</v>
      </c>
      <c r="E116" s="103">
        <f>SUM(F116:L116)</f>
        <v>278407900</v>
      </c>
      <c r="F116" s="105">
        <f t="shared" si="27"/>
        <v>30768200</v>
      </c>
      <c r="G116" s="105">
        <f t="shared" si="27"/>
        <v>34894200</v>
      </c>
      <c r="H116" s="105">
        <f t="shared" si="27"/>
        <v>36604800</v>
      </c>
      <c r="I116" s="105">
        <f t="shared" si="27"/>
        <v>39331400</v>
      </c>
      <c r="J116" s="105">
        <f t="shared" si="27"/>
        <v>44111700</v>
      </c>
      <c r="K116" s="105">
        <f t="shared" si="27"/>
        <v>45432100</v>
      </c>
      <c r="L116" s="105">
        <f t="shared" si="27"/>
        <v>47265500</v>
      </c>
      <c r="M116" s="240"/>
      <c r="N116" s="248"/>
      <c r="O116" s="248"/>
      <c r="P116" s="248"/>
      <c r="Q116" s="248"/>
      <c r="R116" s="248"/>
      <c r="S116" s="248"/>
      <c r="T116" s="248"/>
      <c r="U116" s="251"/>
    </row>
    <row r="117" spans="1:21" ht="13.5">
      <c r="A117" s="237"/>
      <c r="B117" s="268"/>
      <c r="C117" s="237"/>
      <c r="D117" s="104" t="s">
        <v>90</v>
      </c>
      <c r="E117" s="103">
        <f>SUM(F117:L117)</f>
        <v>0</v>
      </c>
      <c r="F117" s="105">
        <f t="shared" si="27"/>
        <v>0</v>
      </c>
      <c r="G117" s="105">
        <f t="shared" si="27"/>
        <v>0</v>
      </c>
      <c r="H117" s="105">
        <f t="shared" si="27"/>
        <v>0</v>
      </c>
      <c r="I117" s="105">
        <f t="shared" si="27"/>
        <v>0</v>
      </c>
      <c r="J117" s="105">
        <f t="shared" si="27"/>
        <v>0</v>
      </c>
      <c r="K117" s="105">
        <f t="shared" si="27"/>
        <v>0</v>
      </c>
      <c r="L117" s="105">
        <f t="shared" si="27"/>
        <v>0</v>
      </c>
      <c r="M117" s="240"/>
      <c r="N117" s="248"/>
      <c r="O117" s="248"/>
      <c r="P117" s="248"/>
      <c r="Q117" s="248"/>
      <c r="R117" s="248"/>
      <c r="S117" s="248"/>
      <c r="T117" s="248"/>
      <c r="U117" s="251"/>
    </row>
    <row r="118" spans="1:21" ht="13.5">
      <c r="A118" s="237"/>
      <c r="B118" s="269"/>
      <c r="C118" s="237"/>
      <c r="D118" s="104" t="s">
        <v>92</v>
      </c>
      <c r="E118" s="103">
        <f>SUM(F118:L118)</f>
        <v>0</v>
      </c>
      <c r="F118" s="105">
        <f t="shared" si="27"/>
        <v>0</v>
      </c>
      <c r="G118" s="105">
        <f t="shared" si="27"/>
        <v>0</v>
      </c>
      <c r="H118" s="105">
        <f t="shared" si="27"/>
        <v>0</v>
      </c>
      <c r="I118" s="105">
        <f t="shared" si="27"/>
        <v>0</v>
      </c>
      <c r="J118" s="105">
        <f t="shared" si="27"/>
        <v>0</v>
      </c>
      <c r="K118" s="105">
        <f t="shared" si="27"/>
        <v>0</v>
      </c>
      <c r="L118" s="105">
        <f t="shared" si="27"/>
        <v>0</v>
      </c>
      <c r="M118" s="241"/>
      <c r="N118" s="249"/>
      <c r="O118" s="249"/>
      <c r="P118" s="249"/>
      <c r="Q118" s="249"/>
      <c r="R118" s="249"/>
      <c r="S118" s="249"/>
      <c r="T118" s="249"/>
      <c r="U118" s="252"/>
    </row>
    <row r="120" spans="6:9" ht="12.75">
      <c r="F120" s="25"/>
      <c r="G120" s="25"/>
      <c r="H120" s="26"/>
      <c r="I120" s="173"/>
    </row>
    <row r="121" spans="5:9" ht="12.75">
      <c r="E121" s="49"/>
      <c r="F121" s="25"/>
      <c r="G121" s="50"/>
      <c r="H121" s="26"/>
      <c r="I121" s="173"/>
    </row>
    <row r="122" spans="5:9" ht="12.75">
      <c r="E122" s="27"/>
      <c r="F122" s="25"/>
      <c r="G122" s="25"/>
      <c r="H122" s="26"/>
      <c r="I122" s="173"/>
    </row>
    <row r="123" spans="5:9" ht="12.75">
      <c r="E123" s="27"/>
      <c r="F123" s="25"/>
      <c r="G123" s="25"/>
      <c r="H123" s="26"/>
      <c r="I123" s="173"/>
    </row>
    <row r="124" spans="6:8" ht="12.75">
      <c r="F124" s="25"/>
      <c r="G124" s="25"/>
      <c r="H124" s="26"/>
    </row>
    <row r="125" spans="6:7" ht="12.75">
      <c r="F125" s="25"/>
      <c r="G125" s="25">
        <f>+G121-G123</f>
        <v>0</v>
      </c>
    </row>
    <row r="126" spans="6:7" ht="12.75">
      <c r="F126" s="25"/>
      <c r="G126" s="25"/>
    </row>
    <row r="127" spans="6:7" ht="12.75">
      <c r="F127" s="25"/>
      <c r="G127" s="25"/>
    </row>
    <row r="128" spans="6:7" ht="12.75">
      <c r="F128" s="25"/>
      <c r="G128" s="25"/>
    </row>
  </sheetData>
  <sheetProtection/>
  <mergeCells count="248">
    <mergeCell ref="R20:R25"/>
    <mergeCell ref="S20:S25"/>
    <mergeCell ref="T20:T25"/>
    <mergeCell ref="R76:R81"/>
    <mergeCell ref="S76:S81"/>
    <mergeCell ref="T76:T81"/>
    <mergeCell ref="S70:S75"/>
    <mergeCell ref="T70:T75"/>
    <mergeCell ref="B69:U69"/>
    <mergeCell ref="P70:P75"/>
    <mergeCell ref="U76:U81"/>
    <mergeCell ref="D77:L77"/>
    <mergeCell ref="U57:U62"/>
    <mergeCell ref="M57:M62"/>
    <mergeCell ref="N57:N62"/>
    <mergeCell ref="O57:O62"/>
    <mergeCell ref="T57:T62"/>
    <mergeCell ref="D58:L58"/>
    <mergeCell ref="O76:O81"/>
    <mergeCell ref="P76:P81"/>
    <mergeCell ref="C57:C62"/>
    <mergeCell ref="R63:R68"/>
    <mergeCell ref="S63:S68"/>
    <mergeCell ref="Q57:Q62"/>
    <mergeCell ref="R57:R62"/>
    <mergeCell ref="S57:S62"/>
    <mergeCell ref="P63:P68"/>
    <mergeCell ref="Q63:Q68"/>
    <mergeCell ref="Q76:Q81"/>
    <mergeCell ref="A20:A25"/>
    <mergeCell ref="B20:B25"/>
    <mergeCell ref="C20:C25"/>
    <mergeCell ref="M20:M25"/>
    <mergeCell ref="N20:N25"/>
    <mergeCell ref="P20:P25"/>
    <mergeCell ref="P57:P62"/>
    <mergeCell ref="A57:A62"/>
    <mergeCell ref="B57:B62"/>
    <mergeCell ref="U101:U106"/>
    <mergeCell ref="D102:L102"/>
    <mergeCell ref="A76:A81"/>
    <mergeCell ref="B76:B81"/>
    <mergeCell ref="C76:C81"/>
    <mergeCell ref="M76:M81"/>
    <mergeCell ref="N76:N81"/>
    <mergeCell ref="B82:U82"/>
    <mergeCell ref="A101:A106"/>
    <mergeCell ref="B101:B106"/>
    <mergeCell ref="S95:S100"/>
    <mergeCell ref="T95:T100"/>
    <mergeCell ref="Q95:Q100"/>
    <mergeCell ref="P101:P106"/>
    <mergeCell ref="Q101:Q106"/>
    <mergeCell ref="R101:R106"/>
    <mergeCell ref="S101:S106"/>
    <mergeCell ref="T101:T106"/>
    <mergeCell ref="Q107:Q112"/>
    <mergeCell ref="R107:R112"/>
    <mergeCell ref="M101:M106"/>
    <mergeCell ref="N101:N106"/>
    <mergeCell ref="O101:O106"/>
    <mergeCell ref="R95:R100"/>
    <mergeCell ref="A113:A118"/>
    <mergeCell ref="B113:B118"/>
    <mergeCell ref="C113:C118"/>
    <mergeCell ref="M113:M118"/>
    <mergeCell ref="R113:R118"/>
    <mergeCell ref="S113:S118"/>
    <mergeCell ref="N113:N118"/>
    <mergeCell ref="O113:O118"/>
    <mergeCell ref="P113:P118"/>
    <mergeCell ref="U107:U112"/>
    <mergeCell ref="D108:L108"/>
    <mergeCell ref="S107:S112"/>
    <mergeCell ref="U113:U118"/>
    <mergeCell ref="D114:L114"/>
    <mergeCell ref="Q113:Q118"/>
    <mergeCell ref="T107:T112"/>
    <mergeCell ref="O107:O112"/>
    <mergeCell ref="P107:P112"/>
    <mergeCell ref="T113:T118"/>
    <mergeCell ref="D96:L96"/>
    <mergeCell ref="A107:A112"/>
    <mergeCell ref="B107:B112"/>
    <mergeCell ref="C107:C112"/>
    <mergeCell ref="M107:M112"/>
    <mergeCell ref="N107:N112"/>
    <mergeCell ref="C101:C106"/>
    <mergeCell ref="U89:U94"/>
    <mergeCell ref="D90:L90"/>
    <mergeCell ref="A95:A100"/>
    <mergeCell ref="B95:B100"/>
    <mergeCell ref="C95:C100"/>
    <mergeCell ref="M95:M100"/>
    <mergeCell ref="N95:N100"/>
    <mergeCell ref="O95:O100"/>
    <mergeCell ref="P95:P100"/>
    <mergeCell ref="U95:U100"/>
    <mergeCell ref="S83:S88"/>
    <mergeCell ref="T83:T88"/>
    <mergeCell ref="O89:O94"/>
    <mergeCell ref="P89:P94"/>
    <mergeCell ref="Q89:Q94"/>
    <mergeCell ref="R89:R94"/>
    <mergeCell ref="U83:U88"/>
    <mergeCell ref="D84:L84"/>
    <mergeCell ref="A89:A94"/>
    <mergeCell ref="B89:B94"/>
    <mergeCell ref="C89:C94"/>
    <mergeCell ref="M89:M94"/>
    <mergeCell ref="N89:N94"/>
    <mergeCell ref="S89:S94"/>
    <mergeCell ref="T89:T94"/>
    <mergeCell ref="R83:R88"/>
    <mergeCell ref="U70:U75"/>
    <mergeCell ref="D71:L71"/>
    <mergeCell ref="A83:A88"/>
    <mergeCell ref="B83:B88"/>
    <mergeCell ref="C83:C88"/>
    <mergeCell ref="M83:M88"/>
    <mergeCell ref="N83:N88"/>
    <mergeCell ref="O83:O88"/>
    <mergeCell ref="P83:P88"/>
    <mergeCell ref="Q83:Q88"/>
    <mergeCell ref="A70:A75"/>
    <mergeCell ref="B70:B75"/>
    <mergeCell ref="C70:C75"/>
    <mergeCell ref="M70:M75"/>
    <mergeCell ref="N70:N75"/>
    <mergeCell ref="O70:O75"/>
    <mergeCell ref="U63:U68"/>
    <mergeCell ref="A63:A68"/>
    <mergeCell ref="B63:B68"/>
    <mergeCell ref="C63:C68"/>
    <mergeCell ref="M63:M68"/>
    <mergeCell ref="N63:N68"/>
    <mergeCell ref="O63:O68"/>
    <mergeCell ref="D64:L64"/>
    <mergeCell ref="T63:T68"/>
    <mergeCell ref="N51:N56"/>
    <mergeCell ref="O51:O56"/>
    <mergeCell ref="D52:L52"/>
    <mergeCell ref="P51:P56"/>
    <mergeCell ref="A51:A56"/>
    <mergeCell ref="B51:B56"/>
    <mergeCell ref="C51:C56"/>
    <mergeCell ref="M51:M56"/>
    <mergeCell ref="U51:U56"/>
    <mergeCell ref="Q51:Q56"/>
    <mergeCell ref="R51:R56"/>
    <mergeCell ref="S51:S56"/>
    <mergeCell ref="T45:T50"/>
    <mergeCell ref="U45:U50"/>
    <mergeCell ref="T51:T56"/>
    <mergeCell ref="A45:A50"/>
    <mergeCell ref="B45:B50"/>
    <mergeCell ref="C45:C50"/>
    <mergeCell ref="M45:M50"/>
    <mergeCell ref="N45:N50"/>
    <mergeCell ref="O45:O50"/>
    <mergeCell ref="D46:L46"/>
    <mergeCell ref="U39:U44"/>
    <mergeCell ref="A39:A44"/>
    <mergeCell ref="B39:B44"/>
    <mergeCell ref="C39:C44"/>
    <mergeCell ref="M39:M44"/>
    <mergeCell ref="N39:N44"/>
    <mergeCell ref="O39:O44"/>
    <mergeCell ref="D40:L40"/>
    <mergeCell ref="P39:P44"/>
    <mergeCell ref="T39:T44"/>
    <mergeCell ref="R39:R44"/>
    <mergeCell ref="S39:S44"/>
    <mergeCell ref="T33:T38"/>
    <mergeCell ref="P45:P50"/>
    <mergeCell ref="Q45:Q50"/>
    <mergeCell ref="R45:R50"/>
    <mergeCell ref="S45:S50"/>
    <mergeCell ref="R33:R38"/>
    <mergeCell ref="Q39:Q44"/>
    <mergeCell ref="N27:N32"/>
    <mergeCell ref="U33:U38"/>
    <mergeCell ref="A33:A38"/>
    <mergeCell ref="B33:B38"/>
    <mergeCell ref="C33:C38"/>
    <mergeCell ref="M33:M38"/>
    <mergeCell ref="N33:N38"/>
    <mergeCell ref="O33:O38"/>
    <mergeCell ref="D34:L34"/>
    <mergeCell ref="S33:S38"/>
    <mergeCell ref="D9:L9"/>
    <mergeCell ref="A27:A32"/>
    <mergeCell ref="B27:B32"/>
    <mergeCell ref="C27:C32"/>
    <mergeCell ref="U27:U32"/>
    <mergeCell ref="D28:L28"/>
    <mergeCell ref="U20:U25"/>
    <mergeCell ref="D21:L21"/>
    <mergeCell ref="O20:O25"/>
    <mergeCell ref="M27:M32"/>
    <mergeCell ref="A14:A19"/>
    <mergeCell ref="B14:B19"/>
    <mergeCell ref="C14:C19"/>
    <mergeCell ref="M14:M19"/>
    <mergeCell ref="N14:N19"/>
    <mergeCell ref="S14:S19"/>
    <mergeCell ref="D15:L15"/>
    <mergeCell ref="O14:O19"/>
    <mergeCell ref="P14:P19"/>
    <mergeCell ref="Q14:Q19"/>
    <mergeCell ref="B7:U7"/>
    <mergeCell ref="A8:A13"/>
    <mergeCell ref="B8:B13"/>
    <mergeCell ref="C8:C13"/>
    <mergeCell ref="M8:M13"/>
    <mergeCell ref="N8:N13"/>
    <mergeCell ref="O8:O13"/>
    <mergeCell ref="S8:S13"/>
    <mergeCell ref="T8:T13"/>
    <mergeCell ref="U8:U13"/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26:U26"/>
    <mergeCell ref="Q70:Q75"/>
    <mergeCell ref="R70:R75"/>
    <mergeCell ref="P8:P13"/>
    <mergeCell ref="Q8:Q13"/>
    <mergeCell ref="T14:T19"/>
    <mergeCell ref="R8:R13"/>
    <mergeCell ref="P33:P38"/>
    <mergeCell ref="Q33:Q38"/>
    <mergeCell ref="Q1:U1"/>
    <mergeCell ref="U14:U19"/>
    <mergeCell ref="R14:R19"/>
    <mergeCell ref="O27:O32"/>
    <mergeCell ref="P27:P32"/>
    <mergeCell ref="Q27:Q32"/>
    <mergeCell ref="R27:R32"/>
    <mergeCell ref="S27:S32"/>
    <mergeCell ref="T27:T32"/>
    <mergeCell ref="Q20:Q2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5.8515625" style="127" customWidth="1"/>
    <col min="5" max="5" width="12.7109375" style="127" customWidth="1"/>
    <col min="6" max="9" width="12.28125" style="127" bestFit="1" customWidth="1"/>
    <col min="10" max="16384" width="9.140625" style="127" customWidth="1"/>
  </cols>
  <sheetData>
    <row r="1" spans="6:10" ht="70.5" customHeight="1">
      <c r="F1" s="294" t="s">
        <v>281</v>
      </c>
      <c r="G1" s="294"/>
      <c r="H1" s="294"/>
      <c r="I1" s="294"/>
      <c r="J1" s="168"/>
    </row>
    <row r="2" spans="5:10" ht="18.75" customHeight="1">
      <c r="E2" s="124"/>
      <c r="G2" s="100"/>
      <c r="H2" s="100"/>
      <c r="I2" s="143" t="s">
        <v>211</v>
      </c>
      <c r="J2" s="100"/>
    </row>
    <row r="4" spans="1:9" ht="36.75" customHeight="1">
      <c r="A4" s="199" t="s">
        <v>212</v>
      </c>
      <c r="B4" s="199"/>
      <c r="C4" s="199"/>
      <c r="D4" s="199"/>
      <c r="E4" s="199"/>
      <c r="F4" s="199"/>
      <c r="G4" s="199"/>
      <c r="H4" s="199"/>
      <c r="I4" s="199"/>
    </row>
    <row r="5" spans="1:9" ht="30" customHeight="1">
      <c r="A5" s="184" t="s">
        <v>99</v>
      </c>
      <c r="B5" s="186" t="s">
        <v>100</v>
      </c>
      <c r="C5" s="188" t="s">
        <v>101</v>
      </c>
      <c r="D5" s="188"/>
      <c r="E5" s="188"/>
      <c r="F5" s="188"/>
      <c r="G5" s="188"/>
      <c r="H5" s="188"/>
      <c r="I5" s="188"/>
    </row>
    <row r="6" spans="1:9" ht="16.5" customHeight="1">
      <c r="A6" s="185"/>
      <c r="B6" s="187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44" t="s">
        <v>213</v>
      </c>
      <c r="B8" s="126">
        <f>B10+B11+B12+B13</f>
        <v>145419766.80999997</v>
      </c>
      <c r="C8" s="126">
        <f aca="true" t="shared" si="0" ref="C8:I8">C10+C11+C12+C13</f>
        <v>23456977</v>
      </c>
      <c r="D8" s="126">
        <f t="shared" si="0"/>
        <v>23253823.41</v>
      </c>
      <c r="E8" s="126">
        <f t="shared" si="0"/>
        <v>20404100.630000003</v>
      </c>
      <c r="F8" s="126">
        <f t="shared" si="0"/>
        <v>21449180.680000003</v>
      </c>
      <c r="G8" s="126">
        <f t="shared" si="0"/>
        <v>20211116.450000003</v>
      </c>
      <c r="H8" s="126">
        <f t="shared" si="0"/>
        <v>18046700.52</v>
      </c>
      <c r="I8" s="126">
        <f t="shared" si="0"/>
        <v>18597868.12</v>
      </c>
    </row>
    <row r="9" spans="1:9" ht="16.5" customHeight="1">
      <c r="A9" s="253" t="s">
        <v>102</v>
      </c>
      <c r="B9" s="254"/>
      <c r="C9" s="254"/>
      <c r="D9" s="254"/>
      <c r="E9" s="254"/>
      <c r="F9" s="254"/>
      <c r="G9" s="254"/>
      <c r="H9" s="254"/>
      <c r="I9" s="255"/>
    </row>
    <row r="10" spans="1:9" ht="16.5" customHeight="1">
      <c r="A10" s="87" t="s">
        <v>103</v>
      </c>
      <c r="B10" s="126">
        <f>C10+D10+E10+F10+G10+H10+I10</f>
        <v>144765185.64</v>
      </c>
      <c r="C10" s="84">
        <f>C17</f>
        <v>23399977</v>
      </c>
      <c r="D10" s="84">
        <f aca="true" t="shared" si="1" ref="D10:I10">D17</f>
        <v>23253823.41</v>
      </c>
      <c r="E10" s="84">
        <f t="shared" si="1"/>
        <v>20404100.630000003</v>
      </c>
      <c r="F10" s="84">
        <f t="shared" si="1"/>
        <v>21301599.51</v>
      </c>
      <c r="G10" s="84">
        <f t="shared" si="1"/>
        <v>20061116.450000003</v>
      </c>
      <c r="H10" s="84">
        <f t="shared" si="1"/>
        <v>17896700.52</v>
      </c>
      <c r="I10" s="84">
        <f t="shared" si="1"/>
        <v>18447868.12</v>
      </c>
    </row>
    <row r="11" spans="1:9" ht="16.5" customHeight="1">
      <c r="A11" s="87" t="s">
        <v>20</v>
      </c>
      <c r="B11" s="126">
        <f>C11+D11+E11+F11+G11+H11+I11</f>
        <v>0</v>
      </c>
      <c r="C11" s="84">
        <f aca="true" t="shared" si="2" ref="C11:I13">C18</f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21</v>
      </c>
      <c r="B12" s="126">
        <f>C12+D12+E12+F12+G12+H12+I12</f>
        <v>0</v>
      </c>
      <c r="C12" s="84">
        <f t="shared" si="2"/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</row>
    <row r="13" spans="1:9" ht="16.5" customHeight="1">
      <c r="A13" s="87" t="s">
        <v>106</v>
      </c>
      <c r="B13" s="126">
        <f>C13+D13+E13+F13+G13+H13+I13</f>
        <v>654581.17</v>
      </c>
      <c r="C13" s="84">
        <f t="shared" si="2"/>
        <v>57000</v>
      </c>
      <c r="D13" s="84">
        <f t="shared" si="2"/>
        <v>0</v>
      </c>
      <c r="E13" s="84">
        <f t="shared" si="2"/>
        <v>0</v>
      </c>
      <c r="F13" s="84">
        <f t="shared" si="2"/>
        <v>147581.17</v>
      </c>
      <c r="G13" s="84">
        <f t="shared" si="2"/>
        <v>150000</v>
      </c>
      <c r="H13" s="84">
        <f t="shared" si="2"/>
        <v>150000</v>
      </c>
      <c r="I13" s="84">
        <f t="shared" si="2"/>
        <v>150000</v>
      </c>
    </row>
    <row r="14" spans="1:9" ht="16.5" customHeight="1">
      <c r="A14" s="189" t="s">
        <v>107</v>
      </c>
      <c r="B14" s="190"/>
      <c r="C14" s="190"/>
      <c r="D14" s="190"/>
      <c r="E14" s="190"/>
      <c r="F14" s="190"/>
      <c r="G14" s="190"/>
      <c r="H14" s="190"/>
      <c r="I14" s="191"/>
    </row>
    <row r="15" spans="1:9" ht="39.75" customHeight="1">
      <c r="A15" s="145" t="s">
        <v>114</v>
      </c>
      <c r="B15" s="126">
        <f>B17+B18+B19+B20</f>
        <v>145419766.80999997</v>
      </c>
      <c r="C15" s="126">
        <f>C17+C18+C19+C20</f>
        <v>23456977</v>
      </c>
      <c r="D15" s="126">
        <f aca="true" t="shared" si="3" ref="D15:I15">D17+D18+D19+D20</f>
        <v>23253823.41</v>
      </c>
      <c r="E15" s="126">
        <f t="shared" si="3"/>
        <v>20404100.630000003</v>
      </c>
      <c r="F15" s="126">
        <f t="shared" si="3"/>
        <v>21449180.680000003</v>
      </c>
      <c r="G15" s="126">
        <f t="shared" si="3"/>
        <v>20211116.450000003</v>
      </c>
      <c r="H15" s="126">
        <f t="shared" si="3"/>
        <v>18046700.52</v>
      </c>
      <c r="I15" s="126">
        <f t="shared" si="3"/>
        <v>18597868.12</v>
      </c>
    </row>
    <row r="16" spans="1:9" ht="16.5" customHeight="1">
      <c r="A16" s="253" t="s">
        <v>102</v>
      </c>
      <c r="B16" s="254"/>
      <c r="C16" s="254"/>
      <c r="D16" s="254"/>
      <c r="E16" s="254"/>
      <c r="F16" s="254"/>
      <c r="G16" s="254"/>
      <c r="H16" s="254"/>
      <c r="I16" s="255"/>
    </row>
    <row r="17" spans="1:9" ht="16.5" customHeight="1">
      <c r="A17" s="87" t="s">
        <v>103</v>
      </c>
      <c r="B17" s="126">
        <f>C17+D17+E17+F17+G17+H17+I17</f>
        <v>144765185.64</v>
      </c>
      <c r="C17" s="84">
        <f>'[2]таб 3(4)'!F34</f>
        <v>23399977</v>
      </c>
      <c r="D17" s="84">
        <f>+'[2]таб 3(4)'!G40</f>
        <v>23253823.41</v>
      </c>
      <c r="E17" s="84">
        <f>'таб 3(4)'!H41</f>
        <v>20404100.630000003</v>
      </c>
      <c r="F17" s="84">
        <f>'таб 3(4)'!I41</f>
        <v>21301599.51</v>
      </c>
      <c r="G17" s="84">
        <f>'таб 3(4)'!J41</f>
        <v>20061116.450000003</v>
      </c>
      <c r="H17" s="84">
        <f>'таб 3(4)'!K41</f>
        <v>17896700.52</v>
      </c>
      <c r="I17" s="84">
        <f>'таб 3(4)'!L41</f>
        <v>18447868.12</v>
      </c>
    </row>
    <row r="18" spans="1:9" ht="16.5" customHeight="1">
      <c r="A18" s="87" t="s">
        <v>20</v>
      </c>
      <c r="B18" s="126">
        <f>C18+D18+E18+F18+G18+H18+I18</f>
        <v>0</v>
      </c>
      <c r="C18" s="84">
        <f aca="true" t="shared" si="4" ref="C18:I19">C25</f>
        <v>0</v>
      </c>
      <c r="D18" s="84">
        <f t="shared" si="4"/>
        <v>0</v>
      </c>
      <c r="E18" s="84">
        <f>E25</f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21</v>
      </c>
      <c r="B19" s="126">
        <f>C19+D19+E19+F19+G19+H19+I19</f>
        <v>0</v>
      </c>
      <c r="C19" s="84">
        <f t="shared" si="4"/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  <c r="I19" s="84">
        <f t="shared" si="4"/>
        <v>0</v>
      </c>
    </row>
    <row r="20" spans="1:9" ht="16.5" customHeight="1">
      <c r="A20" s="87" t="s">
        <v>106</v>
      </c>
      <c r="B20" s="126">
        <f>C20+D20+E20+F20+G20+H20+I20</f>
        <v>654581.17</v>
      </c>
      <c r="C20" s="84">
        <v>57000</v>
      </c>
      <c r="D20" s="84">
        <f>+'[2]таб 3(4)'!G43</f>
        <v>0</v>
      </c>
      <c r="E20" s="84">
        <f>+'[2]таб 3(4)'!H43</f>
        <v>0</v>
      </c>
      <c r="F20" s="84">
        <f>'таб 3(4)'!I38</f>
        <v>147581.17</v>
      </c>
      <c r="G20" s="84">
        <f>'таб 3(4)'!J38</f>
        <v>150000</v>
      </c>
      <c r="H20" s="84">
        <f>'таб 3(4)'!K38</f>
        <v>150000</v>
      </c>
      <c r="I20" s="84">
        <f>'таб 3(4)'!L38</f>
        <v>150000</v>
      </c>
    </row>
    <row r="21" spans="1:9" ht="25.5">
      <c r="A21" s="4" t="s">
        <v>108</v>
      </c>
      <c r="B21" s="126">
        <f>C21+D21+E21+F21+G21+H21+I21</f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L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15:21" ht="65.25" customHeight="1">
      <c r="O1" s="294" t="s">
        <v>282</v>
      </c>
      <c r="P1" s="294"/>
      <c r="Q1" s="294"/>
      <c r="R1" s="294"/>
      <c r="S1" s="294"/>
      <c r="T1" s="294"/>
      <c r="U1" s="294"/>
    </row>
    <row r="2" spans="20:21" ht="12.75">
      <c r="T2" s="100"/>
      <c r="U2" s="100" t="s">
        <v>214</v>
      </c>
    </row>
    <row r="3" spans="1:21" ht="47.25" customHeight="1">
      <c r="A3" s="246" t="s">
        <v>215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</row>
    <row r="4" spans="1:21" ht="31.5" customHeight="1">
      <c r="A4" s="188" t="s">
        <v>97</v>
      </c>
      <c r="B4" s="188" t="s">
        <v>109</v>
      </c>
      <c r="C4" s="188" t="s">
        <v>110</v>
      </c>
      <c r="D4" s="188" t="s">
        <v>99</v>
      </c>
      <c r="E4" s="188" t="s">
        <v>111</v>
      </c>
      <c r="F4" s="188"/>
      <c r="G4" s="188"/>
      <c r="H4" s="188"/>
      <c r="I4" s="188"/>
      <c r="J4" s="188"/>
      <c r="K4" s="188"/>
      <c r="L4" s="188"/>
      <c r="M4" s="188" t="s">
        <v>32</v>
      </c>
      <c r="N4" s="188"/>
      <c r="O4" s="188"/>
      <c r="P4" s="188"/>
      <c r="Q4" s="188"/>
      <c r="R4" s="188"/>
      <c r="S4" s="188"/>
      <c r="T4" s="188"/>
      <c r="U4" s="235" t="s">
        <v>112</v>
      </c>
    </row>
    <row r="5" spans="1:21" ht="33" customHeight="1">
      <c r="A5" s="188"/>
      <c r="B5" s="188"/>
      <c r="C5" s="188"/>
      <c r="D5" s="188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36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16" t="s">
        <v>216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8"/>
    </row>
    <row r="8" spans="1:21" ht="12.75">
      <c r="A8" s="21">
        <v>1</v>
      </c>
      <c r="B8" s="216" t="s">
        <v>217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6.5" customHeight="1">
      <c r="A9" s="226" t="s">
        <v>121</v>
      </c>
      <c r="B9" s="290" t="s">
        <v>218</v>
      </c>
      <c r="C9" s="232" t="s">
        <v>78</v>
      </c>
      <c r="D9" s="22" t="s">
        <v>93</v>
      </c>
      <c r="E9" s="23">
        <f>E11+E12+E13+E14</f>
        <v>142204211.32</v>
      </c>
      <c r="F9" s="23">
        <f aca="true" t="shared" si="0" ref="F9:L9">F11+F12+F13+F14</f>
        <v>22989063</v>
      </c>
      <c r="G9" s="23">
        <f t="shared" si="0"/>
        <v>22480517.52</v>
      </c>
      <c r="H9" s="23">
        <f t="shared" si="0"/>
        <v>20167769.71</v>
      </c>
      <c r="I9" s="23">
        <f t="shared" si="0"/>
        <v>20966181</v>
      </c>
      <c r="J9" s="23">
        <f t="shared" si="0"/>
        <v>19792781.450000003</v>
      </c>
      <c r="K9" s="23">
        <f t="shared" si="0"/>
        <v>17628365.52</v>
      </c>
      <c r="L9" s="23">
        <f t="shared" si="0"/>
        <v>18179533.12</v>
      </c>
      <c r="M9" s="261" t="s">
        <v>265</v>
      </c>
      <c r="N9" s="297">
        <v>35</v>
      </c>
      <c r="O9" s="297">
        <v>35</v>
      </c>
      <c r="P9" s="297">
        <v>35</v>
      </c>
      <c r="Q9" s="297">
        <v>100</v>
      </c>
      <c r="R9" s="297">
        <v>100</v>
      </c>
      <c r="S9" s="297">
        <v>100</v>
      </c>
      <c r="T9" s="297">
        <v>100</v>
      </c>
      <c r="U9" s="261" t="s">
        <v>219</v>
      </c>
    </row>
    <row r="10" spans="1:21" ht="16.5" customHeight="1">
      <c r="A10" s="226"/>
      <c r="B10" s="291"/>
      <c r="C10" s="233"/>
      <c r="D10" s="219" t="s">
        <v>113</v>
      </c>
      <c r="E10" s="220"/>
      <c r="F10" s="220"/>
      <c r="G10" s="220"/>
      <c r="H10" s="220"/>
      <c r="I10" s="220"/>
      <c r="J10" s="220"/>
      <c r="K10" s="220"/>
      <c r="L10" s="221"/>
      <c r="M10" s="295"/>
      <c r="N10" s="298"/>
      <c r="O10" s="298"/>
      <c r="P10" s="298"/>
      <c r="Q10" s="298"/>
      <c r="R10" s="298"/>
      <c r="S10" s="298"/>
      <c r="T10" s="298"/>
      <c r="U10" s="262"/>
    </row>
    <row r="11" spans="1:21" ht="12.75">
      <c r="A11" s="226"/>
      <c r="B11" s="291"/>
      <c r="C11" s="233"/>
      <c r="D11" s="22" t="s">
        <v>91</v>
      </c>
      <c r="E11" s="23">
        <f>F11+G11+H11+I11+J11+K11+L11</f>
        <v>142204211.32</v>
      </c>
      <c r="F11" s="23">
        <f>23429063-440000</f>
        <v>22989063</v>
      </c>
      <c r="G11" s="23">
        <v>22480517.52</v>
      </c>
      <c r="H11" s="23">
        <f>20043880+54889.71+69000</f>
        <v>20167769.71</v>
      </c>
      <c r="I11" s="23">
        <v>20966181</v>
      </c>
      <c r="J11" s="23">
        <f>1607330.07+12945433.47+3909520.91+1330497</f>
        <v>19792781.450000003</v>
      </c>
      <c r="K11" s="23">
        <f>1579616.36+11263438.17+3401558.33+1383752.66</f>
        <v>17628365.52</v>
      </c>
      <c r="L11" s="23">
        <f>1928775.59+11376072.55+3435573.91+1439111.07</f>
        <v>18179533.12</v>
      </c>
      <c r="M11" s="295"/>
      <c r="N11" s="298"/>
      <c r="O11" s="298"/>
      <c r="P11" s="298"/>
      <c r="Q11" s="298"/>
      <c r="R11" s="298"/>
      <c r="S11" s="298"/>
      <c r="T11" s="298"/>
      <c r="U11" s="262"/>
    </row>
    <row r="12" spans="1:21" ht="12.75">
      <c r="A12" s="226"/>
      <c r="B12" s="291"/>
      <c r="C12" s="233"/>
      <c r="D12" s="22" t="s">
        <v>89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95"/>
      <c r="N12" s="298"/>
      <c r="O12" s="298"/>
      <c r="P12" s="298"/>
      <c r="Q12" s="298"/>
      <c r="R12" s="298"/>
      <c r="S12" s="298"/>
      <c r="T12" s="298"/>
      <c r="U12" s="262"/>
    </row>
    <row r="13" spans="1:21" ht="12.75" customHeight="1">
      <c r="A13" s="226"/>
      <c r="B13" s="291"/>
      <c r="C13" s="233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95"/>
      <c r="N13" s="298"/>
      <c r="O13" s="298"/>
      <c r="P13" s="298"/>
      <c r="Q13" s="298"/>
      <c r="R13" s="298"/>
      <c r="S13" s="298"/>
      <c r="T13" s="298"/>
      <c r="U13" s="262"/>
    </row>
    <row r="14" spans="1:21" ht="60.75" customHeight="1">
      <c r="A14" s="226"/>
      <c r="B14" s="292"/>
      <c r="C14" s="234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96"/>
      <c r="N14" s="299"/>
      <c r="O14" s="299"/>
      <c r="P14" s="299"/>
      <c r="Q14" s="299"/>
      <c r="R14" s="299"/>
      <c r="S14" s="299"/>
      <c r="T14" s="299"/>
      <c r="U14" s="263"/>
    </row>
    <row r="15" spans="1:21" ht="24" customHeight="1">
      <c r="A15" s="226" t="s">
        <v>122</v>
      </c>
      <c r="B15" s="290" t="s">
        <v>220</v>
      </c>
      <c r="C15" s="232" t="s">
        <v>78</v>
      </c>
      <c r="D15" s="22" t="s">
        <v>93</v>
      </c>
      <c r="E15" s="23">
        <f>E17+E18+E19+E20</f>
        <v>851493.52</v>
      </c>
      <c r="F15" s="23">
        <f aca="true" t="shared" si="1" ref="F15:L15">F17+F18+F19+F20</f>
        <v>410914</v>
      </c>
      <c r="G15" s="23">
        <f t="shared" si="1"/>
        <v>440579.52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61" t="s">
        <v>3</v>
      </c>
      <c r="N15" s="205">
        <v>1</v>
      </c>
      <c r="O15" s="205">
        <v>1</v>
      </c>
      <c r="P15" s="205">
        <v>1</v>
      </c>
      <c r="Q15" s="205">
        <v>1</v>
      </c>
      <c r="R15" s="205">
        <v>1</v>
      </c>
      <c r="S15" s="205">
        <v>1</v>
      </c>
      <c r="T15" s="205">
        <v>1</v>
      </c>
      <c r="U15" s="261" t="s">
        <v>219</v>
      </c>
    </row>
    <row r="16" spans="1:21" ht="16.5" customHeight="1">
      <c r="A16" s="226"/>
      <c r="B16" s="291"/>
      <c r="C16" s="233"/>
      <c r="D16" s="219" t="s">
        <v>113</v>
      </c>
      <c r="E16" s="220"/>
      <c r="F16" s="220"/>
      <c r="G16" s="220"/>
      <c r="H16" s="220"/>
      <c r="I16" s="220"/>
      <c r="J16" s="220"/>
      <c r="K16" s="220"/>
      <c r="L16" s="221"/>
      <c r="M16" s="262"/>
      <c r="N16" s="206"/>
      <c r="O16" s="206"/>
      <c r="P16" s="206"/>
      <c r="Q16" s="206"/>
      <c r="R16" s="206"/>
      <c r="S16" s="206"/>
      <c r="T16" s="206"/>
      <c r="U16" s="262"/>
    </row>
    <row r="17" spans="1:21" ht="18" customHeight="1">
      <c r="A17" s="226"/>
      <c r="B17" s="291"/>
      <c r="C17" s="233"/>
      <c r="D17" s="22" t="s">
        <v>91</v>
      </c>
      <c r="E17" s="23">
        <f>F17+G17+H17+I17+J17+K17+L17</f>
        <v>851493.52</v>
      </c>
      <c r="F17" s="23">
        <v>410914</v>
      </c>
      <c r="G17" s="23">
        <f>465321-24741.1-0.38</f>
        <v>440579.52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62"/>
      <c r="N17" s="206"/>
      <c r="O17" s="206"/>
      <c r="P17" s="206"/>
      <c r="Q17" s="206"/>
      <c r="R17" s="206"/>
      <c r="S17" s="206"/>
      <c r="T17" s="206"/>
      <c r="U17" s="262"/>
    </row>
    <row r="18" spans="1:21" ht="12.75" customHeight="1">
      <c r="A18" s="226"/>
      <c r="B18" s="291"/>
      <c r="C18" s="233"/>
      <c r="D18" s="22" t="s">
        <v>89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2"/>
      <c r="N18" s="206"/>
      <c r="O18" s="206"/>
      <c r="P18" s="206"/>
      <c r="Q18" s="206"/>
      <c r="R18" s="206"/>
      <c r="S18" s="206"/>
      <c r="T18" s="206"/>
      <c r="U18" s="262"/>
    </row>
    <row r="19" spans="1:21" ht="12.75" customHeight="1">
      <c r="A19" s="226"/>
      <c r="B19" s="291"/>
      <c r="C19" s="233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2"/>
      <c r="N19" s="206"/>
      <c r="O19" s="206"/>
      <c r="P19" s="206"/>
      <c r="Q19" s="206"/>
      <c r="R19" s="206"/>
      <c r="S19" s="206"/>
      <c r="T19" s="206"/>
      <c r="U19" s="262"/>
    </row>
    <row r="20" spans="1:21" ht="24" customHeight="1">
      <c r="A20" s="226"/>
      <c r="B20" s="292"/>
      <c r="C20" s="234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3"/>
      <c r="N20" s="207"/>
      <c r="O20" s="207"/>
      <c r="P20" s="207"/>
      <c r="Q20" s="207"/>
      <c r="R20" s="207"/>
      <c r="S20" s="207"/>
      <c r="T20" s="207"/>
      <c r="U20" s="263"/>
    </row>
    <row r="21" spans="1:21" ht="19.5" customHeight="1">
      <c r="A21" s="237" t="s">
        <v>96</v>
      </c>
      <c r="B21" s="227" t="s">
        <v>180</v>
      </c>
      <c r="C21" s="232" t="s">
        <v>78</v>
      </c>
      <c r="D21" s="22" t="s">
        <v>93</v>
      </c>
      <c r="E21" s="23">
        <f>E23+E24+E25+E26</f>
        <v>1709480.8</v>
      </c>
      <c r="F21" s="23">
        <f aca="true" t="shared" si="2" ref="F21:L21">F23+F24+F25+F26</f>
        <v>0</v>
      </c>
      <c r="G21" s="23">
        <f t="shared" si="2"/>
        <v>332726.37</v>
      </c>
      <c r="H21" s="23">
        <f t="shared" si="2"/>
        <v>236330.91999999998</v>
      </c>
      <c r="I21" s="23">
        <f t="shared" si="2"/>
        <v>335418.51</v>
      </c>
      <c r="J21" s="23">
        <f t="shared" si="2"/>
        <v>268335</v>
      </c>
      <c r="K21" s="23">
        <f t="shared" si="2"/>
        <v>268335</v>
      </c>
      <c r="L21" s="23">
        <f t="shared" si="2"/>
        <v>268335</v>
      </c>
      <c r="M21" s="261" t="s">
        <v>264</v>
      </c>
      <c r="N21" s="205">
        <v>1</v>
      </c>
      <c r="O21" s="205">
        <v>1</v>
      </c>
      <c r="P21" s="205">
        <v>1</v>
      </c>
      <c r="Q21" s="205">
        <v>100</v>
      </c>
      <c r="R21" s="205">
        <v>100</v>
      </c>
      <c r="S21" s="205">
        <v>100</v>
      </c>
      <c r="T21" s="205">
        <v>100</v>
      </c>
      <c r="U21" s="261" t="s">
        <v>219</v>
      </c>
    </row>
    <row r="22" spans="1:21" ht="16.5" customHeight="1">
      <c r="A22" s="237"/>
      <c r="B22" s="227"/>
      <c r="C22" s="233"/>
      <c r="D22" s="219" t="s">
        <v>113</v>
      </c>
      <c r="E22" s="220"/>
      <c r="F22" s="220"/>
      <c r="G22" s="220"/>
      <c r="H22" s="220"/>
      <c r="I22" s="220"/>
      <c r="J22" s="220"/>
      <c r="K22" s="220"/>
      <c r="L22" s="221"/>
      <c r="M22" s="262"/>
      <c r="N22" s="206"/>
      <c r="O22" s="206"/>
      <c r="P22" s="206"/>
      <c r="Q22" s="206"/>
      <c r="R22" s="206"/>
      <c r="S22" s="206"/>
      <c r="T22" s="206"/>
      <c r="U22" s="262"/>
    </row>
    <row r="23" spans="1:21" ht="23.25" customHeight="1">
      <c r="A23" s="237"/>
      <c r="B23" s="227"/>
      <c r="C23" s="233"/>
      <c r="D23" s="22" t="s">
        <v>91</v>
      </c>
      <c r="E23" s="23">
        <f>F23+G23+H23+I23+J23+K23+L23</f>
        <v>1709480.8</v>
      </c>
      <c r="F23" s="23"/>
      <c r="G23" s="23">
        <v>332726.37</v>
      </c>
      <c r="H23" s="23">
        <f>295072.75-88472.01+29730.18</f>
        <v>236330.91999999998</v>
      </c>
      <c r="I23" s="23">
        <f>295072.48+40346.03</f>
        <v>335418.51</v>
      </c>
      <c r="J23" s="23">
        <v>268335</v>
      </c>
      <c r="K23" s="23">
        <v>268335</v>
      </c>
      <c r="L23" s="23">
        <v>268335</v>
      </c>
      <c r="M23" s="262"/>
      <c r="N23" s="206"/>
      <c r="O23" s="206"/>
      <c r="P23" s="206"/>
      <c r="Q23" s="206"/>
      <c r="R23" s="206"/>
      <c r="S23" s="206"/>
      <c r="T23" s="206"/>
      <c r="U23" s="262"/>
    </row>
    <row r="24" spans="1:21" ht="12.75">
      <c r="A24" s="237"/>
      <c r="B24" s="227"/>
      <c r="C24" s="233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62"/>
      <c r="N24" s="206"/>
      <c r="O24" s="206"/>
      <c r="P24" s="206"/>
      <c r="Q24" s="206"/>
      <c r="R24" s="206"/>
      <c r="S24" s="206"/>
      <c r="T24" s="206"/>
      <c r="U24" s="262"/>
    </row>
    <row r="25" spans="1:21" ht="12.75">
      <c r="A25" s="237"/>
      <c r="B25" s="227"/>
      <c r="C25" s="233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62"/>
      <c r="N25" s="206"/>
      <c r="O25" s="206"/>
      <c r="P25" s="206"/>
      <c r="Q25" s="206"/>
      <c r="R25" s="206"/>
      <c r="S25" s="206"/>
      <c r="T25" s="206"/>
      <c r="U25" s="262"/>
    </row>
    <row r="26" spans="1:21" ht="12.75">
      <c r="A26" s="237"/>
      <c r="B26" s="227"/>
      <c r="C26" s="234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63"/>
      <c r="N26" s="207"/>
      <c r="O26" s="207"/>
      <c r="P26" s="207"/>
      <c r="Q26" s="207"/>
      <c r="R26" s="207"/>
      <c r="S26" s="207"/>
      <c r="T26" s="207"/>
      <c r="U26" s="263"/>
    </row>
    <row r="27" spans="1:21" ht="15" customHeight="1">
      <c r="A27" s="226" t="s">
        <v>124</v>
      </c>
      <c r="B27" s="290" t="s">
        <v>119</v>
      </c>
      <c r="C27" s="232" t="s">
        <v>78</v>
      </c>
      <c r="D27" s="22" t="s">
        <v>93</v>
      </c>
      <c r="E27" s="23">
        <f>E29+E30+E31+E32</f>
        <v>654581.17</v>
      </c>
      <c r="F27" s="23">
        <f aca="true" t="shared" si="3" ref="F27:L27">F29+F30+F31+F32</f>
        <v>57000</v>
      </c>
      <c r="G27" s="23">
        <f t="shared" si="3"/>
        <v>0</v>
      </c>
      <c r="H27" s="23">
        <f t="shared" si="3"/>
        <v>0</v>
      </c>
      <c r="I27" s="23">
        <f t="shared" si="3"/>
        <v>147581.17</v>
      </c>
      <c r="J27" s="23">
        <f t="shared" si="3"/>
        <v>150000</v>
      </c>
      <c r="K27" s="23">
        <f t="shared" si="3"/>
        <v>150000</v>
      </c>
      <c r="L27" s="23">
        <f t="shared" si="3"/>
        <v>150000</v>
      </c>
      <c r="M27" s="261" t="s">
        <v>221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61" t="s">
        <v>219</v>
      </c>
    </row>
    <row r="28" spans="1:21" ht="16.5" customHeight="1">
      <c r="A28" s="226"/>
      <c r="B28" s="291"/>
      <c r="C28" s="233"/>
      <c r="D28" s="219" t="s">
        <v>113</v>
      </c>
      <c r="E28" s="220"/>
      <c r="F28" s="220"/>
      <c r="G28" s="220"/>
      <c r="H28" s="220"/>
      <c r="I28" s="220"/>
      <c r="J28" s="220"/>
      <c r="K28" s="220"/>
      <c r="L28" s="221"/>
      <c r="M28" s="262"/>
      <c r="N28" s="206"/>
      <c r="O28" s="206"/>
      <c r="P28" s="206"/>
      <c r="Q28" s="206"/>
      <c r="R28" s="206"/>
      <c r="S28" s="206"/>
      <c r="T28" s="206"/>
      <c r="U28" s="262"/>
    </row>
    <row r="29" spans="1:21" ht="12.75" customHeight="1">
      <c r="A29" s="226"/>
      <c r="B29" s="291"/>
      <c r="C29" s="233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2"/>
      <c r="N29" s="206"/>
      <c r="O29" s="206"/>
      <c r="P29" s="206"/>
      <c r="Q29" s="206"/>
      <c r="R29" s="206"/>
      <c r="S29" s="206"/>
      <c r="T29" s="206"/>
      <c r="U29" s="262"/>
    </row>
    <row r="30" spans="1:21" ht="12.75" customHeight="1">
      <c r="A30" s="226"/>
      <c r="B30" s="291"/>
      <c r="C30" s="233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62"/>
      <c r="N30" s="206"/>
      <c r="O30" s="206"/>
      <c r="P30" s="206"/>
      <c r="Q30" s="206"/>
      <c r="R30" s="206"/>
      <c r="S30" s="206"/>
      <c r="T30" s="206"/>
      <c r="U30" s="262"/>
    </row>
    <row r="31" spans="1:21" ht="12.75" customHeight="1">
      <c r="A31" s="226"/>
      <c r="B31" s="291"/>
      <c r="C31" s="233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2"/>
      <c r="N31" s="206"/>
      <c r="O31" s="206"/>
      <c r="P31" s="206"/>
      <c r="Q31" s="206"/>
      <c r="R31" s="206"/>
      <c r="S31" s="206"/>
      <c r="T31" s="206"/>
      <c r="U31" s="262"/>
    </row>
    <row r="32" spans="1:21" ht="12.75" customHeight="1">
      <c r="A32" s="226"/>
      <c r="B32" s="292"/>
      <c r="C32" s="234"/>
      <c r="D32" s="22" t="s">
        <v>92</v>
      </c>
      <c r="E32" s="23">
        <f>F32+G32+H32+I32+J32+K32+L32</f>
        <v>654581.17</v>
      </c>
      <c r="F32" s="23">
        <v>57000</v>
      </c>
      <c r="G32" s="23">
        <v>0</v>
      </c>
      <c r="H32" s="84">
        <v>0</v>
      </c>
      <c r="I32" s="84">
        <v>147581.17</v>
      </c>
      <c r="J32" s="84">
        <v>150000</v>
      </c>
      <c r="K32" s="84">
        <v>150000</v>
      </c>
      <c r="L32" s="84">
        <v>150000</v>
      </c>
      <c r="M32" s="263"/>
      <c r="N32" s="207"/>
      <c r="O32" s="207"/>
      <c r="P32" s="207"/>
      <c r="Q32" s="207"/>
      <c r="R32" s="207"/>
      <c r="S32" s="207"/>
      <c r="T32" s="207"/>
      <c r="U32" s="263"/>
    </row>
    <row r="33" spans="1:21" ht="13.5" customHeight="1">
      <c r="A33" s="237"/>
      <c r="B33" s="267" t="s">
        <v>152</v>
      </c>
      <c r="C33" s="237"/>
      <c r="D33" s="102" t="s">
        <v>93</v>
      </c>
      <c r="E33" s="103">
        <f aca="true" t="shared" si="4" ref="E33:L33">E35+E36+E37+E38</f>
        <v>145419766.80999997</v>
      </c>
      <c r="F33" s="103">
        <f t="shared" si="4"/>
        <v>23456977</v>
      </c>
      <c r="G33" s="103">
        <f t="shared" si="4"/>
        <v>23253823.41</v>
      </c>
      <c r="H33" s="103">
        <f t="shared" si="4"/>
        <v>20404100.630000003</v>
      </c>
      <c r="I33" s="103">
        <f t="shared" si="4"/>
        <v>21449180.680000003</v>
      </c>
      <c r="J33" s="103">
        <f t="shared" si="4"/>
        <v>20211116.450000003</v>
      </c>
      <c r="K33" s="103">
        <f t="shared" si="4"/>
        <v>18046700.52</v>
      </c>
      <c r="L33" s="103">
        <f t="shared" si="4"/>
        <v>18597868.12</v>
      </c>
      <c r="M33" s="239"/>
      <c r="N33" s="247"/>
      <c r="O33" s="247"/>
      <c r="P33" s="247"/>
      <c r="Q33" s="247"/>
      <c r="R33" s="247"/>
      <c r="S33" s="247"/>
      <c r="T33" s="247"/>
      <c r="U33" s="250"/>
    </row>
    <row r="34" spans="1:21" ht="12.75" customHeight="1">
      <c r="A34" s="237"/>
      <c r="B34" s="268"/>
      <c r="C34" s="237"/>
      <c r="D34" s="242" t="s">
        <v>113</v>
      </c>
      <c r="E34" s="243"/>
      <c r="F34" s="243"/>
      <c r="G34" s="243"/>
      <c r="H34" s="243"/>
      <c r="I34" s="243"/>
      <c r="J34" s="243"/>
      <c r="K34" s="243"/>
      <c r="L34" s="244"/>
      <c r="M34" s="240"/>
      <c r="N34" s="248"/>
      <c r="O34" s="248"/>
      <c r="P34" s="248"/>
      <c r="Q34" s="248"/>
      <c r="R34" s="248"/>
      <c r="S34" s="248"/>
      <c r="T34" s="248"/>
      <c r="U34" s="251"/>
    </row>
    <row r="35" spans="1:21" ht="13.5" customHeight="1">
      <c r="A35" s="237"/>
      <c r="B35" s="268"/>
      <c r="C35" s="237"/>
      <c r="D35" s="104" t="s">
        <v>91</v>
      </c>
      <c r="E35" s="103">
        <f>F35+G35+H35+I35+J35+K35+L35</f>
        <v>144765185.64</v>
      </c>
      <c r="F35" s="105">
        <f>F11+F17+F29</f>
        <v>23399977</v>
      </c>
      <c r="G35" s="105">
        <f aca="true" t="shared" si="5" ref="G35:L35">G11+G17+G29+G23</f>
        <v>23253823.41</v>
      </c>
      <c r="H35" s="105">
        <f t="shared" si="5"/>
        <v>20404100.630000003</v>
      </c>
      <c r="I35" s="105">
        <f t="shared" si="5"/>
        <v>21301599.51</v>
      </c>
      <c r="J35" s="105">
        <f t="shared" si="5"/>
        <v>20061116.450000003</v>
      </c>
      <c r="K35" s="105">
        <f t="shared" si="5"/>
        <v>17896700.52</v>
      </c>
      <c r="L35" s="105">
        <f t="shared" si="5"/>
        <v>18447868.12</v>
      </c>
      <c r="M35" s="240"/>
      <c r="N35" s="248"/>
      <c r="O35" s="248"/>
      <c r="P35" s="248"/>
      <c r="Q35" s="248"/>
      <c r="R35" s="248"/>
      <c r="S35" s="248"/>
      <c r="T35" s="248"/>
      <c r="U35" s="251"/>
    </row>
    <row r="36" spans="1:21" ht="13.5" customHeight="1">
      <c r="A36" s="237"/>
      <c r="B36" s="268"/>
      <c r="C36" s="237"/>
      <c r="D36" s="104" t="s">
        <v>89</v>
      </c>
      <c r="E36" s="103">
        <f>F36+G36+H36+I36+J36+K36+L36</f>
        <v>0</v>
      </c>
      <c r="F36" s="105">
        <f>F12+F18+F30</f>
        <v>0</v>
      </c>
      <c r="G36" s="105">
        <f aca="true" t="shared" si="6" ref="G36:L38">G12+G18+G30</f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40"/>
      <c r="N36" s="248"/>
      <c r="O36" s="248"/>
      <c r="P36" s="248"/>
      <c r="Q36" s="248"/>
      <c r="R36" s="248"/>
      <c r="S36" s="248"/>
      <c r="T36" s="248"/>
      <c r="U36" s="251"/>
    </row>
    <row r="37" spans="1:21" ht="13.5" customHeight="1">
      <c r="A37" s="237"/>
      <c r="B37" s="268"/>
      <c r="C37" s="237"/>
      <c r="D37" s="104" t="s">
        <v>90</v>
      </c>
      <c r="E37" s="103">
        <f>F37+G37+H37+I37+J37+K37+L37</f>
        <v>0</v>
      </c>
      <c r="F37" s="105">
        <f>F13+F19+F31</f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40"/>
      <c r="N37" s="248"/>
      <c r="O37" s="248"/>
      <c r="P37" s="248"/>
      <c r="Q37" s="248"/>
      <c r="R37" s="248"/>
      <c r="S37" s="248"/>
      <c r="T37" s="248"/>
      <c r="U37" s="251"/>
    </row>
    <row r="38" spans="1:21" ht="13.5" customHeight="1">
      <c r="A38" s="237"/>
      <c r="B38" s="269"/>
      <c r="C38" s="237"/>
      <c r="D38" s="104" t="s">
        <v>92</v>
      </c>
      <c r="E38" s="103">
        <f>F38+G38+H38+I38+J38+K38+L38</f>
        <v>654581.17</v>
      </c>
      <c r="F38" s="105">
        <f>F14+F20+F32</f>
        <v>57000</v>
      </c>
      <c r="G38" s="105">
        <f t="shared" si="6"/>
        <v>0</v>
      </c>
      <c r="H38" s="105">
        <f t="shared" si="6"/>
        <v>0</v>
      </c>
      <c r="I38" s="105">
        <f t="shared" si="6"/>
        <v>147581.17</v>
      </c>
      <c r="J38" s="105">
        <f t="shared" si="6"/>
        <v>150000</v>
      </c>
      <c r="K38" s="105">
        <f t="shared" si="6"/>
        <v>150000</v>
      </c>
      <c r="L38" s="105">
        <f t="shared" si="6"/>
        <v>150000</v>
      </c>
      <c r="M38" s="241"/>
      <c r="N38" s="249"/>
      <c r="O38" s="249"/>
      <c r="P38" s="249"/>
      <c r="Q38" s="249"/>
      <c r="R38" s="249"/>
      <c r="S38" s="249"/>
      <c r="T38" s="249"/>
      <c r="U38" s="252"/>
    </row>
    <row r="39" spans="1:21" ht="13.5" customHeight="1">
      <c r="A39" s="237"/>
      <c r="B39" s="267" t="s">
        <v>222</v>
      </c>
      <c r="C39" s="237"/>
      <c r="D39" s="102" t="s">
        <v>93</v>
      </c>
      <c r="E39" s="103">
        <f aca="true" t="shared" si="7" ref="E39:L39">E41+E42+E43+E44</f>
        <v>145419766.80999997</v>
      </c>
      <c r="F39" s="103">
        <f t="shared" si="7"/>
        <v>23456977</v>
      </c>
      <c r="G39" s="103">
        <f t="shared" si="7"/>
        <v>23253823.41</v>
      </c>
      <c r="H39" s="103">
        <f t="shared" si="7"/>
        <v>20404100.630000003</v>
      </c>
      <c r="I39" s="103">
        <f t="shared" si="7"/>
        <v>21449180.680000003</v>
      </c>
      <c r="J39" s="103">
        <f t="shared" si="7"/>
        <v>20211116.450000003</v>
      </c>
      <c r="K39" s="103">
        <f t="shared" si="7"/>
        <v>18046700.52</v>
      </c>
      <c r="L39" s="103">
        <f t="shared" si="7"/>
        <v>18597868.12</v>
      </c>
      <c r="M39" s="239"/>
      <c r="N39" s="247"/>
      <c r="O39" s="247"/>
      <c r="P39" s="247"/>
      <c r="Q39" s="247"/>
      <c r="R39" s="247"/>
      <c r="S39" s="247"/>
      <c r="T39" s="247"/>
      <c r="U39" s="250"/>
    </row>
    <row r="40" spans="1:21" ht="12.75" customHeight="1">
      <c r="A40" s="237"/>
      <c r="B40" s="268"/>
      <c r="C40" s="237"/>
      <c r="D40" s="242" t="s">
        <v>113</v>
      </c>
      <c r="E40" s="243"/>
      <c r="F40" s="243"/>
      <c r="G40" s="243"/>
      <c r="H40" s="243"/>
      <c r="I40" s="243"/>
      <c r="J40" s="243"/>
      <c r="K40" s="243"/>
      <c r="L40" s="244"/>
      <c r="M40" s="240"/>
      <c r="N40" s="248"/>
      <c r="O40" s="248"/>
      <c r="P40" s="248"/>
      <c r="Q40" s="248"/>
      <c r="R40" s="248"/>
      <c r="S40" s="248"/>
      <c r="T40" s="248"/>
      <c r="U40" s="251"/>
    </row>
    <row r="41" spans="1:21" ht="13.5" customHeight="1">
      <c r="A41" s="237"/>
      <c r="B41" s="268"/>
      <c r="C41" s="237"/>
      <c r="D41" s="104" t="s">
        <v>91</v>
      </c>
      <c r="E41" s="103">
        <f>F41+G41+H41+I41+J41+K41+L41</f>
        <v>144765185.64</v>
      </c>
      <c r="F41" s="105">
        <f>F35</f>
        <v>23399977</v>
      </c>
      <c r="G41" s="105">
        <f aca="true" t="shared" si="8" ref="G41:L44">G35</f>
        <v>23253823.41</v>
      </c>
      <c r="H41" s="105">
        <f t="shared" si="8"/>
        <v>20404100.630000003</v>
      </c>
      <c r="I41" s="105">
        <f t="shared" si="8"/>
        <v>21301599.51</v>
      </c>
      <c r="J41" s="105">
        <f t="shared" si="8"/>
        <v>20061116.450000003</v>
      </c>
      <c r="K41" s="105">
        <f t="shared" si="8"/>
        <v>17896700.52</v>
      </c>
      <c r="L41" s="105">
        <f t="shared" si="8"/>
        <v>18447868.12</v>
      </c>
      <c r="M41" s="240"/>
      <c r="N41" s="248"/>
      <c r="O41" s="248"/>
      <c r="P41" s="248"/>
      <c r="Q41" s="248"/>
      <c r="R41" s="248"/>
      <c r="S41" s="248"/>
      <c r="T41" s="248"/>
      <c r="U41" s="251"/>
    </row>
    <row r="42" spans="1:21" ht="13.5" customHeight="1">
      <c r="A42" s="237"/>
      <c r="B42" s="268"/>
      <c r="C42" s="237"/>
      <c r="D42" s="104" t="s">
        <v>89</v>
      </c>
      <c r="E42" s="103">
        <f>F42+G42+H42+I42+J42+K42+L42</f>
        <v>0</v>
      </c>
      <c r="F42" s="105">
        <f>F36</f>
        <v>0</v>
      </c>
      <c r="G42" s="105">
        <f aca="true" t="shared" si="9" ref="G42:H44">G36</f>
        <v>0</v>
      </c>
      <c r="H42" s="105">
        <f t="shared" si="9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240"/>
      <c r="N42" s="248"/>
      <c r="O42" s="248"/>
      <c r="P42" s="248"/>
      <c r="Q42" s="248"/>
      <c r="R42" s="248"/>
      <c r="S42" s="248"/>
      <c r="T42" s="248"/>
      <c r="U42" s="251"/>
    </row>
    <row r="43" spans="1:21" ht="13.5" customHeight="1">
      <c r="A43" s="237"/>
      <c r="B43" s="268"/>
      <c r="C43" s="237"/>
      <c r="D43" s="104" t="s">
        <v>90</v>
      </c>
      <c r="E43" s="103">
        <f>F43+G43+H43+I43+J43+K43+L43</f>
        <v>0</v>
      </c>
      <c r="F43" s="105">
        <f>F37</f>
        <v>0</v>
      </c>
      <c r="G43" s="105">
        <f t="shared" si="9"/>
        <v>0</v>
      </c>
      <c r="H43" s="105">
        <f t="shared" si="9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240"/>
      <c r="N43" s="248"/>
      <c r="O43" s="248"/>
      <c r="P43" s="248"/>
      <c r="Q43" s="248"/>
      <c r="R43" s="248"/>
      <c r="S43" s="248"/>
      <c r="T43" s="248"/>
      <c r="U43" s="251"/>
    </row>
    <row r="44" spans="1:21" ht="13.5" customHeight="1">
      <c r="A44" s="237"/>
      <c r="B44" s="269"/>
      <c r="C44" s="237"/>
      <c r="D44" s="104" t="s">
        <v>92</v>
      </c>
      <c r="E44" s="103">
        <f>F44+G44+H44+I44+J44+K44+L44</f>
        <v>654581.17</v>
      </c>
      <c r="F44" s="105">
        <f>F38</f>
        <v>57000</v>
      </c>
      <c r="G44" s="105">
        <f t="shared" si="9"/>
        <v>0</v>
      </c>
      <c r="H44" s="105">
        <f t="shared" si="9"/>
        <v>0</v>
      </c>
      <c r="I44" s="105">
        <f t="shared" si="8"/>
        <v>147581.17</v>
      </c>
      <c r="J44" s="105">
        <f t="shared" si="8"/>
        <v>150000</v>
      </c>
      <c r="K44" s="105">
        <f t="shared" si="8"/>
        <v>150000</v>
      </c>
      <c r="L44" s="105">
        <f t="shared" si="8"/>
        <v>150000</v>
      </c>
      <c r="M44" s="241"/>
      <c r="N44" s="249"/>
      <c r="O44" s="249"/>
      <c r="P44" s="249"/>
      <c r="Q44" s="249"/>
      <c r="R44" s="249"/>
      <c r="S44" s="249"/>
      <c r="T44" s="249"/>
      <c r="U44" s="252"/>
    </row>
    <row r="48" ht="12.75">
      <c r="G48" s="26"/>
    </row>
  </sheetData>
  <sheetProtection/>
  <mergeCells count="89"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2017-12-28T06:44:52Z</cp:lastPrinted>
  <dcterms:created xsi:type="dcterms:W3CDTF">2013-06-06T11:09:14Z</dcterms:created>
  <dcterms:modified xsi:type="dcterms:W3CDTF">2018-01-09T14:08:28Z</dcterms:modified>
  <cp:category/>
  <cp:version/>
  <cp:contentType/>
  <cp:contentStatus/>
</cp:coreProperties>
</file>