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1'!$8:$8</definedName>
    <definedName name="_xlnm.Print_Area" localSheetId="0">'Приложение 1'!$E$1:$F$137</definedName>
  </definedNames>
  <calcPr fullCalcOnLoad="1"/>
</workbook>
</file>

<file path=xl/sharedStrings.xml><?xml version="1.0" encoding="utf-8"?>
<sst xmlns="http://schemas.openxmlformats.org/spreadsheetml/2006/main" count="7817" uniqueCount="1070">
  <si>
    <t xml:space="preserve">     Минимальный налог, зачисляемый в бюджеты субъектов Российской Федерации</t>
  </si>
  <si>
    <t>048</t>
  </si>
  <si>
    <t>0000</t>
  </si>
  <si>
    <t>120</t>
  </si>
  <si>
    <t xml:space="preserve">      Прочие поступления от денежных взысканий (штрафов) и иных сумм в возмещение ущерба, зачисляемые в бюджеты городских округов</t>
  </si>
  <si>
    <t>140</t>
  </si>
  <si>
    <t xml:space="preserve">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</si>
  <si>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</si>
  <si>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110</t>
  </si>
  <si>
    <t xml:space="preserve">      Единый налог на вмененный доход для отдельных видов деятельности</t>
  </si>
  <si>
    <t xml:space="preserve">      Единый налог на вмененый доход  для отдельных видов деятельности (за налоговые периоды, истекшие до 01.01.2011г)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</si>
  <si>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</si>
  <si>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</si>
  <si>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</si>
  <si>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388</t>
  </si>
  <si>
    <t>914</t>
  </si>
  <si>
    <t>130</t>
  </si>
  <si>
    <t>151</t>
  </si>
  <si>
    <t>915</t>
  </si>
  <si>
    <t xml:space="preserve">      Прочие доходы от компенсации затрат бюджетов городских округов 
</t>
  </si>
  <si>
    <t>410</t>
  </si>
  <si>
    <t>916</t>
  </si>
  <si>
    <t>918</t>
  </si>
  <si>
    <t>919</t>
  </si>
  <si>
    <t>Всего доходов:</t>
  </si>
  <si>
    <t>000</t>
  </si>
  <si>
    <t>Приложение 1</t>
  </si>
  <si>
    <t xml:space="preserve">    Плата за выбросы загрязняющих веществ в атмосферный воздух стационарными объектами</t>
  </si>
  <si>
    <t xml:space="preserve">    Плата за сбросы загрязняющих веществ в водные объекты</t>
  </si>
  <si>
    <t xml:space="preserve">    Плата за размещение отходов производства и потребления</t>
  </si>
  <si>
    <t>161</t>
  </si>
  <si>
    <t xml:space="preserve">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</si>
  <si>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</si>
  <si>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прктикой в соответствии со статьей 227 Налогового кодекса Российской Федерации</t>
  </si>
  <si>
    <t xml:space="preserve">      Налог на доходы физических лиц с доходов, полученных физическими лицами в соответствии со статьней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</si>
  <si>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</si>
  <si>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Налог, взимаемый с налогоплательщиков, выбравших в качестве объекта налогообложения доходы</t>
  </si>
  <si>
    <t xml:space="preserve">      Налог, взимаемый с налогоплательщиков, выбравших в качестве объекта налогообложения доходы, уменьшенные на величину расходов</t>
  </si>
  <si>
    <t>188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</si>
  <si>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</si>
  <si>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</si>
  <si>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Наименование</t>
  </si>
  <si>
    <t xml:space="preserve">      Субвенции бюджетам городских округов на государственную регистрацию актов гражданского состояния</t>
  </si>
  <si>
    <t xml:space="preserve">     Государственная пошлина за выдачу разрешения на установку рекламной конструкции </t>
  </si>
  <si>
    <t xml:space="preserve">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</si>
  <si>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Дотации бюджетам городских округов на выравнивание бюджетной обеспеченности</t>
  </si>
  <si>
    <t xml:space="preserve">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</si>
  <si>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Налог, взимаемый в связи с применением патентной системы налогообложения, зачисляемый в бюджеты городских округов</t>
  </si>
  <si>
    <t>1164300001</t>
  </si>
  <si>
    <t xml:space="preserve">      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</si>
  <si>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</si>
  <si>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</si>
  <si>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</si>
  <si>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</si>
  <si>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</si>
  <si>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</si>
  <si>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1030224001</t>
  </si>
  <si>
    <t>1030225001</t>
  </si>
  <si>
    <t>1030226001</t>
  </si>
  <si>
    <t xml:space="preserve">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</si>
  <si>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Прочие денежные взыскания (штрафы) за правонарушения в области дорожного хозяйства</t>
  </si>
  <si>
    <t xml:space="preserve">      Доходы, поступающие в порядке возмещения расходов, понесенных в связи с эксплуатацией имущества городских округов
</t>
  </si>
  <si>
    <t xml:space="preserve">      Земельный налог с организаций, обладающих земельным участком, расположенным в границах городских округов</t>
  </si>
  <si>
    <t xml:space="preserve">      Земельный налог с физических лиц, обладающих земельным участком, расположенным в границах городских округов</t>
  </si>
  <si>
    <t xml:space="preserve">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</si>
  <si>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150</t>
  </si>
  <si>
    <t xml:space="preserve">      Дотации бюджетам городских округов на поддержку мер по обеспечению сбалансированности бюджета</t>
  </si>
  <si>
    <t>% исполнения</t>
  </si>
  <si>
    <t>Код администратора доходов</t>
  </si>
  <si>
    <t>Код классификации доходов бюджетов</t>
  </si>
  <si>
    <t>Исполнено,           руб., коп.</t>
  </si>
  <si>
    <t xml:space="preserve">                 к решению Совета депутатов ЗАТО Александровск</t>
  </si>
  <si>
    <t>Управление Федеральной службы по надзору в сфере природопользования (Росприроднадзора) по Мурманской области</t>
  </si>
  <si>
    <t>1 12 01010 01</t>
  </si>
  <si>
    <t>1 12 01030 01</t>
  </si>
  <si>
    <t>1 12 01040 01</t>
  </si>
  <si>
    <t>НАЛОГОВЫЕ И НЕНАЛОГОВЫЕ ДОХОДЫ</t>
  </si>
  <si>
    <t>1 16 90040 04</t>
  </si>
  <si>
    <t>Управление Федерального казначейства по Мурманской области</t>
  </si>
  <si>
    <t>1 00 00000 00</t>
  </si>
  <si>
    <t>Государственная инспекция труда в Мурманской области</t>
  </si>
  <si>
    <t>1 16 43000 01</t>
  </si>
  <si>
    <t>Управление Федеральной антимонопольной службы по Мурманской области</t>
  </si>
  <si>
    <t>1 16 33040 04</t>
  </si>
  <si>
    <t>1 01 0201001</t>
  </si>
  <si>
    <t>1 01 02020 01</t>
  </si>
  <si>
    <t>1 01 0203001</t>
  </si>
  <si>
    <t>1 01 02040 01</t>
  </si>
  <si>
    <t>1 05 0101101</t>
  </si>
  <si>
    <t>1 05 0101201</t>
  </si>
  <si>
    <t>1 05 01021 01</t>
  </si>
  <si>
    <t>1 05 0105001</t>
  </si>
  <si>
    <t>1 05 02010 02</t>
  </si>
  <si>
    <t>1 05 02020 02</t>
  </si>
  <si>
    <t>1 05 04010 02</t>
  </si>
  <si>
    <t>1 06 01020 04</t>
  </si>
  <si>
    <t>1 06 06032 04</t>
  </si>
  <si>
    <t>1 06 06042 04</t>
  </si>
  <si>
    <t>1 08 03010 01</t>
  </si>
  <si>
    <t>1 16 03010 01</t>
  </si>
  <si>
    <t>1 16 03030 01</t>
  </si>
  <si>
    <t>1 16 06000 01</t>
  </si>
  <si>
    <t>Межрайонная инспекция Федеральной налоговой службы России № 2 по Мурманской области</t>
  </si>
  <si>
    <t>1 16 30030 01</t>
  </si>
  <si>
    <t>1 16 4300001</t>
  </si>
  <si>
    <t>1 16 9004004</t>
  </si>
  <si>
    <t>1 16 28000 01</t>
  </si>
  <si>
    <t>Региональное управление № 120 Федерального медико-биологического агенства</t>
  </si>
  <si>
    <t>Администрация ЗАТО Александровск</t>
  </si>
  <si>
    <t>2 00 00000 00</t>
  </si>
  <si>
    <t>БЕЗВОЗМЕЗДНЫЕ ПОСТУПЛЕНИЯ</t>
  </si>
  <si>
    <t xml:space="preserve">      Прочие субвенции бюджетам городских округов</t>
  </si>
  <si>
    <t xml:space="preserve">0000 </t>
  </si>
  <si>
    <t>180</t>
  </si>
  <si>
    <t xml:space="preserve">1 17 01040 04 </t>
  </si>
  <si>
    <t xml:space="preserve">2 18 04010 04 </t>
  </si>
  <si>
    <t xml:space="preserve">      Доходы бюджетов городских округов от возврата бюджетными учреждениями остатков субсидий прошлых лет</t>
  </si>
  <si>
    <t xml:space="preserve">      Невыясненные поступления, зачисляемые в бюджеты городских округов</t>
  </si>
  <si>
    <t xml:space="preserve">      Прочие субсидии бюджетам городских округов</t>
  </si>
  <si>
    <t>1 13 02064 04</t>
  </si>
  <si>
    <t>1 13 02994 04</t>
  </si>
  <si>
    <t>1 14 02043 04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</si>
  <si>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</si>
  <si>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муниципальной собственностью администрации ЗАТО Александровск</t>
  </si>
  <si>
    <t>1 08 07150 01</t>
  </si>
  <si>
    <t>1 11 05012 04</t>
  </si>
  <si>
    <t>1 11 05024 04</t>
  </si>
  <si>
    <t>1 11 05034 04</t>
  </si>
  <si>
    <t>1 11 09044 04</t>
  </si>
  <si>
    <t xml:space="preserve">    Прочие субвенции бюджетам городских округов</t>
  </si>
  <si>
    <t xml:space="preserve">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</si>
  <si>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</si>
  <si>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</si>
  <si>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</si>
  <si>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 xml:space="preserve">      Прочии субвенции бюджетам городских округов</t>
  </si>
  <si>
    <t xml:space="preserve">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</si>
  <si>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 xml:space="preserve">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</si>
  <si>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Управление культуры, спорта и молодежной политики администрации ЗАТО Александровск</t>
  </si>
  <si>
    <t>Уточненный план, руб., коп.</t>
  </si>
  <si>
    <t>1 16 25050 01</t>
  </si>
  <si>
    <t xml:space="preserve">      Денежные взыскания (штрафы) за нарушение законодательства в области охраны окружающей среды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</si>
  <si>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</si>
  <si>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</si>
  <si>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 xml:space="preserve">    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</si>
  <si>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Отдел Министерства внутренних дел РФ по ЗАТО Александровск Мурманской области</t>
  </si>
  <si>
    <t>1 16 08010 01</t>
  </si>
  <si>
    <t xml:space="preserve">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</si>
  <si>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913</t>
  </si>
  <si>
    <t>Совет депутатов ЗАТО Александровск</t>
  </si>
  <si>
    <t>1 11 05074 04</t>
  </si>
  <si>
    <t xml:space="preserve">    Доходы от сдачи в аренду имущества, составляющего казну городских округов (за исключением земельных участков)
</t>
  </si>
  <si>
    <t>1 11 07014 04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</si>
  <si>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</si>
  <si>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>1 13 01994 04</t>
  </si>
  <si>
    <t xml:space="preserve">      Прочие доходы от оказания платных услуг (работ) получателями средств бюджетов городских округов
</t>
  </si>
  <si>
    <t xml:space="preserve">  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</si>
  <si>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   Прочие субсидии бюджетам городских округов </t>
  </si>
  <si>
    <t>924</t>
  </si>
  <si>
    <t>Контрольно-счетная палата муниципального образования ЗАТО Александровск Мурманской области</t>
  </si>
  <si>
    <t>Доходы бюджета муниципального образования ЗАТО Александровск по кодам классификации доходов бюджетов за 2017 год</t>
  </si>
  <si>
    <t xml:space="preserve">              от                  2018 года №      </t>
  </si>
  <si>
    <t>322</t>
  </si>
  <si>
    <t>Управление Федеральной службы судебных приставов по Мурманской области</t>
  </si>
  <si>
    <t>830</t>
  </si>
  <si>
    <t>Комитет государственного и финансового контроля по Мурманской области</t>
  </si>
  <si>
    <t>1 17 05040 04</t>
  </si>
  <si>
    <t xml:space="preserve">      Прочие неналоговые доходы бюджетов городских округов 
</t>
  </si>
  <si>
    <t>2 02 29999 04</t>
  </si>
  <si>
    <t>2 02 35930 04</t>
  </si>
  <si>
    <t>2 02 39999 04</t>
  </si>
  <si>
    <t xml:space="preserve">2 19 60010 04 </t>
  </si>
  <si>
    <t>2 02 20041 04</t>
  </si>
  <si>
    <t>2 02 25555 04</t>
  </si>
  <si>
    <t xml:space="preserve">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</si>
  <si>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2 02 15001 04</t>
  </si>
  <si>
    <t>2 02 15002 04</t>
  </si>
  <si>
    <t>2 02 15010 04</t>
  </si>
  <si>
    <t>2 02 30027 04</t>
  </si>
  <si>
    <t>2 02 30029 04</t>
  </si>
  <si>
    <t>2 02 25519 04</t>
  </si>
  <si>
    <t xml:space="preserve">      Субсидии бюджетам городских округов на поддержку отрасли культуры</t>
  </si>
  <si>
    <t xml:space="preserve">                                             Приложение № 3</t>
  </si>
  <si>
    <t>по разделам и подразделам классификации расходов бюджетов</t>
  </si>
  <si>
    <t>Раздел</t>
  </si>
  <si>
    <t>Подраздел</t>
  </si>
  <si>
    <t>Уточненный план, руб.,коп.</t>
  </si>
  <si>
    <t>Исполнено, руб., коп.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</si>
  <si>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</si>
  <si>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</si>
  <si>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</si>
  <si>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</si>
  <si>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</si>
  <si>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</si>
  <si>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</si>
  <si>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</si>
  <si>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</si>
  <si>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</si>
  <si>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</si>
  <si>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</si>
  <si>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</si>
  <si>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</si>
  <si>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</si>
  <si>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</si>
  <si>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</si>
  <si>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</si>
  <si>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</si>
  <si>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</si>
  <si>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</si>
  <si>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</si>
  <si>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</si>
  <si>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</si>
  <si>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</si>
  <si>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</si>
  <si>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</si>
  <si>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</si>
  <si>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</si>
  <si>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</si>
  <si>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</si>
  <si>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</si>
  <si>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</si>
  <si>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</si>
  <si>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</si>
  <si>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</si>
  <si>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</si>
  <si>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</si>
  <si>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</si>
  <si>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</si>
  <si>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</si>
  <si>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</si>
  <si>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</si>
  <si>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</si>
  <si>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</si>
  <si>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</si>
  <si>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</si>
  <si>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</si>
  <si>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</si>
  <si>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</si>
  <si>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</si>
  <si>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</si>
  <si>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</si>
  <si>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</si>
  <si>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</si>
  <si>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</si>
  <si>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</si>
  <si>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 xml:space="preserve"> Приложение № 4</t>
  </si>
  <si>
    <t xml:space="preserve">   к решению Совета депутатов ЗАТО Александровск</t>
  </si>
  <si>
    <t xml:space="preserve">Источники финансирования дефицита местного бюджета ЗАТО Александровск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</si>
  <si>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</si>
  <si>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</si>
  <si>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</si>
  <si>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главный админи-стратор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</si>
  <si>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</si>
  <si>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</si>
  <si>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</si>
  <si>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</si>
  <si>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</si>
  <si>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</si>
  <si>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</si>
  <si>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</si>
  <si>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1.1</t>
  </si>
  <si>
    <t>Получение кредитов от кредитных организаций в валюте Российской Федерации</t>
  </si>
  <si>
    <t>700</t>
  </si>
  <si>
    <t>Получение кредитов от кредитных организаций бюджетами городских округов в валюте Российской Федерации</t>
  </si>
  <si>
    <t>710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</si>
  <si>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</si>
  <si>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</si>
  <si>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</si>
  <si>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</si>
  <si>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</si>
  <si>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</si>
  <si>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</si>
  <si>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</si>
  <si>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</si>
  <si>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</si>
  <si>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</si>
  <si>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</si>
  <si>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</si>
  <si>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</si>
  <si>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</si>
  <si>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</si>
  <si>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</si>
  <si>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</si>
  <si>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</si>
  <si>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</si>
  <si>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</si>
  <si>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</si>
  <si>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</si>
  <si>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</si>
  <si>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</si>
  <si>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</si>
  <si>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</si>
  <si>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</si>
  <si>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</si>
  <si>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</si>
  <si>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</si>
  <si>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810</t>
  </si>
  <si>
    <t>ИТОГО ИСТОЧНИКОВ ВНУТРЕННЕГО ФИНАНСИРОВАНИЯ ДЕФИЦИТА БЮДЖЕТА</t>
  </si>
  <si>
    <t>от "______"______________ №_____</t>
  </si>
  <si>
    <t>Расходы местного бюджета ЗАТО Александровск за 2017 год</t>
  </si>
  <si>
    <t>Охрана объектов растительного и животного мира и среды их обитания</t>
  </si>
  <si>
    <t>Дополнительное образование детей</t>
  </si>
  <si>
    <t>Молодежная политика</t>
  </si>
  <si>
    <t>от  "______"________________№_______</t>
  </si>
  <si>
    <t>по кодам классификации источников финансирования дефицитов бюджетов за 2017 год</t>
  </si>
  <si>
    <t>Погашение кредитов, предоставленных кредитными организациями в валюте Российской Федерации</t>
  </si>
  <si>
    <t>Погашение бюджтами городских округов кредитов от крдитных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</si>
  <si>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</si>
  <si>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</si>
  <si>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ведом-ства</t>
  </si>
  <si>
    <t xml:space="preserve">Раздел </t>
  </si>
  <si>
    <t>Под-раздел</t>
  </si>
  <si>
    <t>Целевая статья расходов</t>
  </si>
  <si>
    <t>Вид расхо-дов</t>
  </si>
  <si>
    <t>0000000000</t>
  </si>
  <si>
    <t>ОБЩЕГОСУДАРСТВЕННЫЕ ВОПРОСЫ</t>
  </si>
  <si>
    <t>Муниципальная программа ЗАТО Александровск "Эффективное муниципальное управление"на 2014 - 2020 годы</t>
  </si>
  <si>
    <t>8200000000</t>
  </si>
  <si>
    <t>Подпрограмма 8 "Развитие муниципальной службы ЗАТО Александровск"</t>
  </si>
  <si>
    <t>8280000000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</si>
  <si>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</si>
  <si>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8281100000</t>
  </si>
  <si>
    <t>Расходы на обеспечение функций работников органов местного самоуправления</t>
  </si>
  <si>
    <t>8281106030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</si>
  <si>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</si>
  <si>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</si>
  <si>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</si>
  <si>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 xml:space="preserve"> Обеспечение выполнения служебного поручения муниципальными служащими вне места постоянной работы</t>
  </si>
  <si>
    <t>8281300000</t>
  </si>
  <si>
    <t>8281306030</t>
  </si>
  <si>
    <t>Непрограммная деятельность</t>
  </si>
  <si>
    <t>9900000000</t>
  </si>
  <si>
    <t>Расходы на выплаты по оплате труда главы муниципального образования</t>
  </si>
  <si>
    <t>9900001010</t>
  </si>
  <si>
    <t>Расходы на обеспечение функций главы муниципального образования</t>
  </si>
  <si>
    <t>9900001030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</si>
  <si>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</si>
  <si>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9900013060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</si>
  <si>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</si>
  <si>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</si>
  <si>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>8281200000</t>
  </si>
  <si>
    <t>8281206030</t>
  </si>
  <si>
    <t>Расходы на выплаты по оплате труда депутатов представительного органа муниципального образования</t>
  </si>
  <si>
    <t>9900003010</t>
  </si>
  <si>
    <t>Расходы на выплаты по оплате труда работников органов местного самоуправления</t>
  </si>
  <si>
    <t>9900006010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</si>
  <si>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</si>
  <si>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9900008210</t>
  </si>
  <si>
    <t>Муниципальная программа ЗАТО Александровск "Информационное общество" на 2014 - 2020 годы</t>
  </si>
  <si>
    <t>8000000000</t>
  </si>
  <si>
    <t>Подпрограмма 2 "Развитие информационного общества и формирование электронного правительства"</t>
  </si>
  <si>
    <t>8020000000</t>
  </si>
  <si>
    <t xml:space="preserve"> Обеспечение доступа к информации о деятельности органов местного самоуправления с помощью интернет-сайта</t>
  </si>
  <si>
    <t>8022200000</t>
  </si>
  <si>
    <t>Прочие направления расходов муниципальной программы</t>
  </si>
  <si>
    <t>8022229990</t>
  </si>
  <si>
    <t xml:space="preserve"> Развитие информационно-технологической инфраструктуры органов местного самоуправления</t>
  </si>
  <si>
    <t>8022300000</t>
  </si>
  <si>
    <t>8022329990</t>
  </si>
  <si>
    <t>Подпрограмма 6 "Обслуживание деятельности органов местного самоуправления"</t>
  </si>
  <si>
    <t>8260000000</t>
  </si>
  <si>
    <t xml:space="preserve"> Материально-техническое обеспечение органов местного самоуправления ЗАТО Александровск</t>
  </si>
  <si>
    <t>8262200000</t>
  </si>
  <si>
    <t>8262229990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</si>
  <si>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</si>
  <si>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>Подпрограмма 1 "Обеспечение деятельности администрации ЗАТО Александровск"</t>
  </si>
  <si>
    <t>8210000000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</si>
  <si>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</si>
  <si>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8211100000</t>
  </si>
  <si>
    <t>Расходы на выплаты по оплате труда главы местной администрации</t>
  </si>
  <si>
    <t>8211104010</t>
  </si>
  <si>
    <t>8211106010</t>
  </si>
  <si>
    <t>Социальное обеспечение и иные выплаты населению</t>
  </si>
  <si>
    <t>300</t>
  </si>
  <si>
    <t>8211106030</t>
  </si>
  <si>
    <t>8211108210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</si>
  <si>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</si>
  <si>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8211108400</t>
  </si>
  <si>
    <t>8211113060</t>
  </si>
  <si>
    <t>Проведение выборов в представительный орган местного самоуправления</t>
  </si>
  <si>
    <t>9900005100</t>
  </si>
  <si>
    <t>Муниципальная программа "Повышение качества жизни отдельных категорий граждан ЗАТО Александровск"на 2014 - 2020 годы</t>
  </si>
  <si>
    <t>7100000000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</si>
  <si>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</si>
  <si>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>7101700000</t>
  </si>
  <si>
    <t>Предоставление субсидий социально-ориентированным некоммерческим организациям</t>
  </si>
  <si>
    <t>7101760040</t>
  </si>
  <si>
    <t>Предоставление субсидий бюджетным, автономным учреждениям и иным некоммерческим организациям</t>
  </si>
  <si>
    <t>Муниципальная программа "Обеспечение комплексной безопасности населения ЗАТО Александровск"на 2014 - 2020 годы</t>
  </si>
  <si>
    <t>7500000000</t>
  </si>
  <si>
    <t>Подпрограмма 1 "Профилактика правонарушений, обеспечение безопасности населения ЗАТО Александровск"</t>
  </si>
  <si>
    <t>7510000000</t>
  </si>
  <si>
    <t xml:space="preserve"> Содержание и эксплуатация установленного оборудования АПК "Безопасный город"</t>
  </si>
  <si>
    <t>7511100000</t>
  </si>
  <si>
    <t>Мероприятия по развитию и обслуживанию системы АПК "Безопасный город"</t>
  </si>
  <si>
    <t>7511120110</t>
  </si>
  <si>
    <t xml:space="preserve"> Разработка проектно-сметной документации на создание АПК "Безопасный город"</t>
  </si>
  <si>
    <t>7511200000</t>
  </si>
  <si>
    <t>7511229990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</si>
  <si>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</si>
  <si>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7511600000</t>
  </si>
  <si>
    <t>7511629990</t>
  </si>
  <si>
    <t>Муниципальная программа ЗАТО Александровск "Энергоэффективность и развитие энергетики" на 2014 - 2020 годы</t>
  </si>
  <si>
    <t>7800000000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</si>
  <si>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</si>
  <si>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7801400000</t>
  </si>
  <si>
    <t>7801429990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</si>
  <si>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</si>
  <si>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7900000000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</si>
  <si>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</si>
  <si>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>7903100000</t>
  </si>
  <si>
    <t>7903129990</t>
  </si>
  <si>
    <t>Иные бюджетные ассигнования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</si>
  <si>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</si>
  <si>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8022370570</t>
  </si>
  <si>
    <t>80223S0570</t>
  </si>
  <si>
    <t xml:space="preserve"> Приобретение средств (ЭЦП, VipNet) для подключения к системе межведомственного электронного взаимодействия</t>
  </si>
  <si>
    <t>8022500000</t>
  </si>
  <si>
    <t>8022529990</t>
  </si>
  <si>
    <t xml:space="preserve"> Развитие информационно- технологической инфраструктуры муниципальных учреждений</t>
  </si>
  <si>
    <t>8023100000</t>
  </si>
  <si>
    <t>8023129990</t>
  </si>
  <si>
    <t xml:space="preserve"> Защита информационных систем и ресурсов</t>
  </si>
  <si>
    <t>8024100000</t>
  </si>
  <si>
    <t>8024129990</t>
  </si>
  <si>
    <t xml:space="preserve"> Мероприятия по технической защите информации</t>
  </si>
  <si>
    <t>8024200000</t>
  </si>
  <si>
    <t>8024229990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</si>
  <si>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</si>
  <si>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8040000000</t>
  </si>
  <si>
    <t xml:space="preserve"> Организация предоставления государственных и муниципальных услуг по принципу "одного окна"</t>
  </si>
  <si>
    <t>8041100000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</si>
  <si>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</si>
  <si>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8041100020</t>
  </si>
  <si>
    <t>8041113060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</si>
  <si>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</si>
  <si>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8041113070</t>
  </si>
  <si>
    <t xml:space="preserve"> Реализация Закона Мурманской области "Об административных комиссиях"</t>
  </si>
  <si>
    <t>8211300000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</si>
  <si>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</si>
  <si>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8211375540</t>
  </si>
  <si>
    <t>Субвенция на реализацию Закона Мурманской области "Об административных комиссиях"</t>
  </si>
  <si>
    <t>8211375550</t>
  </si>
  <si>
    <t>Подпрограмма 4 "Архивное дело ЗАТО Александровск"</t>
  </si>
  <si>
    <t>8240000000</t>
  </si>
  <si>
    <t xml:space="preserve"> Обеспечение сохранности, комплектования, учета и использования архивных документов</t>
  </si>
  <si>
    <t>8241100000</t>
  </si>
  <si>
    <t>8241100020</t>
  </si>
  <si>
    <t>8241113060</t>
  </si>
  <si>
    <t xml:space="preserve"> Автотранспортная перевозка пассажиров и грузов и сопутствующие ей работы</t>
  </si>
  <si>
    <t>8261100000</t>
  </si>
  <si>
    <t>8261100020</t>
  </si>
  <si>
    <t>8261113060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</si>
  <si>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</si>
  <si>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>8262100000</t>
  </si>
  <si>
    <t>8262100020</t>
  </si>
  <si>
    <t>8262113060</t>
  </si>
  <si>
    <t>8262200020</t>
  </si>
  <si>
    <t>8262213060</t>
  </si>
  <si>
    <t>Прочие расходы администрации ЗАТО Александровск</t>
  </si>
  <si>
    <t>9900020130</t>
  </si>
  <si>
    <t xml:space="preserve">Выплаты по решениям судов и оплата государственной пошлины </t>
  </si>
  <si>
    <t>9900099990</t>
  </si>
  <si>
    <t xml:space="preserve">Социальное обеспечение и иные выплаты населению
</t>
  </si>
  <si>
    <t>НАЦИОНАЛЬНАЯ БЕЗОПАСНОСТЬ И ПРАВООХРАНИТЕЛЬНАЯ ДЕЯТЕЛЬНОСТЬ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</si>
  <si>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</si>
  <si>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>8211200000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</si>
  <si>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</si>
  <si>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8211259300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</si>
  <si>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</si>
  <si>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</si>
  <si>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</si>
  <si>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7530000000</t>
  </si>
  <si>
    <t xml:space="preserve"> Обслуживание автоматической системы контроля за радиационной обстановкой г. Гаджиево, г. Снежногорск</t>
  </si>
  <si>
    <t>7531100000</t>
  </si>
  <si>
    <t>7531129990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</si>
  <si>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</si>
  <si>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>7531400000</t>
  </si>
  <si>
    <t>7531400020</t>
  </si>
  <si>
    <t>7531413060</t>
  </si>
  <si>
    <t xml:space="preserve"> Обслуживание МАСЦО ЗАТО Александровск</t>
  </si>
  <si>
    <t>7531600000</t>
  </si>
  <si>
    <t>7531629990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</si>
  <si>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</si>
  <si>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7531700000</t>
  </si>
  <si>
    <t>7531729990</t>
  </si>
  <si>
    <t>Приобретение, монтаж и сопряжение с МАСЦО ЗАТО Александровск блоков перехвата теле-радио вещания</t>
  </si>
  <si>
    <t>7531800000</t>
  </si>
  <si>
    <t>7531829990</t>
  </si>
  <si>
    <t>НАЦИОНАЛЬНАЯ ЭКОНОМИКА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</si>
  <si>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</si>
  <si>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7400000000</t>
  </si>
  <si>
    <t>Подпрограмма 6 "Транспортное обслуживание населения ЗАТО Александровск"</t>
  </si>
  <si>
    <t>7460000000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</si>
  <si>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</si>
  <si>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7461100000</t>
  </si>
  <si>
    <t>Возмещение затрат в связи с осуществлением регулярных пассажирских перевозок на социально-значимых маршрутах</t>
  </si>
  <si>
    <t>7461160010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</si>
  <si>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</si>
  <si>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7462100000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</si>
  <si>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</si>
  <si>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7462176600</t>
  </si>
  <si>
    <t xml:space="preserve"> Приобретение автобусов</t>
  </si>
  <si>
    <t>7463100000</t>
  </si>
  <si>
    <t>7463129990</t>
  </si>
  <si>
    <t>Подпрограмма 1 "Управление развитием информационного общества и формированием электронного правительства"</t>
  </si>
  <si>
    <t>8010000000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</si>
  <si>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</si>
  <si>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8011100000</t>
  </si>
  <si>
    <t>8011100020</t>
  </si>
  <si>
    <t>8011113060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</si>
  <si>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</si>
  <si>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8211600000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</si>
  <si>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</si>
  <si>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8211675510</t>
  </si>
  <si>
    <t>СОЦИАЛЬНАЯ ПОЛИТИКА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</si>
  <si>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</si>
  <si>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9900080010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</si>
  <si>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</si>
  <si>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>8211400000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</si>
  <si>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</si>
  <si>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8211475560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</si>
  <si>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</si>
  <si>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</si>
  <si>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</si>
  <si>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8211575530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</si>
  <si>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</si>
  <si>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8030000000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</si>
  <si>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</si>
  <si>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8031200000</t>
  </si>
  <si>
    <t>8031229990</t>
  </si>
  <si>
    <t>Подпрограмма 2 "Обеспечение деятельности управления муниципальной собственностью администрации ЗАТО Александровск"</t>
  </si>
  <si>
    <t>8220000000</t>
  </si>
  <si>
    <t xml:space="preserve"> Реализация функций в сфере управления муниципальным имуществом</t>
  </si>
  <si>
    <t>8221100000</t>
  </si>
  <si>
    <t>8221106010</t>
  </si>
  <si>
    <t>8221106030</t>
  </si>
  <si>
    <t>Расходы на крмпенсационные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</si>
  <si>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8221108400</t>
  </si>
  <si>
    <t>8221113060</t>
  </si>
  <si>
    <t>Оснащение мест проведения публичных и иных мероприятий досмотровым оборудованием и ограждениями для огранинения доступа на территории ЗАТО Александровск</t>
  </si>
  <si>
    <t>7511800000</t>
  </si>
  <si>
    <t>7511829990</t>
  </si>
  <si>
    <t>Подпрограмма 4 "Профилактика экстремизма и терроризма в ЗАТО Александровск"</t>
  </si>
  <si>
    <t>7540000000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</si>
  <si>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</si>
  <si>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7541300000</t>
  </si>
  <si>
    <t>7541329990</t>
  </si>
  <si>
    <t xml:space="preserve"> Проведение оценки рыночной стоимости нежилых помещений, арендуемых субъектами МСП</t>
  </si>
  <si>
    <t>7902300000</t>
  </si>
  <si>
    <t>7902329990</t>
  </si>
  <si>
    <t xml:space="preserve"> Изготовление технической документации на объекты недвижимого имущества</t>
  </si>
  <si>
    <t>7902400000</t>
  </si>
  <si>
    <t>7902429990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</si>
  <si>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</si>
  <si>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8221300000</t>
  </si>
  <si>
    <t>Оценка недвижимости, признание прав и регулирование отношений по государственной и муниципальной собственности</t>
  </si>
  <si>
    <t>8221320140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</si>
  <si>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</si>
  <si>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8250000000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</si>
  <si>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</si>
  <si>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8251100000</t>
  </si>
  <si>
    <t>8251100020</t>
  </si>
  <si>
    <t>8251113060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</si>
  <si>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</si>
  <si>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>8251200000</t>
  </si>
  <si>
    <t>8251200020</t>
  </si>
  <si>
    <t xml:space="preserve"> Своевременное распределение муниципальных жилых помещений гражданам в ЗАТО Александровск</t>
  </si>
  <si>
    <t>8252100000</t>
  </si>
  <si>
    <t>8252100020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</si>
  <si>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</si>
  <si>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8252200000</t>
  </si>
  <si>
    <t>8252229990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</si>
  <si>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</si>
  <si>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8253100000</t>
  </si>
  <si>
    <t>8253100020</t>
  </si>
  <si>
    <t>Оплата административных штрафов</t>
  </si>
  <si>
    <t>9900020160</t>
  </si>
  <si>
    <t>Выплаты по решениям судов и оплата государственной пошлины</t>
  </si>
  <si>
    <t>Капитальные вложения в объекты государственной (муниципальной) собственности</t>
  </si>
  <si>
    <t>400</t>
  </si>
  <si>
    <t>Подпрограмма 4 "Благоустройство территории муниципального образования ЗАТО Александровск"</t>
  </si>
  <si>
    <t>7440000000</t>
  </si>
  <si>
    <t xml:space="preserve"> Организация регулирования численности безнадзорных животных</t>
  </si>
  <si>
    <t>7442200000</t>
  </si>
  <si>
    <t>Субвенция на осуществление деятельности по отлову и содержанию безнадзорных животных</t>
  </si>
  <si>
    <t>7442275590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</si>
  <si>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</si>
  <si>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7442275600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</si>
  <si>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</si>
  <si>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7520000000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</si>
  <si>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</si>
  <si>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>7521300000</t>
  </si>
  <si>
    <t>7521329990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</si>
  <si>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</si>
  <si>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7521400000</t>
  </si>
  <si>
    <t>7521429990</t>
  </si>
  <si>
    <t>Муниципальная программа "Развитие транспортной системы ЗАТО Александровск" на 2014 - 2020 годы</t>
  </si>
  <si>
    <t>7700000000</t>
  </si>
  <si>
    <t xml:space="preserve"> Ремонт автомобильных дорог общего пользования и междомовых проездов ЗАТО Александровск</t>
  </si>
  <si>
    <t>7701100000</t>
  </si>
  <si>
    <t>Ремонт автомобильных дорог общего пользования местного значения</t>
  </si>
  <si>
    <t>7701120040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</si>
  <si>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</si>
  <si>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7701170930</t>
  </si>
  <si>
    <t>77011S0930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</si>
  <si>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</si>
  <si>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</si>
  <si>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</si>
  <si>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</si>
  <si>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>7702100000</t>
  </si>
  <si>
    <t>Содержание автомобильных дорог общего пользования местного значения, за исключением капитального ремонта и ремонта</t>
  </si>
  <si>
    <t>7702120050</t>
  </si>
  <si>
    <t>Капитальный и текущий ремонт объектов муниципальной собственности</t>
  </si>
  <si>
    <t>7702120090</t>
  </si>
  <si>
    <t>7702129990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</si>
  <si>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</si>
  <si>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>7702200000</t>
  </si>
  <si>
    <t>7702229990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</si>
  <si>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</si>
  <si>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8221200000</t>
  </si>
  <si>
    <t>Мероприятия по землеустройству и землепользованию</t>
  </si>
  <si>
    <t>8221220150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</si>
  <si>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</si>
  <si>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</si>
  <si>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</si>
  <si>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Выполнение работ по разработке проекта внесения изменений в Правила землепользования и застройки  муниципального образования ЗАТО Александровск Мурманской области</t>
  </si>
  <si>
    <t>8221800000</t>
  </si>
  <si>
    <t>8221820150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</si>
  <si>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</si>
  <si>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8270000000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</si>
  <si>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</si>
  <si>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8271100000</t>
  </si>
  <si>
    <t>8271100020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</si>
  <si>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</si>
  <si>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8271200000</t>
  </si>
  <si>
    <t>8271200020</t>
  </si>
  <si>
    <t>8271213060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</si>
  <si>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</si>
  <si>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8271300000</t>
  </si>
  <si>
    <t>8271300020</t>
  </si>
  <si>
    <t>ЖИЛИЩНО-КОММУНАЛЬНОЕ ХОЗЯЙСТВО</t>
  </si>
  <si>
    <t>Подпрограмма 1 "Капитальный ремонт многоквартирных домов ЗАТО Александровск"</t>
  </si>
  <si>
    <t>7410000000</t>
  </si>
  <si>
    <t xml:space="preserve"> Ремонт квартир</t>
  </si>
  <si>
    <t>7412300000</t>
  </si>
  <si>
    <t>7412320090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</si>
  <si>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</si>
  <si>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7413100000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</si>
  <si>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</si>
  <si>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7413170850</t>
  </si>
  <si>
    <t>74131S0850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</si>
  <si>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</si>
  <si>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7413200000</t>
  </si>
  <si>
    <t>Взносы на проведение капитального ремонта общего имущества многоквартирных домов</t>
  </si>
  <si>
    <t>7413220950</t>
  </si>
  <si>
    <t>Приобретение, установка, поверка, ремонт и замена приборов учета тепла, воды и электроэнергии</t>
  </si>
  <si>
    <t>7801500000</t>
  </si>
  <si>
    <t>7801529990</t>
  </si>
  <si>
    <t>Установка индивидуальных приборов учета коммунальных услуг в муниципальном жилищном фонде</t>
  </si>
  <si>
    <t>7802100000</t>
  </si>
  <si>
    <t>7802129990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</si>
  <si>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</si>
  <si>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7802200000</t>
  </si>
  <si>
    <t>7802229990</t>
  </si>
  <si>
    <t>Подпрограмма 2 "Подготовка объектов и систем жизнеобеспечения ЗАТО Александровск к работе в осенне-зимний период"</t>
  </si>
  <si>
    <t>7420000000</t>
  </si>
  <si>
    <t xml:space="preserve"> Капитальный ремонт сетей водоотведения</t>
  </si>
  <si>
    <t>7421200000</t>
  </si>
  <si>
    <t>Капитальный и текущий ремонт объектов жилищно-коммунального хозяйства</t>
  </si>
  <si>
    <t>7421220100</t>
  </si>
  <si>
    <t xml:space="preserve"> Капитальный ремонт сетей теплоснабжения</t>
  </si>
  <si>
    <t>7421400000</t>
  </si>
  <si>
    <t>7421420100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</si>
  <si>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</si>
  <si>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</si>
  <si>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</si>
  <si>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</si>
  <si>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7430000000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</si>
  <si>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</si>
  <si>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7432100000</t>
  </si>
  <si>
    <t>Возмещение убытков по жилищно-коммунальному хозяйству</t>
  </si>
  <si>
    <t>7432160030</t>
  </si>
  <si>
    <t xml:space="preserve"> Оплата за содержание, текущий ремонт и коммунальные услуги по пустующему муниципальному жилищному фонду</t>
  </si>
  <si>
    <t>7432200000</t>
  </si>
  <si>
    <t>7432229990</t>
  </si>
  <si>
    <t>Оплата за содержание и коммунальные услуги по жилому и нежилому муниципальному  фонду</t>
  </si>
  <si>
    <t>7432300000</t>
  </si>
  <si>
    <t>7432329990</t>
  </si>
  <si>
    <t xml:space="preserve"> Улучшение качества освещения улиц на территории муниципального образования ЗАТО Александровск</t>
  </si>
  <si>
    <t>7441100000</t>
  </si>
  <si>
    <t>Организация наружного освещения улиц и дворовых территорий муниципального образования</t>
  </si>
  <si>
    <t>7441120060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</si>
  <si>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</si>
  <si>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7441200000</t>
  </si>
  <si>
    <t>Обеспечение сохранности, технического обслуживания и содержания прочих объектов благоустройства</t>
  </si>
  <si>
    <t>7441220070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</si>
  <si>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</si>
  <si>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7441300000</t>
  </si>
  <si>
    <t>7441320090</t>
  </si>
  <si>
    <t>7441329990</t>
  </si>
  <si>
    <t xml:space="preserve"> Организация ритуальных услуг и содержание мест захоронения</t>
  </si>
  <si>
    <t>7441400000</t>
  </si>
  <si>
    <t>7441429990</t>
  </si>
  <si>
    <t>Мероприятия, связанные со строительством (реконструкцией) объектов муниципальной собственности</t>
  </si>
  <si>
    <t>7441440010</t>
  </si>
  <si>
    <t>Формирование современной городской среды ЗАТО Александровск</t>
  </si>
  <si>
    <t>7441500000</t>
  </si>
  <si>
    <t>7441520090</t>
  </si>
  <si>
    <t>7441529990</t>
  </si>
  <si>
    <t>Субсидии на поддержку муниципальных программ формирования современной городской среды</t>
  </si>
  <si>
    <t>74415L5550</t>
  </si>
  <si>
    <t>74415R5550</t>
  </si>
  <si>
    <t xml:space="preserve"> Создание условий и организация обустройства мест массового отдыха населения</t>
  </si>
  <si>
    <t>7442100000</t>
  </si>
  <si>
    <t>7442129990</t>
  </si>
  <si>
    <t xml:space="preserve"> Организация ограничения доступа в законсервированные дома на территории ЗАТО Александровск</t>
  </si>
  <si>
    <t>7442300000</t>
  </si>
  <si>
    <t>7442329990</t>
  </si>
  <si>
    <t>Создание условий безопасной среды для проживания в ЗАТО Александровск</t>
  </si>
  <si>
    <t>7442400000</t>
  </si>
  <si>
    <t>7442429990</t>
  </si>
  <si>
    <t>Подпрограмма 5 "Управление развитием системы жилищно-коммунального хозяйства ЗАТО Александровск"</t>
  </si>
  <si>
    <t>7450000000</t>
  </si>
  <si>
    <t xml:space="preserve"> Обеспечение эффективной работы объектов жилищно-коммунальной инфраструктуры</t>
  </si>
  <si>
    <t>7451100000</t>
  </si>
  <si>
    <t>7451100020</t>
  </si>
  <si>
    <t>7451129990</t>
  </si>
  <si>
    <t>9900000020</t>
  </si>
  <si>
    <t>Муниципальная программа ЗАТО Александровск "Охрана окружающей среды" на 2014 - 2020 годы</t>
  </si>
  <si>
    <t>7600000000</t>
  </si>
  <si>
    <t>Организация сбора твердых бытовых отходов и крупногабаритного мусора с территорий несанкционированных свалок</t>
  </si>
  <si>
    <t>7601200000</t>
  </si>
  <si>
    <t>7601229990</t>
  </si>
  <si>
    <t>ОБРАЗОВАНИЕ</t>
  </si>
  <si>
    <t>Муниципальная программа ЗАТО Александровск "Развитие образования"на 2014 - 2020 годы</t>
  </si>
  <si>
    <t>7000000000</t>
  </si>
  <si>
    <t>Подпрограмма 8 "Развитие современной инфраструктуры системы образования ЗАТО Александровск"</t>
  </si>
  <si>
    <t>7080000000</t>
  </si>
  <si>
    <t xml:space="preserve"> Строительство детского сада на 300 мест в г.Гаджиево</t>
  </si>
  <si>
    <t>7081100000</t>
  </si>
  <si>
    <t>Субсидия на софинансирование капитальных вложений в объекты муниципальной собственности (включая остатки прошлых лет)</t>
  </si>
  <si>
    <t>7081174000</t>
  </si>
  <si>
    <t>Обеспечение выполнения требований СанПиН и технической безопасности учреждений системы образования</t>
  </si>
  <si>
    <t>7082200000</t>
  </si>
  <si>
    <t>7082220090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</si>
  <si>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</si>
  <si>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8100000000</t>
  </si>
  <si>
    <t>Подпрограмма 1 "Совершенствование финансовой и бюджетной политики"</t>
  </si>
  <si>
    <t>8110000000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</si>
  <si>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</si>
  <si>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8111100000</t>
  </si>
  <si>
    <t>8111106010</t>
  </si>
  <si>
    <t>8111106030</t>
  </si>
  <si>
    <t>8111113060</t>
  </si>
  <si>
    <t>Резервный фонды</t>
  </si>
  <si>
    <t>Резервный фонд администрации ЗАТО Александровск</t>
  </si>
  <si>
    <t>9900020220</t>
  </si>
  <si>
    <t>Развитие информационно- технологической инфраструктуры муниципальных учреждений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</si>
  <si>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</si>
  <si>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>8130000000</t>
  </si>
  <si>
    <t>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</si>
  <si>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>8131100000</t>
  </si>
  <si>
    <t>8131100020</t>
  </si>
  <si>
    <t>Обслуживание внутреннего государственного и муниципального долга</t>
  </si>
  <si>
    <t>Подпрограмма 2 "Эффективное управление муниципальным долгом"</t>
  </si>
  <si>
    <t>8120000000</t>
  </si>
  <si>
    <t xml:space="preserve"> Исполнение принятых обязательств по погашению и обслуживанию долговых обязательств ЗАТО Александровск</t>
  </si>
  <si>
    <t>8122100000</t>
  </si>
  <si>
    <t>Процентные платежи по муниципальному долгу</t>
  </si>
  <si>
    <t>8122120120</t>
  </si>
  <si>
    <t>Обслуживание государственного (муниципального) долга</t>
  </si>
  <si>
    <t>Подпрограмма 3 "Развитие системы образования через эффективное выполнение муниципальных функций"</t>
  </si>
  <si>
    <t>7030000000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</si>
  <si>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</si>
  <si>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7031100000</t>
  </si>
  <si>
    <t>7031106010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</si>
  <si>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</si>
  <si>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7031200000</t>
  </si>
  <si>
    <t>7031206010</t>
  </si>
  <si>
    <t>7031213060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</si>
  <si>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</si>
  <si>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7034300000</t>
  </si>
  <si>
    <t>7034306010</t>
  </si>
  <si>
    <t>7034306030</t>
  </si>
  <si>
    <t>7034313060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</si>
  <si>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</si>
  <si>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7034400000</t>
  </si>
  <si>
    <t>7034406010</t>
  </si>
  <si>
    <t>7034406030</t>
  </si>
  <si>
    <t>7034413060</t>
  </si>
  <si>
    <t>Подпрограмма 1 "Качественное и доступное дошкольное образование"</t>
  </si>
  <si>
    <t>7010000000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</si>
  <si>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</si>
  <si>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>7011100000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</si>
  <si>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</si>
  <si>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7011171100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</si>
  <si>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</si>
  <si>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7011175380</t>
  </si>
  <si>
    <t>70111S1100</t>
  </si>
  <si>
    <t xml:space="preserve"> 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</si>
  <si>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7011200000</t>
  </si>
  <si>
    <t>7011200020</t>
  </si>
  <si>
    <t xml:space="preserve"> Предоставление социальных гарантий работникам</t>
  </si>
  <si>
    <t>7011400000</t>
  </si>
  <si>
    <t>7011413060</t>
  </si>
  <si>
    <t xml:space="preserve"> Обеспечение пожарной и электрической безопасности учреждений системы образования</t>
  </si>
  <si>
    <t>7082100000</t>
  </si>
  <si>
    <t>7082129990</t>
  </si>
  <si>
    <t>7082229990</t>
  </si>
  <si>
    <t xml:space="preserve"> Обеспечение антитеррористической и противокриминальной безопасности учреждений системы образования</t>
  </si>
  <si>
    <t>7082400000</t>
  </si>
  <si>
    <t>7082420090</t>
  </si>
  <si>
    <t>7082429990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</si>
  <si>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</si>
  <si>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7011175310</t>
  </si>
  <si>
    <t>Подпрограмма 2 "Обеспечение предоставления муниципальных услуг в сфере общего и дополнительного образования"</t>
  </si>
  <si>
    <t>7020000000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</si>
  <si>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</si>
  <si>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7021100000</t>
  </si>
  <si>
    <t>7021171100</t>
  </si>
  <si>
    <t>7021175310</t>
  </si>
  <si>
    <t>70211S1100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</si>
  <si>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</si>
  <si>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7021200000</t>
  </si>
  <si>
    <t>7021271100</t>
  </si>
  <si>
    <t>7021275310</t>
  </si>
  <si>
    <t>70212S1100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</si>
  <si>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</si>
  <si>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7021300000</t>
  </si>
  <si>
    <t>7021375310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</si>
  <si>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</si>
  <si>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7021700000</t>
  </si>
  <si>
    <t>7021700020</t>
  </si>
  <si>
    <t>7021900000</t>
  </si>
  <si>
    <t>7021913060</t>
  </si>
  <si>
    <t xml:space="preserve"> Обеспечение благоустройства территории ОУ</t>
  </si>
  <si>
    <t>7082300000</t>
  </si>
  <si>
    <t>7082329990</t>
  </si>
  <si>
    <t>Обеспечение антитеррористической и противокриминальной безопасности учреждений системы образования</t>
  </si>
  <si>
    <t xml:space="preserve"> Предоставление дополнительного образования детям в учреждениях дополнительного образования детей</t>
  </si>
  <si>
    <t>7022100000</t>
  </si>
  <si>
    <t>7022100020</t>
  </si>
  <si>
    <t>7022171100</t>
  </si>
  <si>
    <t>70221S1100</t>
  </si>
  <si>
    <t>7022300000</t>
  </si>
  <si>
    <t>7022313060</t>
  </si>
  <si>
    <t>Подпрограмма 7 "Организация отдыха, оздоровления и занятости детей и молодежи ЗАТО Александровск"</t>
  </si>
  <si>
    <t>7070000000</t>
  </si>
  <si>
    <t xml:space="preserve"> Организация отдыха и оздоровления детей в возрасте от 6 до 18 лет</t>
  </si>
  <si>
    <t>7071100000</t>
  </si>
  <si>
    <t>7071129990</t>
  </si>
  <si>
    <t>Субсидия на организацию отдыха детей  Мурманской области в  муниципальных образовательных организациях</t>
  </si>
  <si>
    <t>7071171070</t>
  </si>
  <si>
    <t>70711S1070</t>
  </si>
  <si>
    <t>Предоставление питания детям, находящимся в оздоровительном лагере дневного пребывания в МОУ</t>
  </si>
  <si>
    <t>7071200000</t>
  </si>
  <si>
    <t>Субсидия на организацию отдыха детей Мурманской области в муниципальных образовательных организациях</t>
  </si>
  <si>
    <t>7071271070</t>
  </si>
  <si>
    <t>70712S1070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</si>
  <si>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</si>
  <si>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7040000000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</si>
  <si>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</si>
  <si>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>7041100000</t>
  </si>
  <si>
    <t>7041100020</t>
  </si>
  <si>
    <t>7041300000</t>
  </si>
  <si>
    <t>7041313060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</si>
  <si>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</si>
  <si>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7050000000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</si>
  <si>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</si>
  <si>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>7051100000</t>
  </si>
  <si>
    <t>7051100020</t>
  </si>
  <si>
    <t>7051300000</t>
  </si>
  <si>
    <t>7051313060</t>
  </si>
  <si>
    <t>Подпрограмма 6 "Школьное здоровое питание"</t>
  </si>
  <si>
    <t>7060000000</t>
  </si>
  <si>
    <t xml:space="preserve"> Предоставление бесплатного молока обучающимся в 1-4 классах МОУ</t>
  </si>
  <si>
    <t>7061100000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</si>
  <si>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</si>
  <si>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7061171040</t>
  </si>
  <si>
    <t>70611S1040</t>
  </si>
  <si>
    <t xml:space="preserve"> Предоставление бесплатного питания отдельным категориям обучающихся МОУ</t>
  </si>
  <si>
    <t>7061200000</t>
  </si>
  <si>
    <t>Субвенция на обеспечение бесплатным питанием отдельных категорий обучающихся</t>
  </si>
  <si>
    <t>7061275320</t>
  </si>
  <si>
    <t xml:space="preserve"> Предоставление социальных гарантий работникам МАУО "КШП"</t>
  </si>
  <si>
    <t>7061500000</t>
  </si>
  <si>
    <t>7061513060</t>
  </si>
  <si>
    <t>Приобретение подарков на елку для одаренных детей</t>
  </si>
  <si>
    <t>7061600000</t>
  </si>
  <si>
    <t>7061600020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</si>
  <si>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</si>
  <si>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7011475100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</si>
  <si>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</si>
  <si>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7011475110</t>
  </si>
  <si>
    <t>7021975100</t>
  </si>
  <si>
    <t>7021975110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</si>
  <si>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</si>
  <si>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7032200000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</si>
  <si>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</si>
  <si>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7032275240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</si>
  <si>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</si>
  <si>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7032300000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</si>
  <si>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</si>
  <si>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7032375200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</si>
  <si>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</si>
  <si>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7032375210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</si>
  <si>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</si>
  <si>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7032400000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</si>
  <si>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</si>
  <si>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7032475250</t>
  </si>
  <si>
    <t xml:space="preserve">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</si>
  <si>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7011500000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</si>
  <si>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</si>
  <si>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7011575360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</si>
  <si>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</si>
  <si>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7011600000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</si>
  <si>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</si>
  <si>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7011675370</t>
  </si>
  <si>
    <t xml:space="preserve"> Реализация переданных государственных полномочий по опеке и попечительству в отношении несовершеннолетних</t>
  </si>
  <si>
    <t>7032100000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</si>
  <si>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</si>
  <si>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7032175520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</si>
  <si>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</si>
  <si>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>7032500000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</si>
  <si>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</si>
  <si>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7032575350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</si>
  <si>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</si>
  <si>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7032600000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</si>
  <si>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</si>
  <si>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7032675340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</si>
  <si>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</si>
  <si>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8230000000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</si>
  <si>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</si>
  <si>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>8231100000</t>
  </si>
  <si>
    <t>8231106010</t>
  </si>
  <si>
    <t>8231108400</t>
  </si>
  <si>
    <t>8231113060</t>
  </si>
  <si>
    <t>Муниципальная программа ЗАТО Александровск "Развитие культуры и сохранение культурного наследия"на 2014 - 2020 годы</t>
  </si>
  <si>
    <t>7300000000</t>
  </si>
  <si>
    <t>Подпрограмма 1 "Развитие творческого потенциала и организация досуга населения ЗАТО Александровск"</t>
  </si>
  <si>
    <t>7310000000</t>
  </si>
  <si>
    <t xml:space="preserve"> Реализация дополнительных общеразвивающих программ</t>
  </si>
  <si>
    <t>7312300000</t>
  </si>
  <si>
    <t>7312300020</t>
  </si>
  <si>
    <t>7312371100</t>
  </si>
  <si>
    <t>73123S1100</t>
  </si>
  <si>
    <t xml:space="preserve"> Реализация дополнительных общеобразовательных предпрофессиональных программ в области искусств</t>
  </si>
  <si>
    <t>7312400000</t>
  </si>
  <si>
    <t>7312400020</t>
  </si>
  <si>
    <t>7312471100</t>
  </si>
  <si>
    <t>73124S1100</t>
  </si>
  <si>
    <t>7312500000</t>
  </si>
  <si>
    <t>7312513060</t>
  </si>
  <si>
    <t>Муниципальная программа ЗАТО Александровск "Развитие физической культуры, спорта и молодежной политики"на 2014 - 2020 годы</t>
  </si>
  <si>
    <t>7200000000</t>
  </si>
  <si>
    <t>Подпрограмма 2 "Молодежь ЗАТО Александровск"</t>
  </si>
  <si>
    <t>7220000000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</si>
  <si>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</si>
  <si>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>7221100000</t>
  </si>
  <si>
    <t>7221129990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</si>
  <si>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</si>
  <si>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7221200000</t>
  </si>
  <si>
    <t>7221229990</t>
  </si>
  <si>
    <t xml:space="preserve"> Обеспечение функционирования молодежного сайта ЗАТО Александровск "ZatoRozetka"</t>
  </si>
  <si>
    <t>7221300000</t>
  </si>
  <si>
    <t>7221329990</t>
  </si>
  <si>
    <t xml:space="preserve"> Выплата премий и стипендий главы администрации ЗАТО Александровск одаренным детям и учащейся молодежи</t>
  </si>
  <si>
    <t>7222100000</t>
  </si>
  <si>
    <t>Стипендии и премии главы администрации ЗАТО Александровск</t>
  </si>
  <si>
    <t>7222120010</t>
  </si>
  <si>
    <t>Подпрограмма 3 "Патриотическое воспитание граждан"</t>
  </si>
  <si>
    <t>7230000000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</si>
  <si>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</si>
  <si>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7231200000</t>
  </si>
  <si>
    <t>7231200020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</si>
  <si>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</si>
  <si>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7231400000</t>
  </si>
  <si>
    <t>7231400020</t>
  </si>
  <si>
    <t>7231500000</t>
  </si>
  <si>
    <t>7231513060</t>
  </si>
  <si>
    <t>КУЛЬТУРА, КИНЕМАТОГРАФИЯ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</si>
  <si>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</si>
  <si>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7101200000</t>
  </si>
  <si>
    <t>7101220090</t>
  </si>
  <si>
    <t>7101229990</t>
  </si>
  <si>
    <t xml:space="preserve"> Организация и проведение культурно-массовых мероприятий в соответствии с годовым планом</t>
  </si>
  <si>
    <t>7311100000</t>
  </si>
  <si>
    <t>7311129990</t>
  </si>
  <si>
    <t xml:space="preserve"> Организация деятельности клубных формирований и формирований самодеятельного народного творчества</t>
  </si>
  <si>
    <t>7313100000</t>
  </si>
  <si>
    <t>7313100020</t>
  </si>
  <si>
    <t>7313171100</t>
  </si>
  <si>
    <t>73131S1100</t>
  </si>
  <si>
    <t>Субсидия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</si>
  <si>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73131R5190</t>
  </si>
  <si>
    <t>7313300000</t>
  </si>
  <si>
    <t>7313313060</t>
  </si>
  <si>
    <t>Подпрограмма 2 "Библиотечное дело ЗАТО Александровск"</t>
  </si>
  <si>
    <t>7320000000</t>
  </si>
  <si>
    <t xml:space="preserve"> Библиотечное, библиографическое и информационное обслуживание пользователей библиотеки</t>
  </si>
  <si>
    <t>7321100000</t>
  </si>
  <si>
    <t>7321100020</t>
  </si>
  <si>
    <t>7321171100</t>
  </si>
  <si>
    <t>73211S1100</t>
  </si>
  <si>
    <t>7321200000</t>
  </si>
  <si>
    <t>7321213060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</si>
  <si>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</si>
  <si>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>7322300000</t>
  </si>
  <si>
    <t>7322300020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</si>
  <si>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</si>
  <si>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73223L5190</t>
  </si>
  <si>
    <t>73223R5190</t>
  </si>
  <si>
    <t xml:space="preserve"> Библиографическая обработка документов и создание каталогов</t>
  </si>
  <si>
    <t>7322400000</t>
  </si>
  <si>
    <t>7322400020</t>
  </si>
  <si>
    <t xml:space="preserve"> Организация и проведение культурно-массовых мероприятий</t>
  </si>
  <si>
    <t>7323100000</t>
  </si>
  <si>
    <t>7323100020</t>
  </si>
  <si>
    <t>Подпрограмма 3 "Музейное дело ЗАТО Александровск"</t>
  </si>
  <si>
    <t>7330000000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</si>
  <si>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</si>
  <si>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>7331300000</t>
  </si>
  <si>
    <t>7331300020</t>
  </si>
  <si>
    <t xml:space="preserve"> Публичный показ музейных предметов, музейных коллекций</t>
  </si>
  <si>
    <t>7332200000</t>
  </si>
  <si>
    <t>7332200020</t>
  </si>
  <si>
    <t>7332271100</t>
  </si>
  <si>
    <t>73322S1100</t>
  </si>
  <si>
    <t xml:space="preserve"> Создание экспозиций (выставок) музеев, организация выездных выставок</t>
  </si>
  <si>
    <t>7332300000</t>
  </si>
  <si>
    <t>7332300020</t>
  </si>
  <si>
    <t>7332371100</t>
  </si>
  <si>
    <t>73323S1100</t>
  </si>
  <si>
    <t>7332400000</t>
  </si>
  <si>
    <t>7332413060</t>
  </si>
  <si>
    <t>Подпрограмма 5 "Модернизация учреждений культуры и дополнительного образования в сфере культуры ЗАТО Александровск"</t>
  </si>
  <si>
    <t>7350000000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</si>
  <si>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</si>
  <si>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7351200000</t>
  </si>
  <si>
    <t>7351220090</t>
  </si>
  <si>
    <t>7313375100</t>
  </si>
  <si>
    <t>7313375110</t>
  </si>
  <si>
    <t>7321275100</t>
  </si>
  <si>
    <t>7321275110</t>
  </si>
  <si>
    <t>ФИЗИЧЕСКАЯ КУЛЬТУРА И СПОРТ</t>
  </si>
  <si>
    <t xml:space="preserve">Физическая культура
</t>
  </si>
  <si>
    <t>Подпрограмма 1 "Развитие физической культуры и спорта"</t>
  </si>
  <si>
    <t>7210000000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</si>
  <si>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</si>
  <si>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>7211100000</t>
  </si>
  <si>
    <t>7211129990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</si>
  <si>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</si>
  <si>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7212100000</t>
  </si>
  <si>
    <t>7212129990</t>
  </si>
  <si>
    <t>контрольно-счетная палата муниципального образования ЗАТО Александровск Мурманской области</t>
  </si>
  <si>
    <t>Расходы на выплаты по оплате труда руководителя контрольно-счетной палаты муниципального образования и его заместителей</t>
  </si>
  <si>
    <t>9900005010</t>
  </si>
  <si>
    <t>9900006030</t>
  </si>
  <si>
    <t>Расходы на оплату единовременных, вступительных, организационных, членских взносов и сборов</t>
  </si>
  <si>
    <t>9900020170</t>
  </si>
  <si>
    <t>Всего расходов:</t>
  </si>
  <si>
    <t>админ</t>
  </si>
  <si>
    <t>уф</t>
  </si>
  <si>
    <t>уо</t>
  </si>
  <si>
    <t>уксимп</t>
  </si>
  <si>
    <t>умс</t>
  </si>
  <si>
    <t>от "______"___________________ №________</t>
  </si>
  <si>
    <t xml:space="preserve">                                             Приложение № 2</t>
  </si>
  <si>
    <t>Исполнено, руб.,коп.</t>
  </si>
  <si>
    <t xml:space="preserve">Расходы местного бюджета ЗАТО Александровск за 2017 год по ведомственной структуре расходов                                                                                                                          местного бюджета ЗАТО Александровск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</si>
</sst>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6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right"/>
      <protection/>
    </xf>
    <xf numFmtId="0" fontId="40" fillId="20" borderId="0">
      <alignment shrinkToFit="1"/>
      <protection/>
    </xf>
    <xf numFmtId="0" fontId="40" fillId="0" borderId="0">
      <alignment/>
      <protection/>
    </xf>
    <xf numFmtId="0" fontId="41" fillId="0" borderId="1">
      <alignment vertical="top" wrapText="1"/>
      <protection/>
    </xf>
    <xf numFmtId="49" fontId="40" fillId="0" borderId="1">
      <alignment horizontal="center" vertical="top" shrinkToFit="1"/>
      <protection/>
    </xf>
    <xf numFmtId="4" fontId="41" fillId="21" borderId="1">
      <alignment horizontal="right" vertical="top" shrinkToFi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0" fontId="44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top" shrinkToFi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top" shrinkToFit="1"/>
    </xf>
    <xf numFmtId="49" fontId="2" fillId="35" borderId="13" xfId="0" applyNumberFormat="1" applyFont="1" applyFill="1" applyBorder="1" applyAlignment="1">
      <alignment horizontal="center" vertical="top" shrinkToFit="1"/>
    </xf>
    <xf numFmtId="0" fontId="2" fillId="35" borderId="12" xfId="0" applyFont="1" applyFill="1" applyBorder="1" applyAlignment="1">
      <alignment horizontal="left" vertical="top" wrapText="1"/>
    </xf>
    <xf numFmtId="49" fontId="2" fillId="35" borderId="12" xfId="0" applyNumberFormat="1" applyFont="1" applyFill="1" applyBorder="1" applyAlignment="1">
      <alignment horizontal="center" vertical="top" shrinkToFit="1"/>
    </xf>
    <xf numFmtId="4" fontId="2" fillId="36" borderId="12" xfId="0" applyNumberFormat="1" applyFont="1" applyFill="1" applyBorder="1" applyAlignment="1">
      <alignment horizontal="right" vertical="top" shrinkToFit="1"/>
    </xf>
    <xf numFmtId="49" fontId="2" fillId="35" borderId="12" xfId="0" applyNumberFormat="1" applyFont="1" applyFill="1" applyBorder="1" applyAlignment="1">
      <alignment horizontal="left" vertical="top" wrapText="1"/>
    </xf>
    <xf numFmtId="49" fontId="2" fillId="35" borderId="12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justify" wrapText="1"/>
    </xf>
    <xf numFmtId="0" fontId="2" fillId="35" borderId="0" xfId="0" applyFont="1" applyFill="1" applyAlignment="1">
      <alignment/>
    </xf>
    <xf numFmtId="2" fontId="2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top" shrinkToFit="1"/>
    </xf>
    <xf numFmtId="0" fontId="2" fillId="0" borderId="12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left" vertical="center" wrapText="1"/>
    </xf>
    <xf numFmtId="4" fontId="1" fillId="37" borderId="12" xfId="0" applyNumberFormat="1" applyFont="1" applyFill="1" applyBorder="1" applyAlignment="1">
      <alignment horizontal="right" vertical="top" shrinkToFit="1"/>
    </xf>
    <xf numFmtId="0" fontId="1" fillId="37" borderId="12" xfId="0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top" shrinkToFit="1"/>
    </xf>
    <xf numFmtId="49" fontId="1" fillId="37" borderId="13" xfId="0" applyNumberFormat="1" applyFont="1" applyFill="1" applyBorder="1" applyAlignment="1">
      <alignment horizontal="center" vertical="top" shrinkToFit="1"/>
    </xf>
    <xf numFmtId="4" fontId="1" fillId="37" borderId="12" xfId="0" applyNumberFormat="1" applyFont="1" applyFill="1" applyBorder="1" applyAlignment="1">
      <alignment horizontal="right" vertical="center" wrapText="1"/>
    </xf>
    <xf numFmtId="49" fontId="1" fillId="37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wrapText="1"/>
    </xf>
    <xf numFmtId="49" fontId="1" fillId="38" borderId="12" xfId="0" applyNumberFormat="1" applyFont="1" applyFill="1" applyBorder="1" applyAlignment="1">
      <alignment horizontal="center" vertical="top" shrinkToFit="1"/>
    </xf>
    <xf numFmtId="4" fontId="2" fillId="38" borderId="12" xfId="0" applyNumberFormat="1" applyFont="1" applyFill="1" applyBorder="1" applyAlignment="1">
      <alignment horizontal="right" vertical="top" shrinkToFit="1"/>
    </xf>
    <xf numFmtId="0" fontId="2" fillId="38" borderId="0" xfId="0" applyFont="1" applyFill="1" applyAlignment="1">
      <alignment/>
    </xf>
    <xf numFmtId="49" fontId="2" fillId="38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top" wrapText="1"/>
    </xf>
    <xf numFmtId="4" fontId="2" fillId="35" borderId="0" xfId="0" applyNumberFormat="1" applyFont="1" applyFill="1" applyAlignment="1">
      <alignment/>
    </xf>
    <xf numFmtId="49" fontId="1" fillId="37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6" borderId="12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left" vertical="center" wrapText="1"/>
    </xf>
    <xf numFmtId="4" fontId="1" fillId="38" borderId="12" xfId="0" applyNumberFormat="1" applyFont="1" applyFill="1" applyBorder="1" applyAlignment="1">
      <alignment horizontal="right" vertical="center" wrapText="1"/>
    </xf>
    <xf numFmtId="49" fontId="1" fillId="38" borderId="11" xfId="0" applyNumberFormat="1" applyFont="1" applyFill="1" applyBorder="1" applyAlignment="1">
      <alignment horizontal="center" vertical="center" shrinkToFit="1"/>
    </xf>
    <xf numFmtId="49" fontId="1" fillId="38" borderId="13" xfId="0" applyNumberFormat="1" applyFont="1" applyFill="1" applyBorder="1" applyAlignment="1">
      <alignment horizontal="center" vertical="center" shrinkToFit="1"/>
    </xf>
    <xf numFmtId="49" fontId="1" fillId="37" borderId="12" xfId="0" applyNumberFormat="1" applyFont="1" applyFill="1" applyBorder="1" applyAlignment="1">
      <alignment horizontal="center" vertical="center" shrinkToFit="1"/>
    </xf>
    <xf numFmtId="49" fontId="1" fillId="37" borderId="11" xfId="0" applyNumberFormat="1" applyFont="1" applyFill="1" applyBorder="1" applyAlignment="1">
      <alignment horizontal="center" vertical="center" shrinkToFit="1"/>
    </xf>
    <xf numFmtId="49" fontId="1" fillId="37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" fontId="1" fillId="37" borderId="12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Alignment="1">
      <alignment vertical="center"/>
    </xf>
    <xf numFmtId="49" fontId="1" fillId="38" borderId="12" xfId="0" applyNumberFormat="1" applyFont="1" applyFill="1" applyBorder="1" applyAlignment="1">
      <alignment horizontal="center" vertical="center" shrinkToFit="1"/>
    </xf>
    <xf numFmtId="4" fontId="3" fillId="36" borderId="12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top" wrapText="1"/>
    </xf>
    <xf numFmtId="49" fontId="2" fillId="38" borderId="12" xfId="0" applyNumberFormat="1" applyFont="1" applyFill="1" applyBorder="1" applyAlignment="1">
      <alignment horizontal="center" vertical="top" shrinkToFit="1"/>
    </xf>
    <xf numFmtId="49" fontId="2" fillId="38" borderId="11" xfId="0" applyNumberFormat="1" applyFont="1" applyFill="1" applyBorder="1" applyAlignment="1">
      <alignment horizontal="center" vertical="top" shrinkToFit="1"/>
    </xf>
    <xf numFmtId="49" fontId="2" fillId="38" borderId="13" xfId="0" applyNumberFormat="1" applyFont="1" applyFill="1" applyBorder="1" applyAlignment="1">
      <alignment horizontal="center" vertical="top" shrinkToFit="1"/>
    </xf>
    <xf numFmtId="176" fontId="2" fillId="38" borderId="12" xfId="0" applyNumberFormat="1" applyFont="1" applyFill="1" applyBorder="1" applyAlignment="1">
      <alignment horizontal="left" vertical="top" wrapText="1"/>
    </xf>
    <xf numFmtId="4" fontId="1" fillId="38" borderId="12" xfId="0" applyNumberFormat="1" applyFont="1" applyFill="1" applyBorder="1" applyAlignment="1">
      <alignment horizontal="right" vertical="center" shrinkToFit="1"/>
    </xf>
    <xf numFmtId="2" fontId="2" fillId="0" borderId="12" xfId="0" applyNumberFormat="1" applyFont="1" applyFill="1" applyBorder="1" applyAlignment="1">
      <alignment horizontal="left" vertical="top" wrapText="1"/>
    </xf>
    <xf numFmtId="4" fontId="2" fillId="38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2" xfId="0" applyFont="1" applyFill="1" applyBorder="1" applyAlignment="1" applyProtection="1">
      <alignment vertical="top" wrapText="1" readingOrder="1"/>
      <protection locked="0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right" vertical="center" wrapText="1"/>
    </xf>
    <xf numFmtId="177" fontId="14" fillId="0" borderId="0" xfId="0" applyNumberFormat="1" applyFont="1" applyFill="1" applyBorder="1" applyAlignment="1">
      <alignment horizontal="right" vertical="center" wrapText="1"/>
    </xf>
    <xf numFmtId="10" fontId="14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7" fontId="14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" fontId="9" fillId="0" borderId="0" xfId="0" applyNumberFormat="1" applyFont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59" applyFont="1" applyFill="1" applyAlignment="1">
      <alignment horizontal="right"/>
      <protection/>
    </xf>
    <xf numFmtId="4" fontId="5" fillId="0" borderId="0" xfId="58" applyNumberFormat="1" applyFont="1" applyFill="1" applyAlignment="1" applyProtection="1">
      <alignment wrapText="1"/>
      <protection locked="0"/>
    </xf>
    <xf numFmtId="0" fontId="5" fillId="0" borderId="0" xfId="58" applyFont="1" applyFill="1" applyAlignment="1" applyProtection="1">
      <alignment wrapText="1"/>
      <protection locked="0"/>
    </xf>
    <xf numFmtId="0" fontId="57" fillId="0" borderId="14" xfId="33" applyNumberFormat="1" applyFont="1" applyFill="1" applyBorder="1" applyAlignment="1" applyProtection="1">
      <alignment wrapText="1"/>
      <protection/>
    </xf>
    <xf numFmtId="0" fontId="57" fillId="0" borderId="14" xfId="33" applyFont="1" applyFill="1" applyBorder="1" applyAlignment="1" applyProtection="1">
      <alignment wrapText="1"/>
      <protection locked="0"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" xfId="34" applyNumberFormat="1" applyFont="1" applyFill="1" applyBorder="1" applyAlignment="1" applyProtection="1">
      <alignment horizontal="center" vertical="center" wrapText="1"/>
      <protection/>
    </xf>
    <xf numFmtId="0" fontId="58" fillId="0" borderId="1" xfId="36" applyNumberFormat="1" applyFont="1" applyFill="1" applyAlignment="1" applyProtection="1">
      <alignment vertical="top" wrapText="1"/>
      <protection/>
    </xf>
    <xf numFmtId="49" fontId="58" fillId="0" borderId="1" xfId="37" applyNumberFormat="1" applyFont="1" applyFill="1" applyAlignment="1" applyProtection="1">
      <alignment horizontal="center" vertical="top" wrapText="1" shrinkToFit="1"/>
      <protection/>
    </xf>
    <xf numFmtId="4" fontId="58" fillId="0" borderId="1" xfId="38" applyNumberFormat="1" applyFont="1" applyFill="1" applyAlignment="1" applyProtection="1">
      <alignment horizontal="right" vertical="top" wrapText="1" shrinkToFit="1"/>
      <protection/>
    </xf>
    <xf numFmtId="4" fontId="4" fillId="0" borderId="0" xfId="58" applyNumberFormat="1" applyFont="1" applyFill="1" applyAlignment="1" applyProtection="1">
      <alignment wrapText="1"/>
      <protection locked="0"/>
    </xf>
    <xf numFmtId="0" fontId="4" fillId="0" borderId="0" xfId="58" applyFont="1" applyFill="1" applyAlignment="1" applyProtection="1">
      <alignment wrapText="1"/>
      <protection locked="0"/>
    </xf>
    <xf numFmtId="0" fontId="57" fillId="0" borderId="1" xfId="36" applyNumberFormat="1" applyFont="1" applyFill="1" applyAlignment="1" applyProtection="1">
      <alignment vertical="top" wrapText="1"/>
      <protection/>
    </xf>
    <xf numFmtId="49" fontId="57" fillId="0" borderId="1" xfId="37" applyNumberFormat="1" applyFont="1" applyFill="1" applyAlignment="1" applyProtection="1">
      <alignment horizontal="center" vertical="top" wrapText="1" shrinkToFit="1"/>
      <protection/>
    </xf>
    <xf numFmtId="4" fontId="57" fillId="0" borderId="1" xfId="38" applyNumberFormat="1" applyFont="1" applyFill="1" applyAlignment="1" applyProtection="1">
      <alignment horizontal="right" vertical="top" wrapText="1" shrinkToFit="1"/>
      <protection/>
    </xf>
    <xf numFmtId="0" fontId="57" fillId="0" borderId="15" xfId="36" applyNumberFormat="1" applyFont="1" applyFill="1" applyBorder="1" applyAlignment="1" applyProtection="1">
      <alignment vertical="top" wrapText="1"/>
      <protection/>
    </xf>
    <xf numFmtId="49" fontId="57" fillId="0" borderId="15" xfId="37" applyNumberFormat="1" applyFont="1" applyFill="1" applyBorder="1" applyAlignment="1" applyProtection="1">
      <alignment horizontal="center" vertical="top" wrapText="1" shrinkToFit="1"/>
      <protection/>
    </xf>
    <xf numFmtId="4" fontId="57" fillId="0" borderId="15" xfId="38" applyNumberFormat="1" applyFont="1" applyFill="1" applyBorder="1" applyAlignment="1" applyProtection="1">
      <alignment horizontal="right" vertical="top" wrapText="1" shrinkToFit="1"/>
      <protection/>
    </xf>
    <xf numFmtId="49" fontId="4" fillId="0" borderId="1" xfId="37" applyNumberFormat="1" applyFont="1" applyFill="1" applyAlignment="1" applyProtection="1">
      <alignment horizontal="center" vertical="center" wrapText="1" shrinkToFit="1"/>
      <protection/>
    </xf>
    <xf numFmtId="0" fontId="5" fillId="0" borderId="1" xfId="36" applyNumberFormat="1" applyFont="1" applyFill="1" applyAlignment="1" applyProtection="1">
      <alignment vertical="top" wrapText="1"/>
      <protection/>
    </xf>
    <xf numFmtId="49" fontId="5" fillId="0" borderId="1" xfId="37" applyNumberFormat="1" applyFont="1" applyFill="1" applyAlignment="1" applyProtection="1">
      <alignment horizontal="center" vertical="top" wrapText="1" shrinkToFit="1"/>
      <protection/>
    </xf>
    <xf numFmtId="4" fontId="5" fillId="0" borderId="1" xfId="38" applyNumberFormat="1" applyFont="1" applyFill="1" applyAlignment="1" applyProtection="1">
      <alignment horizontal="right" vertical="top" wrapText="1" shrinkToFit="1"/>
      <protection/>
    </xf>
    <xf numFmtId="0" fontId="4" fillId="0" borderId="1" xfId="36" applyNumberFormat="1" applyFont="1" applyFill="1" applyAlignment="1" applyProtection="1">
      <alignment vertical="top" wrapText="1"/>
      <protection/>
    </xf>
    <xf numFmtId="49" fontId="4" fillId="0" borderId="1" xfId="37" applyNumberFormat="1" applyFont="1" applyFill="1" applyAlignment="1" applyProtection="1">
      <alignment horizontal="center" vertical="top" wrapText="1" shrinkToFit="1"/>
      <protection/>
    </xf>
    <xf numFmtId="4" fontId="4" fillId="0" borderId="1" xfId="38" applyNumberFormat="1" applyFont="1" applyFill="1" applyAlignment="1" applyProtection="1">
      <alignment horizontal="right" vertical="top" wrapText="1" shrinkToFit="1"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" xfId="38" applyNumberFormat="1" applyFont="1" applyFill="1" applyAlignment="1" applyProtection="1">
      <alignment horizontal="right" vertical="center" wrapText="1" shrinkToFi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7" fillId="0" borderId="1" xfId="36" applyNumberFormat="1" applyFont="1" applyFill="1" applyProtection="1">
      <alignment vertical="top" wrapText="1"/>
      <protection/>
    </xf>
    <xf numFmtId="0" fontId="58" fillId="0" borderId="1" xfId="36" applyNumberFormat="1" applyFont="1" applyFill="1" applyProtection="1">
      <alignment vertical="top" wrapText="1"/>
      <protection/>
    </xf>
    <xf numFmtId="49" fontId="58" fillId="0" borderId="1" xfId="37" applyNumberFormat="1" applyFont="1" applyFill="1" applyProtection="1">
      <alignment horizontal="center" vertical="top" shrinkToFit="1"/>
      <protection/>
    </xf>
    <xf numFmtId="4" fontId="59" fillId="0" borderId="0" xfId="58" applyNumberFormat="1" applyFont="1" applyFill="1" applyAlignment="1" applyProtection="1">
      <alignment wrapText="1"/>
      <protection locked="0"/>
    </xf>
    <xf numFmtId="0" fontId="4" fillId="0" borderId="17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vertical="center" wrapText="1"/>
    </xf>
    <xf numFmtId="49" fontId="57" fillId="0" borderId="1" xfId="37" applyNumberFormat="1" applyFont="1" applyFill="1" applyProtection="1">
      <alignment horizontal="center" vertical="top" shrinkToFit="1"/>
      <protection/>
    </xf>
    <xf numFmtId="49" fontId="5" fillId="0" borderId="1" xfId="37" applyNumberFormat="1" applyFont="1" applyFill="1" applyProtection="1">
      <alignment horizontal="center" vertical="top" shrinkToFit="1"/>
      <protection/>
    </xf>
    <xf numFmtId="0" fontId="57" fillId="0" borderId="0" xfId="35" applyNumberFormat="1" applyFont="1" applyFill="1" applyAlignment="1" applyProtection="1">
      <alignment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60" fillId="0" borderId="0" xfId="59" applyFont="1" applyFill="1" applyAlignment="1">
      <alignment horizontal="right"/>
      <protection/>
    </xf>
    <xf numFmtId="0" fontId="60" fillId="0" borderId="14" xfId="33" applyFont="1" applyFill="1" applyBorder="1" applyAlignment="1" applyProtection="1">
      <alignment wrapText="1"/>
      <protection locked="0"/>
    </xf>
    <xf numFmtId="0" fontId="60" fillId="0" borderId="14" xfId="33" applyFont="1" applyFill="1" applyBorder="1" applyAlignment="1" applyProtection="1">
      <alignment horizontal="right" wrapText="1"/>
      <protection locked="0"/>
    </xf>
    <xf numFmtId="0" fontId="60" fillId="0" borderId="0" xfId="35" applyNumberFormat="1" applyFont="1" applyFill="1" applyAlignment="1" applyProtection="1">
      <alignment wrapText="1"/>
      <protection/>
    </xf>
    <xf numFmtId="4" fontId="60" fillId="0" borderId="0" xfId="58" applyNumberFormat="1" applyFont="1" applyFill="1" applyAlignment="1" applyProtection="1">
      <alignment wrapText="1"/>
      <protection locked="0"/>
    </xf>
    <xf numFmtId="0" fontId="60" fillId="0" borderId="0" xfId="58" applyFont="1" applyFill="1" applyAlignment="1" applyProtection="1">
      <alignment wrapText="1"/>
      <protection locked="0"/>
    </xf>
    <xf numFmtId="4" fontId="5" fillId="0" borderId="15" xfId="38" applyNumberFormat="1" applyFont="1" applyFill="1" applyBorder="1" applyAlignment="1" applyProtection="1">
      <alignment horizontal="right" vertical="top" wrapText="1" shrinkToFit="1"/>
      <protection/>
    </xf>
    <xf numFmtId="0" fontId="2" fillId="35" borderId="0" xfId="0" applyFont="1" applyFill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8" fillId="0" borderId="22" xfId="36" applyNumberFormat="1" applyFont="1" applyFill="1" applyBorder="1" applyAlignment="1" applyProtection="1">
      <alignment horizontal="right" vertical="top" wrapText="1"/>
      <protection/>
    </xf>
    <xf numFmtId="0" fontId="58" fillId="0" borderId="23" xfId="36" applyNumberFormat="1" applyFont="1" applyFill="1" applyBorder="1" applyAlignment="1" applyProtection="1">
      <alignment horizontal="right" vertical="top" wrapText="1"/>
      <protection/>
    </xf>
    <xf numFmtId="0" fontId="58" fillId="0" borderId="24" xfId="36" applyNumberFormat="1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7" xfId="34"/>
    <cellStyle name="xl31" xfId="35"/>
    <cellStyle name="xl33" xfId="36"/>
    <cellStyle name="xl34" xfId="37"/>
    <cellStyle name="xl3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showGridLines="0" tabSelected="1" zoomScalePageLayoutView="0" workbookViewId="0" topLeftCell="A1">
      <selection activeCell="F129" sqref="F129"/>
    </sheetView>
  </sheetViews>
  <sheetFormatPr defaultColWidth="9.00390625" defaultRowHeight="12.75" outlineLevelRow="5"/>
  <cols>
    <col min="1" max="1" width="5.125" style="1" customWidth="1"/>
    <col min="2" max="2" width="14.125" style="1" customWidth="1"/>
    <col min="3" max="3" width="6.125" style="1" customWidth="1"/>
    <col min="4" max="4" width="5.125" style="1" customWidth="1"/>
    <col min="5" max="5" width="57.875" style="1" customWidth="1"/>
    <col min="6" max="6" width="18.125" style="1" customWidth="1"/>
    <col min="7" max="7" width="18.00390625" style="1" customWidth="1"/>
    <col min="8" max="8" width="7.875" style="1" customWidth="1"/>
    <col min="9" max="9" width="12.25390625" style="1" bestFit="1" customWidth="1"/>
    <col min="10" max="16384" width="9.125" style="1" customWidth="1"/>
  </cols>
  <sheetData>
    <row r="1" spans="7:8" s="39" customFormat="1" ht="15" customHeight="1">
      <c r="G1" s="194" t="s">
        <v>26</v>
      </c>
      <c r="H1" s="194"/>
    </row>
    <row r="2" spans="5:8" s="39" customFormat="1" ht="15" customHeight="1">
      <c r="E2" s="194" t="s">
        <v>71</v>
      </c>
      <c r="F2" s="194"/>
      <c r="G2" s="194"/>
      <c r="H2" s="194"/>
    </row>
    <row r="3" spans="5:8" s="39" customFormat="1" ht="15" customHeight="1">
      <c r="E3" s="194" t="s">
        <v>160</v>
      </c>
      <c r="F3" s="194"/>
      <c r="G3" s="194"/>
      <c r="H3" s="194"/>
    </row>
    <row r="4" s="39" customFormat="1" ht="15" customHeight="1"/>
    <row r="5" s="39" customFormat="1" ht="15" customHeight="1"/>
    <row r="6" spans="1:8" s="39" customFormat="1" ht="44.25" customHeight="1">
      <c r="A6" s="195" t="s">
        <v>159</v>
      </c>
      <c r="B6" s="195"/>
      <c r="C6" s="195"/>
      <c r="D6" s="195"/>
      <c r="E6" s="195"/>
      <c r="F6" s="195"/>
      <c r="G6" s="195"/>
      <c r="H6" s="195"/>
    </row>
    <row r="7" s="39" customFormat="1" ht="15" customHeight="1"/>
    <row r="8" spans="1:8" ht="72.75" customHeight="1">
      <c r="A8" s="3" t="s">
        <v>68</v>
      </c>
      <c r="B8" s="191" t="s">
        <v>69</v>
      </c>
      <c r="C8" s="191"/>
      <c r="D8" s="192"/>
      <c r="E8" s="3" t="s">
        <v>41</v>
      </c>
      <c r="F8" s="40" t="s">
        <v>138</v>
      </c>
      <c r="G8" s="40" t="s">
        <v>70</v>
      </c>
      <c r="H8" s="3" t="s">
        <v>67</v>
      </c>
    </row>
    <row r="9" spans="1:8" ht="42.75">
      <c r="A9" s="45" t="s">
        <v>1</v>
      </c>
      <c r="B9" s="24"/>
      <c r="C9" s="24"/>
      <c r="D9" s="25"/>
      <c r="E9" s="23" t="s">
        <v>72</v>
      </c>
      <c r="F9" s="26">
        <f>F10</f>
        <v>1204000</v>
      </c>
      <c r="G9" s="26">
        <f>G10</f>
        <v>1073698.05</v>
      </c>
      <c r="H9" s="26">
        <f aca="true" t="shared" si="0" ref="H9:H19">G9/F9*100</f>
        <v>89.17757890365449</v>
      </c>
    </row>
    <row r="10" spans="1:9" ht="20.25" customHeight="1">
      <c r="A10" s="31"/>
      <c r="B10" s="43" t="s">
        <v>79</v>
      </c>
      <c r="C10" s="43" t="s">
        <v>2</v>
      </c>
      <c r="D10" s="44" t="s">
        <v>25</v>
      </c>
      <c r="E10" s="41" t="s">
        <v>76</v>
      </c>
      <c r="F10" s="42">
        <f>F11+F12+F13+F14</f>
        <v>1204000</v>
      </c>
      <c r="G10" s="42">
        <f>G11+G12+G13+G14</f>
        <v>1073698.05</v>
      </c>
      <c r="H10" s="42">
        <f t="shared" si="0"/>
        <v>89.17757890365449</v>
      </c>
      <c r="I10" s="33"/>
    </row>
    <row r="11" spans="1:8" ht="33" customHeight="1" outlineLevel="2">
      <c r="A11" s="8" t="s">
        <v>1</v>
      </c>
      <c r="B11" s="5" t="s">
        <v>73</v>
      </c>
      <c r="C11" s="5" t="s">
        <v>2</v>
      </c>
      <c r="D11" s="6" t="s">
        <v>3</v>
      </c>
      <c r="E11" s="7" t="s">
        <v>27</v>
      </c>
      <c r="F11" s="9">
        <v>37000</v>
      </c>
      <c r="G11" s="9">
        <v>30617.91</v>
      </c>
      <c r="H11" s="9">
        <f t="shared" si="0"/>
        <v>82.75110810810811</v>
      </c>
    </row>
    <row r="12" spans="1:8" ht="22.5" customHeight="1" outlineLevel="5">
      <c r="A12" s="8" t="s">
        <v>1</v>
      </c>
      <c r="B12" s="5" t="s">
        <v>74</v>
      </c>
      <c r="C12" s="5" t="s">
        <v>2</v>
      </c>
      <c r="D12" s="6" t="s">
        <v>3</v>
      </c>
      <c r="E12" s="10" t="s">
        <v>28</v>
      </c>
      <c r="F12" s="9">
        <v>342000</v>
      </c>
      <c r="G12" s="9">
        <v>208160</v>
      </c>
      <c r="H12" s="9">
        <f t="shared" si="0"/>
        <v>60.86549707602339</v>
      </c>
    </row>
    <row r="13" spans="1:8" ht="20.25" customHeight="1" outlineLevel="5">
      <c r="A13" s="8" t="s">
        <v>1</v>
      </c>
      <c r="B13" s="5" t="s">
        <v>75</v>
      </c>
      <c r="C13" s="5" t="s">
        <v>2</v>
      </c>
      <c r="D13" s="6" t="s">
        <v>3</v>
      </c>
      <c r="E13" s="10" t="s">
        <v>29</v>
      </c>
      <c r="F13" s="9">
        <v>815000</v>
      </c>
      <c r="G13" s="9">
        <v>824920.14</v>
      </c>
      <c r="H13" s="9">
        <f t="shared" si="0"/>
        <v>101.21719509202454</v>
      </c>
    </row>
    <row r="14" spans="1:8" ht="38.25" customHeight="1" outlineLevel="5">
      <c r="A14" s="8" t="s">
        <v>1</v>
      </c>
      <c r="B14" s="5" t="s">
        <v>139</v>
      </c>
      <c r="C14" s="5" t="s">
        <v>2</v>
      </c>
      <c r="D14" s="6" t="s">
        <v>5</v>
      </c>
      <c r="E14" s="7" t="s">
        <v>140</v>
      </c>
      <c r="F14" s="9">
        <v>10000</v>
      </c>
      <c r="G14" s="9">
        <v>10000</v>
      </c>
      <c r="H14" s="9"/>
    </row>
    <row r="15" spans="1:8" s="48" customFormat="1" ht="33" customHeight="1" outlineLevel="5">
      <c r="A15" s="45" t="s">
        <v>54</v>
      </c>
      <c r="B15" s="46"/>
      <c r="C15" s="46"/>
      <c r="D15" s="47"/>
      <c r="E15" s="23" t="s">
        <v>78</v>
      </c>
      <c r="F15" s="26">
        <f>F16</f>
        <v>8303946</v>
      </c>
      <c r="G15" s="26">
        <f>G16</f>
        <v>7576909.550000001</v>
      </c>
      <c r="H15" s="26">
        <f t="shared" si="0"/>
        <v>91.2446871643915</v>
      </c>
    </row>
    <row r="16" spans="1:8" s="48" customFormat="1" ht="24.75" customHeight="1" outlineLevel="5">
      <c r="A16" s="31"/>
      <c r="B16" s="43" t="s">
        <v>79</v>
      </c>
      <c r="C16" s="43" t="s">
        <v>2</v>
      </c>
      <c r="D16" s="44" t="s">
        <v>25</v>
      </c>
      <c r="E16" s="41" t="s">
        <v>76</v>
      </c>
      <c r="F16" s="42">
        <f>F17+F18+F19+F20</f>
        <v>8303946</v>
      </c>
      <c r="G16" s="42">
        <f>G17+G18+G19+G20</f>
        <v>7576909.550000001</v>
      </c>
      <c r="H16" s="42">
        <f t="shared" si="0"/>
        <v>91.2446871643915</v>
      </c>
    </row>
    <row r="17" spans="1:8" ht="76.5" customHeight="1">
      <c r="A17" s="8" t="s">
        <v>54</v>
      </c>
      <c r="B17" s="5" t="s">
        <v>55</v>
      </c>
      <c r="C17" s="5" t="s">
        <v>2</v>
      </c>
      <c r="D17" s="6" t="s">
        <v>8</v>
      </c>
      <c r="E17" s="53" t="s">
        <v>50</v>
      </c>
      <c r="F17" s="9">
        <v>3152777</v>
      </c>
      <c r="G17" s="9">
        <v>3113347.39</v>
      </c>
      <c r="H17" s="9">
        <f t="shared" si="0"/>
        <v>98.74936888971216</v>
      </c>
    </row>
    <row r="18" spans="1:8" ht="89.25" customHeight="1">
      <c r="A18" s="8" t="s">
        <v>54</v>
      </c>
      <c r="B18" s="5" t="s">
        <v>56</v>
      </c>
      <c r="C18" s="5" t="s">
        <v>2</v>
      </c>
      <c r="D18" s="6" t="s">
        <v>8</v>
      </c>
      <c r="E18" s="53" t="s">
        <v>51</v>
      </c>
      <c r="F18" s="9">
        <v>34576</v>
      </c>
      <c r="G18" s="9">
        <v>31605.64</v>
      </c>
      <c r="H18" s="9">
        <f t="shared" si="0"/>
        <v>91.4091855622397</v>
      </c>
    </row>
    <row r="19" spans="1:8" ht="77.25" customHeight="1">
      <c r="A19" s="8" t="s">
        <v>54</v>
      </c>
      <c r="B19" s="5" t="s">
        <v>57</v>
      </c>
      <c r="C19" s="5" t="s">
        <v>2</v>
      </c>
      <c r="D19" s="6" t="s">
        <v>8</v>
      </c>
      <c r="E19" s="53" t="s">
        <v>52</v>
      </c>
      <c r="F19" s="9">
        <v>5116593</v>
      </c>
      <c r="G19" s="9">
        <v>5034938.23</v>
      </c>
      <c r="H19" s="9">
        <f t="shared" si="0"/>
        <v>98.40411832639415</v>
      </c>
    </row>
    <row r="20" spans="1:8" ht="76.5" customHeight="1">
      <c r="A20" s="8" t="s">
        <v>54</v>
      </c>
      <c r="B20" s="5" t="s">
        <v>58</v>
      </c>
      <c r="C20" s="5" t="s">
        <v>2</v>
      </c>
      <c r="D20" s="6" t="s">
        <v>8</v>
      </c>
      <c r="E20" s="53" t="s">
        <v>53</v>
      </c>
      <c r="F20" s="9">
        <f>32153-32153</f>
        <v>0</v>
      </c>
      <c r="G20" s="9">
        <v>-602981.71</v>
      </c>
      <c r="H20" s="9"/>
    </row>
    <row r="21" spans="1:8" ht="48.75" customHeight="1">
      <c r="A21" s="45" t="s">
        <v>141</v>
      </c>
      <c r="B21" s="46"/>
      <c r="C21" s="46"/>
      <c r="D21" s="47"/>
      <c r="E21" s="37" t="s">
        <v>142</v>
      </c>
      <c r="F21" s="49">
        <f>F22</f>
        <v>60000</v>
      </c>
      <c r="G21" s="49">
        <f>G22</f>
        <v>60000</v>
      </c>
      <c r="H21" s="49">
        <f>G21/F21*100</f>
        <v>100</v>
      </c>
    </row>
    <row r="22" spans="1:8" ht="24" customHeight="1">
      <c r="A22" s="31"/>
      <c r="B22" s="43" t="s">
        <v>79</v>
      </c>
      <c r="C22" s="43" t="s">
        <v>2</v>
      </c>
      <c r="D22" s="44" t="s">
        <v>25</v>
      </c>
      <c r="E22" s="41" t="s">
        <v>76</v>
      </c>
      <c r="F22" s="42">
        <f>F23</f>
        <v>60000</v>
      </c>
      <c r="G22" s="42">
        <f>G23</f>
        <v>60000</v>
      </c>
      <c r="H22" s="42">
        <f>G22/F22*100</f>
        <v>100</v>
      </c>
    </row>
    <row r="23" spans="1:8" ht="60.75" customHeight="1">
      <c r="A23" s="8" t="s">
        <v>141</v>
      </c>
      <c r="B23" s="5" t="s">
        <v>106</v>
      </c>
      <c r="C23" s="5" t="s">
        <v>2</v>
      </c>
      <c r="D23" s="6" t="s">
        <v>5</v>
      </c>
      <c r="E23" s="4" t="s">
        <v>6</v>
      </c>
      <c r="F23" s="17">
        <v>60000</v>
      </c>
      <c r="G23" s="17">
        <v>60000</v>
      </c>
      <c r="H23" s="17">
        <f>G23/F23*100</f>
        <v>100</v>
      </c>
    </row>
    <row r="24" spans="1:8" s="48" customFormat="1" ht="30" customHeight="1">
      <c r="A24" s="45" t="s">
        <v>65</v>
      </c>
      <c r="B24" s="46"/>
      <c r="C24" s="46"/>
      <c r="D24" s="47"/>
      <c r="E24" s="37" t="s">
        <v>80</v>
      </c>
      <c r="F24" s="49">
        <f>F25</f>
        <v>48000</v>
      </c>
      <c r="G24" s="49">
        <f>G25</f>
        <v>48000</v>
      </c>
      <c r="H24" s="49">
        <f aca="true" t="shared" si="1" ref="H24:H32">G24/F24*100</f>
        <v>100</v>
      </c>
    </row>
    <row r="25" spans="1:8" s="48" customFormat="1" ht="19.5" customHeight="1">
      <c r="A25" s="31"/>
      <c r="B25" s="43" t="s">
        <v>79</v>
      </c>
      <c r="C25" s="43" t="s">
        <v>2</v>
      </c>
      <c r="D25" s="44" t="s">
        <v>25</v>
      </c>
      <c r="E25" s="41" t="s">
        <v>76</v>
      </c>
      <c r="F25" s="42">
        <f>F26</f>
        <v>48000</v>
      </c>
      <c r="G25" s="42">
        <f>G26</f>
        <v>48000</v>
      </c>
      <c r="H25" s="42">
        <f t="shared" si="1"/>
        <v>100</v>
      </c>
    </row>
    <row r="26" spans="1:8" ht="76.5" customHeight="1">
      <c r="A26" s="8" t="s">
        <v>65</v>
      </c>
      <c r="B26" s="5" t="s">
        <v>81</v>
      </c>
      <c r="C26" s="5" t="s">
        <v>2</v>
      </c>
      <c r="D26" s="6" t="s">
        <v>5</v>
      </c>
      <c r="E26" s="7" t="s">
        <v>49</v>
      </c>
      <c r="F26" s="17">
        <v>48000</v>
      </c>
      <c r="G26" s="17">
        <v>48000</v>
      </c>
      <c r="H26" s="17">
        <f t="shared" si="1"/>
        <v>100</v>
      </c>
    </row>
    <row r="27" spans="1:8" s="48" customFormat="1" ht="28.5" outlineLevel="5">
      <c r="A27" s="45" t="s">
        <v>30</v>
      </c>
      <c r="B27" s="46"/>
      <c r="C27" s="46"/>
      <c r="D27" s="47"/>
      <c r="E27" s="37" t="s">
        <v>82</v>
      </c>
      <c r="F27" s="49">
        <f>F28</f>
        <v>116210.2</v>
      </c>
      <c r="G27" s="49">
        <f>G28</f>
        <v>44999.69</v>
      </c>
      <c r="H27" s="49">
        <f t="shared" si="1"/>
        <v>38.72266806183967</v>
      </c>
    </row>
    <row r="28" spans="1:8" ht="15" outlineLevel="5">
      <c r="A28" s="31"/>
      <c r="B28" s="43" t="s">
        <v>79</v>
      </c>
      <c r="C28" s="43" t="s">
        <v>2</v>
      </c>
      <c r="D28" s="44" t="s">
        <v>25</v>
      </c>
      <c r="E28" s="41" t="s">
        <v>76</v>
      </c>
      <c r="F28" s="42">
        <f>F29</f>
        <v>116210.2</v>
      </c>
      <c r="G28" s="42">
        <f>G29</f>
        <v>44999.69</v>
      </c>
      <c r="H28" s="42">
        <f t="shared" si="1"/>
        <v>38.72266806183967</v>
      </c>
    </row>
    <row r="29" spans="1:8" ht="58.5" customHeight="1" outlineLevel="5">
      <c r="A29" s="8" t="s">
        <v>30</v>
      </c>
      <c r="B29" s="5" t="s">
        <v>83</v>
      </c>
      <c r="C29" s="5" t="s">
        <v>2</v>
      </c>
      <c r="D29" s="6" t="s">
        <v>5</v>
      </c>
      <c r="E29" s="11" t="s">
        <v>32</v>
      </c>
      <c r="F29" s="17">
        <v>116210.2</v>
      </c>
      <c r="G29" s="17">
        <v>44999.69</v>
      </c>
      <c r="H29" s="17">
        <f t="shared" si="1"/>
        <v>38.72266806183967</v>
      </c>
    </row>
    <row r="30" spans="1:9" s="48" customFormat="1" ht="33.75" customHeight="1" outlineLevel="5">
      <c r="A30" s="45" t="s">
        <v>7</v>
      </c>
      <c r="B30" s="46"/>
      <c r="C30" s="46"/>
      <c r="D30" s="47"/>
      <c r="E30" s="37" t="s">
        <v>102</v>
      </c>
      <c r="F30" s="49">
        <f>F31</f>
        <v>690396498.4</v>
      </c>
      <c r="G30" s="49">
        <f>G31</f>
        <v>687505160.8199999</v>
      </c>
      <c r="H30" s="49">
        <f t="shared" si="1"/>
        <v>99.58120622183039</v>
      </c>
      <c r="I30" s="50"/>
    </row>
    <row r="31" spans="1:8" ht="18.75" customHeight="1" outlineLevel="5">
      <c r="A31" s="31"/>
      <c r="B31" s="43" t="s">
        <v>79</v>
      </c>
      <c r="C31" s="43" t="s">
        <v>2</v>
      </c>
      <c r="D31" s="44" t="s">
        <v>25</v>
      </c>
      <c r="E31" s="41" t="s">
        <v>76</v>
      </c>
      <c r="F31" s="42">
        <f>F32+F33+F34+F35+F36+F37+F38+F39+F40+F41+F42+F43+F44+F45+F46+F47+F48+F49</f>
        <v>690396498.4</v>
      </c>
      <c r="G31" s="42">
        <f>G32+G33+G34+G35+G36+G37+G38+G39+G40+G41+G42+G43+G44+G45+G46+G47+G48+G49</f>
        <v>687505160.8199999</v>
      </c>
      <c r="H31" s="58">
        <f t="shared" si="1"/>
        <v>99.58120622183039</v>
      </c>
    </row>
    <row r="32" spans="1:8" ht="75">
      <c r="A32" s="8" t="s">
        <v>7</v>
      </c>
      <c r="B32" s="5" t="s">
        <v>84</v>
      </c>
      <c r="C32" s="5" t="s">
        <v>2</v>
      </c>
      <c r="D32" s="6" t="s">
        <v>8</v>
      </c>
      <c r="E32" s="4" t="s">
        <v>31</v>
      </c>
      <c r="F32" s="9">
        <v>622255998.4</v>
      </c>
      <c r="G32" s="9">
        <v>624087259.57</v>
      </c>
      <c r="H32" s="9">
        <f t="shared" si="1"/>
        <v>100.29429385569746</v>
      </c>
    </row>
    <row r="33" spans="1:8" ht="105">
      <c r="A33" s="8" t="s">
        <v>7</v>
      </c>
      <c r="B33" s="5" t="s">
        <v>85</v>
      </c>
      <c r="C33" s="5" t="s">
        <v>2</v>
      </c>
      <c r="D33" s="6" t="s">
        <v>8</v>
      </c>
      <c r="E33" s="4" t="s">
        <v>33</v>
      </c>
      <c r="F33" s="9">
        <v>302000</v>
      </c>
      <c r="G33" s="9">
        <v>200218.98</v>
      </c>
      <c r="H33" s="9">
        <f aca="true" t="shared" si="2" ref="H33:H49">G33/F33*100</f>
        <v>66.29767549668874</v>
      </c>
    </row>
    <row r="34" spans="1:8" ht="54" customHeight="1">
      <c r="A34" s="8" t="s">
        <v>7</v>
      </c>
      <c r="B34" s="5" t="s">
        <v>86</v>
      </c>
      <c r="C34" s="5" t="s">
        <v>2</v>
      </c>
      <c r="D34" s="6" t="s">
        <v>8</v>
      </c>
      <c r="E34" s="4" t="s">
        <v>34</v>
      </c>
      <c r="F34" s="9">
        <v>891000</v>
      </c>
      <c r="G34" s="9">
        <v>700931.6</v>
      </c>
      <c r="H34" s="9">
        <f t="shared" si="2"/>
        <v>78.66796857463524</v>
      </c>
    </row>
    <row r="35" spans="1:8" ht="89.25" customHeight="1">
      <c r="A35" s="8" t="s">
        <v>7</v>
      </c>
      <c r="B35" s="5" t="s">
        <v>87</v>
      </c>
      <c r="C35" s="5" t="s">
        <v>2</v>
      </c>
      <c r="D35" s="6" t="s">
        <v>8</v>
      </c>
      <c r="E35" s="4" t="s">
        <v>35</v>
      </c>
      <c r="F35" s="9">
        <v>12000</v>
      </c>
      <c r="G35" s="9">
        <v>-4533.04</v>
      </c>
      <c r="H35" s="9">
        <f t="shared" si="2"/>
        <v>-37.775333333333336</v>
      </c>
    </row>
    <row r="36" spans="1:8" ht="30.75" customHeight="1" outlineLevel="2">
      <c r="A36" s="8" t="s">
        <v>7</v>
      </c>
      <c r="B36" s="5" t="s">
        <v>88</v>
      </c>
      <c r="C36" s="5" t="s">
        <v>2</v>
      </c>
      <c r="D36" s="6" t="s">
        <v>8</v>
      </c>
      <c r="E36" s="4" t="s">
        <v>36</v>
      </c>
      <c r="F36" s="9">
        <v>8350144</v>
      </c>
      <c r="G36" s="9">
        <v>7640093.76</v>
      </c>
      <c r="H36" s="9">
        <f t="shared" si="2"/>
        <v>91.49655095768408</v>
      </c>
    </row>
    <row r="37" spans="1:8" ht="30.75" customHeight="1" outlineLevel="2">
      <c r="A37" s="8" t="s">
        <v>7</v>
      </c>
      <c r="B37" s="5" t="s">
        <v>89</v>
      </c>
      <c r="C37" s="5" t="s">
        <v>2</v>
      </c>
      <c r="D37" s="6" t="s">
        <v>8</v>
      </c>
      <c r="E37" s="4" t="s">
        <v>64</v>
      </c>
      <c r="F37" s="9">
        <v>3356</v>
      </c>
      <c r="G37" s="9">
        <v>3355.83</v>
      </c>
      <c r="H37" s="9">
        <f t="shared" si="2"/>
        <v>99.99493444576876</v>
      </c>
    </row>
    <row r="38" spans="1:8" ht="45" outlineLevel="5">
      <c r="A38" s="8" t="s">
        <v>7</v>
      </c>
      <c r="B38" s="5" t="s">
        <v>90</v>
      </c>
      <c r="C38" s="5" t="s">
        <v>2</v>
      </c>
      <c r="D38" s="6" t="s">
        <v>8</v>
      </c>
      <c r="E38" s="4" t="s">
        <v>37</v>
      </c>
      <c r="F38" s="9">
        <v>17288500</v>
      </c>
      <c r="G38" s="9">
        <v>16664724.29</v>
      </c>
      <c r="H38" s="9">
        <f t="shared" si="2"/>
        <v>96.39196165080833</v>
      </c>
    </row>
    <row r="39" spans="1:8" ht="30" outlineLevel="5">
      <c r="A39" s="8" t="s">
        <v>7</v>
      </c>
      <c r="B39" s="5" t="s">
        <v>91</v>
      </c>
      <c r="C39" s="5" t="s">
        <v>2</v>
      </c>
      <c r="D39" s="6" t="s">
        <v>8</v>
      </c>
      <c r="E39" s="28" t="s">
        <v>0</v>
      </c>
      <c r="F39" s="9">
        <v>0</v>
      </c>
      <c r="G39" s="9">
        <v>-466919.36</v>
      </c>
      <c r="H39" s="9"/>
    </row>
    <row r="40" spans="1:8" ht="30">
      <c r="A40" s="8" t="s">
        <v>7</v>
      </c>
      <c r="B40" s="5" t="s">
        <v>92</v>
      </c>
      <c r="C40" s="5" t="s">
        <v>2</v>
      </c>
      <c r="D40" s="6" t="s">
        <v>8</v>
      </c>
      <c r="E40" s="4" t="s">
        <v>9</v>
      </c>
      <c r="F40" s="9">
        <v>16372000</v>
      </c>
      <c r="G40" s="9">
        <v>15712210.18</v>
      </c>
      <c r="H40" s="9">
        <f t="shared" si="2"/>
        <v>95.97001087222087</v>
      </c>
    </row>
    <row r="41" spans="1:8" ht="31.5" customHeight="1">
      <c r="A41" s="8" t="s">
        <v>7</v>
      </c>
      <c r="B41" s="5" t="s">
        <v>93</v>
      </c>
      <c r="C41" s="5" t="s">
        <v>2</v>
      </c>
      <c r="D41" s="6" t="s">
        <v>8</v>
      </c>
      <c r="E41" s="4" t="s">
        <v>10</v>
      </c>
      <c r="F41" s="9">
        <v>5000</v>
      </c>
      <c r="G41" s="9">
        <v>4801.67</v>
      </c>
      <c r="H41" s="9">
        <f t="shared" si="2"/>
        <v>96.0334</v>
      </c>
    </row>
    <row r="42" spans="1:8" ht="48" customHeight="1">
      <c r="A42" s="8" t="s">
        <v>7</v>
      </c>
      <c r="B42" s="5" t="s">
        <v>94</v>
      </c>
      <c r="C42" s="5" t="s">
        <v>2</v>
      </c>
      <c r="D42" s="6" t="s">
        <v>8</v>
      </c>
      <c r="E42" s="4" t="s">
        <v>47</v>
      </c>
      <c r="F42" s="9">
        <v>702000</v>
      </c>
      <c r="G42" s="9">
        <v>737958.65</v>
      </c>
      <c r="H42" s="9">
        <f t="shared" si="2"/>
        <v>105.12231481481481</v>
      </c>
    </row>
    <row r="43" spans="1:8" ht="45">
      <c r="A43" s="8" t="s">
        <v>7</v>
      </c>
      <c r="B43" s="5" t="s">
        <v>95</v>
      </c>
      <c r="C43" s="5" t="s">
        <v>2</v>
      </c>
      <c r="D43" s="6" t="s">
        <v>8</v>
      </c>
      <c r="E43" s="4" t="s">
        <v>11</v>
      </c>
      <c r="F43" s="9">
        <v>6220000</v>
      </c>
      <c r="G43" s="9">
        <v>6780958.66</v>
      </c>
      <c r="H43" s="9">
        <f t="shared" si="2"/>
        <v>109.01862797427653</v>
      </c>
    </row>
    <row r="44" spans="1:8" ht="30">
      <c r="A44" s="8" t="s">
        <v>7</v>
      </c>
      <c r="B44" s="5" t="s">
        <v>96</v>
      </c>
      <c r="C44" s="5" t="s">
        <v>2</v>
      </c>
      <c r="D44" s="6" t="s">
        <v>8</v>
      </c>
      <c r="E44" s="4" t="s">
        <v>62</v>
      </c>
      <c r="F44" s="9">
        <v>10583000</v>
      </c>
      <c r="G44" s="9">
        <v>8035058.89</v>
      </c>
      <c r="H44" s="9">
        <f t="shared" si="2"/>
        <v>75.92420759708966</v>
      </c>
    </row>
    <row r="45" spans="1:8" ht="45">
      <c r="A45" s="8" t="s">
        <v>7</v>
      </c>
      <c r="B45" s="5" t="s">
        <v>97</v>
      </c>
      <c r="C45" s="5" t="s">
        <v>2</v>
      </c>
      <c r="D45" s="6" t="s">
        <v>8</v>
      </c>
      <c r="E45" s="4" t="s">
        <v>63</v>
      </c>
      <c r="F45" s="9">
        <v>2500</v>
      </c>
      <c r="G45" s="9">
        <v>2888.51</v>
      </c>
      <c r="H45" s="9">
        <f t="shared" si="2"/>
        <v>115.5404</v>
      </c>
    </row>
    <row r="46" spans="1:8" ht="45">
      <c r="A46" s="8" t="s">
        <v>7</v>
      </c>
      <c r="B46" s="5" t="s">
        <v>98</v>
      </c>
      <c r="C46" s="5" t="s">
        <v>2</v>
      </c>
      <c r="D46" s="6" t="s">
        <v>8</v>
      </c>
      <c r="E46" s="4" t="s">
        <v>12</v>
      </c>
      <c r="F46" s="9">
        <v>7297000</v>
      </c>
      <c r="G46" s="9">
        <v>7298040.13</v>
      </c>
      <c r="H46" s="9">
        <f t="shared" si="2"/>
        <v>100.01425421406056</v>
      </c>
    </row>
    <row r="47" spans="1:8" s="33" customFormat="1" ht="78" customHeight="1">
      <c r="A47" s="54" t="s">
        <v>7</v>
      </c>
      <c r="B47" s="55" t="s">
        <v>99</v>
      </c>
      <c r="C47" s="55" t="s">
        <v>2</v>
      </c>
      <c r="D47" s="56" t="s">
        <v>5</v>
      </c>
      <c r="E47" s="57" t="s">
        <v>143</v>
      </c>
      <c r="F47" s="32">
        <v>80000</v>
      </c>
      <c r="G47" s="32">
        <v>76912.5</v>
      </c>
      <c r="H47" s="32">
        <f t="shared" si="2"/>
        <v>96.140625</v>
      </c>
    </row>
    <row r="48" spans="1:8" ht="60">
      <c r="A48" s="8" t="s">
        <v>7</v>
      </c>
      <c r="B48" s="5" t="s">
        <v>100</v>
      </c>
      <c r="C48" s="5" t="s">
        <v>2</v>
      </c>
      <c r="D48" s="6" t="s">
        <v>5</v>
      </c>
      <c r="E48" s="4" t="s">
        <v>46</v>
      </c>
      <c r="F48" s="17">
        <v>2000</v>
      </c>
      <c r="G48" s="17">
        <v>1200</v>
      </c>
      <c r="H48" s="9">
        <f t="shared" si="2"/>
        <v>60</v>
      </c>
    </row>
    <row r="49" spans="1:8" ht="58.5" customHeight="1">
      <c r="A49" s="8" t="s">
        <v>7</v>
      </c>
      <c r="B49" s="5" t="s">
        <v>101</v>
      </c>
      <c r="C49" s="5" t="s">
        <v>2</v>
      </c>
      <c r="D49" s="6" t="s">
        <v>5</v>
      </c>
      <c r="E49" s="4" t="s">
        <v>13</v>
      </c>
      <c r="F49" s="17">
        <v>30000</v>
      </c>
      <c r="G49" s="17">
        <v>30000</v>
      </c>
      <c r="H49" s="9">
        <f t="shared" si="2"/>
        <v>100</v>
      </c>
    </row>
    <row r="50" spans="1:8" s="48" customFormat="1" ht="35.25" customHeight="1" outlineLevel="5">
      <c r="A50" s="45" t="s">
        <v>38</v>
      </c>
      <c r="B50" s="46"/>
      <c r="C50" s="46"/>
      <c r="D50" s="47"/>
      <c r="E50" s="37" t="s">
        <v>144</v>
      </c>
      <c r="F50" s="49">
        <f>F51</f>
        <v>2316293.33</v>
      </c>
      <c r="G50" s="49">
        <f>G51</f>
        <v>1912896.47</v>
      </c>
      <c r="H50" s="49">
        <f aca="true" t="shared" si="3" ref="H50:H59">G50/F50*100</f>
        <v>82.58437932815703</v>
      </c>
    </row>
    <row r="51" spans="1:8" ht="22.5" customHeight="1" outlineLevel="5">
      <c r="A51" s="31"/>
      <c r="B51" s="43" t="s">
        <v>79</v>
      </c>
      <c r="C51" s="43" t="s">
        <v>2</v>
      </c>
      <c r="D51" s="44" t="s">
        <v>25</v>
      </c>
      <c r="E51" s="41" t="s">
        <v>76</v>
      </c>
      <c r="F51" s="42">
        <f>F54+F55+F56+F52+F53</f>
        <v>2316293.33</v>
      </c>
      <c r="G51" s="42">
        <f>G54+G55+G56+G52+G53</f>
        <v>1912896.47</v>
      </c>
      <c r="H51" s="58">
        <f t="shared" si="3"/>
        <v>82.58437932815703</v>
      </c>
    </row>
    <row r="52" spans="1:8" ht="62.25" customHeight="1" outlineLevel="5">
      <c r="A52" s="54" t="s">
        <v>38</v>
      </c>
      <c r="B52" s="5" t="s">
        <v>145</v>
      </c>
      <c r="C52" s="5" t="s">
        <v>2</v>
      </c>
      <c r="D52" s="6" t="s">
        <v>5</v>
      </c>
      <c r="E52" s="34" t="s">
        <v>146</v>
      </c>
      <c r="F52" s="32">
        <v>148100</v>
      </c>
      <c r="G52" s="32">
        <v>78000</v>
      </c>
      <c r="H52" s="32">
        <f>G52/F52*100</f>
        <v>52.66711681296421</v>
      </c>
    </row>
    <row r="53" spans="1:8" ht="62.25" customHeight="1" outlineLevel="5">
      <c r="A53" s="8" t="s">
        <v>38</v>
      </c>
      <c r="B53" s="5" t="s">
        <v>106</v>
      </c>
      <c r="C53" s="5" t="s">
        <v>2</v>
      </c>
      <c r="D53" s="6" t="s">
        <v>5</v>
      </c>
      <c r="E53" s="4" t="s">
        <v>6</v>
      </c>
      <c r="F53" s="17">
        <v>30000</v>
      </c>
      <c r="G53" s="17">
        <v>28290.64</v>
      </c>
      <c r="H53" s="17">
        <f>G53/F53*100</f>
        <v>94.30213333333333</v>
      </c>
    </row>
    <row r="54" spans="1:8" s="33" customFormat="1" ht="30" outlineLevel="5">
      <c r="A54" s="8" t="s">
        <v>38</v>
      </c>
      <c r="B54" s="5" t="s">
        <v>103</v>
      </c>
      <c r="C54" s="5" t="s">
        <v>2</v>
      </c>
      <c r="D54" s="6" t="s">
        <v>5</v>
      </c>
      <c r="E54" s="34" t="s">
        <v>60</v>
      </c>
      <c r="F54" s="32">
        <v>1429000</v>
      </c>
      <c r="G54" s="32">
        <v>1097412.5</v>
      </c>
      <c r="H54" s="32">
        <f t="shared" si="3"/>
        <v>76.79583624912526</v>
      </c>
    </row>
    <row r="55" spans="1:8" s="33" customFormat="1" ht="75" outlineLevel="5">
      <c r="A55" s="8" t="s">
        <v>38</v>
      </c>
      <c r="B55" s="5" t="s">
        <v>104</v>
      </c>
      <c r="C55" s="5" t="s">
        <v>2</v>
      </c>
      <c r="D55" s="6" t="s">
        <v>5</v>
      </c>
      <c r="E55" s="7" t="s">
        <v>49</v>
      </c>
      <c r="F55" s="17">
        <v>41628.52</v>
      </c>
      <c r="G55" s="17">
        <v>41628.52</v>
      </c>
      <c r="H55" s="32">
        <f t="shared" si="3"/>
        <v>100</v>
      </c>
    </row>
    <row r="56" spans="1:8" ht="47.25" customHeight="1" outlineLevel="5">
      <c r="A56" s="8" t="s">
        <v>38</v>
      </c>
      <c r="B56" s="5" t="s">
        <v>105</v>
      </c>
      <c r="C56" s="5" t="s">
        <v>2</v>
      </c>
      <c r="D56" s="6" t="s">
        <v>5</v>
      </c>
      <c r="E56" s="4" t="s">
        <v>4</v>
      </c>
      <c r="F56" s="17">
        <v>667564.81</v>
      </c>
      <c r="G56" s="17">
        <v>667564.81</v>
      </c>
      <c r="H56" s="32">
        <f t="shared" si="3"/>
        <v>100</v>
      </c>
    </row>
    <row r="57" spans="1:8" s="48" customFormat="1" ht="28.5" outlineLevel="5">
      <c r="A57" s="45" t="s">
        <v>161</v>
      </c>
      <c r="B57" s="46"/>
      <c r="C57" s="46"/>
      <c r="D57" s="47"/>
      <c r="E57" s="37" t="s">
        <v>162</v>
      </c>
      <c r="F57" s="49">
        <f>F58</f>
        <v>26971.48</v>
      </c>
      <c r="G57" s="49">
        <f>G58</f>
        <v>28640.41</v>
      </c>
      <c r="H57" s="49">
        <f t="shared" si="3"/>
        <v>106.18775832842691</v>
      </c>
    </row>
    <row r="58" spans="1:8" s="48" customFormat="1" ht="25.5" customHeight="1" outlineLevel="5">
      <c r="A58" s="31"/>
      <c r="B58" s="43" t="s">
        <v>79</v>
      </c>
      <c r="C58" s="43" t="s">
        <v>2</v>
      </c>
      <c r="D58" s="44" t="s">
        <v>25</v>
      </c>
      <c r="E58" s="41" t="s">
        <v>76</v>
      </c>
      <c r="F58" s="42">
        <f>F59</f>
        <v>26971.48</v>
      </c>
      <c r="G58" s="42">
        <f>G59</f>
        <v>28640.41</v>
      </c>
      <c r="H58" s="42">
        <f t="shared" si="3"/>
        <v>106.18775832842691</v>
      </c>
    </row>
    <row r="59" spans="1:8" ht="77.25" customHeight="1">
      <c r="A59" s="8" t="s">
        <v>161</v>
      </c>
      <c r="B59" s="5" t="s">
        <v>48</v>
      </c>
      <c r="C59" s="5" t="s">
        <v>2</v>
      </c>
      <c r="D59" s="6" t="s">
        <v>5</v>
      </c>
      <c r="E59" s="7" t="s">
        <v>49</v>
      </c>
      <c r="F59" s="17">
        <v>26971.48</v>
      </c>
      <c r="G59" s="17">
        <v>28640.41</v>
      </c>
      <c r="H59" s="60">
        <f t="shared" si="3"/>
        <v>106.18775832842691</v>
      </c>
    </row>
    <row r="60" spans="1:8" s="48" customFormat="1" ht="28.5" outlineLevel="5">
      <c r="A60" s="45" t="s">
        <v>14</v>
      </c>
      <c r="B60" s="46"/>
      <c r="C60" s="46"/>
      <c r="D60" s="47"/>
      <c r="E60" s="37" t="s">
        <v>107</v>
      </c>
      <c r="F60" s="49">
        <f>F61</f>
        <v>696750</v>
      </c>
      <c r="G60" s="49">
        <f>G61</f>
        <v>687700</v>
      </c>
      <c r="H60" s="49">
        <f aca="true" t="shared" si="4" ref="H60:H78">G60/F60*100</f>
        <v>98.70111230714029</v>
      </c>
    </row>
    <row r="61" spans="1:8" s="48" customFormat="1" ht="19.5" customHeight="1" outlineLevel="5">
      <c r="A61" s="31"/>
      <c r="B61" s="43" t="s">
        <v>79</v>
      </c>
      <c r="C61" s="43" t="s">
        <v>2</v>
      </c>
      <c r="D61" s="44" t="s">
        <v>25</v>
      </c>
      <c r="E61" s="41" t="s">
        <v>76</v>
      </c>
      <c r="F61" s="42">
        <f>F62</f>
        <v>696750</v>
      </c>
      <c r="G61" s="42">
        <f>G62</f>
        <v>687700</v>
      </c>
      <c r="H61" s="42">
        <f t="shared" si="4"/>
        <v>98.70111230714029</v>
      </c>
    </row>
    <row r="62" spans="1:8" ht="60">
      <c r="A62" s="8" t="s">
        <v>14</v>
      </c>
      <c r="B62" s="5" t="s">
        <v>106</v>
      </c>
      <c r="C62" s="5" t="s">
        <v>2</v>
      </c>
      <c r="D62" s="6" t="s">
        <v>5</v>
      </c>
      <c r="E62" s="4" t="s">
        <v>6</v>
      </c>
      <c r="F62" s="17">
        <v>696750</v>
      </c>
      <c r="G62" s="17">
        <v>687700</v>
      </c>
      <c r="H62" s="17">
        <f t="shared" si="4"/>
        <v>98.70111230714029</v>
      </c>
    </row>
    <row r="63" spans="1:8" s="48" customFormat="1" ht="28.5" outlineLevel="5">
      <c r="A63" s="45" t="s">
        <v>163</v>
      </c>
      <c r="B63" s="46"/>
      <c r="C63" s="46"/>
      <c r="D63" s="47"/>
      <c r="E63" s="37" t="s">
        <v>164</v>
      </c>
      <c r="F63" s="49">
        <f>F64</f>
        <v>35000</v>
      </c>
      <c r="G63" s="49">
        <f>G64</f>
        <v>35000</v>
      </c>
      <c r="H63" s="49">
        <f t="shared" si="4"/>
        <v>100</v>
      </c>
    </row>
    <row r="64" spans="1:8" ht="15" outlineLevel="5">
      <c r="A64" s="31"/>
      <c r="B64" s="43" t="s">
        <v>79</v>
      </c>
      <c r="C64" s="43" t="s">
        <v>2</v>
      </c>
      <c r="D64" s="44" t="s">
        <v>25</v>
      </c>
      <c r="E64" s="41" t="s">
        <v>76</v>
      </c>
      <c r="F64" s="42">
        <f>F65</f>
        <v>35000</v>
      </c>
      <c r="G64" s="42">
        <f>G65</f>
        <v>35000</v>
      </c>
      <c r="H64" s="42">
        <f t="shared" si="4"/>
        <v>100</v>
      </c>
    </row>
    <row r="65" spans="1:8" ht="58.5" customHeight="1" outlineLevel="5">
      <c r="A65" s="8" t="s">
        <v>163</v>
      </c>
      <c r="B65" s="5" t="s">
        <v>83</v>
      </c>
      <c r="C65" s="5" t="s">
        <v>2</v>
      </c>
      <c r="D65" s="6" t="s">
        <v>5</v>
      </c>
      <c r="E65" s="11" t="s">
        <v>32</v>
      </c>
      <c r="F65" s="17">
        <v>35000</v>
      </c>
      <c r="G65" s="17">
        <v>35000</v>
      </c>
      <c r="H65" s="17">
        <f t="shared" si="4"/>
        <v>100</v>
      </c>
    </row>
    <row r="66" spans="1:8" s="48" customFormat="1" ht="34.5" customHeight="1">
      <c r="A66" s="45" t="s">
        <v>147</v>
      </c>
      <c r="B66" s="46"/>
      <c r="C66" s="46"/>
      <c r="D66" s="47"/>
      <c r="E66" s="37" t="s">
        <v>148</v>
      </c>
      <c r="F66" s="49">
        <f>F67</f>
        <v>9</v>
      </c>
      <c r="G66" s="49">
        <f>G67</f>
        <v>9</v>
      </c>
      <c r="H66" s="49">
        <f t="shared" si="4"/>
        <v>100</v>
      </c>
    </row>
    <row r="67" spans="1:8" s="48" customFormat="1" ht="21" customHeight="1">
      <c r="A67" s="31"/>
      <c r="B67" s="43" t="s">
        <v>79</v>
      </c>
      <c r="C67" s="43" t="s">
        <v>2</v>
      </c>
      <c r="D67" s="44" t="s">
        <v>25</v>
      </c>
      <c r="E67" s="41" t="s">
        <v>76</v>
      </c>
      <c r="F67" s="42">
        <f>F68</f>
        <v>9</v>
      </c>
      <c r="G67" s="42">
        <f>G68</f>
        <v>9</v>
      </c>
      <c r="H67" s="42">
        <f t="shared" si="4"/>
        <v>100</v>
      </c>
    </row>
    <row r="68" spans="1:8" s="48" customFormat="1" ht="36" customHeight="1">
      <c r="A68" s="54" t="s">
        <v>147</v>
      </c>
      <c r="B68" s="5" t="s">
        <v>165</v>
      </c>
      <c r="C68" s="5" t="s">
        <v>2</v>
      </c>
      <c r="D68" s="6" t="s">
        <v>113</v>
      </c>
      <c r="E68" s="4" t="s">
        <v>166</v>
      </c>
      <c r="F68" s="9">
        <v>9</v>
      </c>
      <c r="G68" s="9">
        <v>9</v>
      </c>
      <c r="H68" s="9">
        <f>G68/F68*100</f>
        <v>100</v>
      </c>
    </row>
    <row r="69" spans="1:9" s="48" customFormat="1" ht="19.5" customHeight="1" outlineLevel="5">
      <c r="A69" s="45" t="s">
        <v>15</v>
      </c>
      <c r="B69" s="46"/>
      <c r="C69" s="46"/>
      <c r="D69" s="47"/>
      <c r="E69" s="37" t="s">
        <v>108</v>
      </c>
      <c r="F69" s="49">
        <f>F70+F75</f>
        <v>5921561.4399999995</v>
      </c>
      <c r="G69" s="49">
        <f>G70+G75</f>
        <v>5693207.9399999995</v>
      </c>
      <c r="H69" s="49">
        <f t="shared" si="4"/>
        <v>96.14369449149885</v>
      </c>
      <c r="I69" s="50"/>
    </row>
    <row r="70" spans="1:8" s="48" customFormat="1" ht="19.5" customHeight="1" outlineLevel="5">
      <c r="A70" s="31"/>
      <c r="B70" s="43" t="s">
        <v>79</v>
      </c>
      <c r="C70" s="43" t="s">
        <v>2</v>
      </c>
      <c r="D70" s="44" t="s">
        <v>25</v>
      </c>
      <c r="E70" s="41" t="s">
        <v>76</v>
      </c>
      <c r="F70" s="42">
        <f>F71+F72+F73+F74</f>
        <v>477520.43999999994</v>
      </c>
      <c r="G70" s="42">
        <f>G71+G72+G73+G74</f>
        <v>470860.3</v>
      </c>
      <c r="H70" s="42">
        <f t="shared" si="4"/>
        <v>98.60526598610105</v>
      </c>
    </row>
    <row r="71" spans="1:8" ht="49.5" customHeight="1">
      <c r="A71" s="8" t="s">
        <v>15</v>
      </c>
      <c r="B71" s="5" t="s">
        <v>119</v>
      </c>
      <c r="C71" s="5" t="s">
        <v>2</v>
      </c>
      <c r="D71" s="6" t="s">
        <v>16</v>
      </c>
      <c r="E71" s="4" t="s">
        <v>61</v>
      </c>
      <c r="F71" s="9">
        <v>36406.7</v>
      </c>
      <c r="G71" s="9">
        <v>41698.99</v>
      </c>
      <c r="H71" s="9">
        <f t="shared" si="4"/>
        <v>114.53658255211265</v>
      </c>
    </row>
    <row r="72" spans="1:8" ht="32.25" customHeight="1">
      <c r="A72" s="8" t="s">
        <v>15</v>
      </c>
      <c r="B72" s="5" t="s">
        <v>120</v>
      </c>
      <c r="C72" s="5" t="s">
        <v>2</v>
      </c>
      <c r="D72" s="6" t="s">
        <v>16</v>
      </c>
      <c r="E72" s="4" t="s">
        <v>19</v>
      </c>
      <c r="F72" s="9">
        <v>125031.51</v>
      </c>
      <c r="G72" s="9">
        <v>112719.17</v>
      </c>
      <c r="H72" s="9">
        <f t="shared" si="4"/>
        <v>90.15261032998801</v>
      </c>
    </row>
    <row r="73" spans="1:8" ht="45">
      <c r="A73" s="8" t="s">
        <v>15</v>
      </c>
      <c r="B73" s="5" t="s">
        <v>77</v>
      </c>
      <c r="C73" s="5" t="s">
        <v>2</v>
      </c>
      <c r="D73" s="6" t="s">
        <v>5</v>
      </c>
      <c r="E73" s="4" t="s">
        <v>4</v>
      </c>
      <c r="F73" s="9">
        <v>316082.23</v>
      </c>
      <c r="G73" s="9">
        <v>316082.23</v>
      </c>
      <c r="H73" s="9">
        <f t="shared" si="4"/>
        <v>100</v>
      </c>
    </row>
    <row r="74" spans="1:8" ht="30">
      <c r="A74" s="8" t="s">
        <v>15</v>
      </c>
      <c r="B74" s="5" t="s">
        <v>114</v>
      </c>
      <c r="C74" s="5" t="s">
        <v>112</v>
      </c>
      <c r="D74" s="6" t="s">
        <v>113</v>
      </c>
      <c r="E74" s="4" t="s">
        <v>117</v>
      </c>
      <c r="F74" s="9"/>
      <c r="G74" s="9">
        <v>359.91</v>
      </c>
      <c r="H74" s="9"/>
    </row>
    <row r="75" spans="1:8" ht="15">
      <c r="A75" s="31"/>
      <c r="B75" s="43" t="s">
        <v>109</v>
      </c>
      <c r="C75" s="43" t="s">
        <v>2</v>
      </c>
      <c r="D75" s="44" t="s">
        <v>25</v>
      </c>
      <c r="E75" s="41" t="s">
        <v>110</v>
      </c>
      <c r="F75" s="42">
        <f>F76+F77+F78+F79+F80</f>
        <v>5444041</v>
      </c>
      <c r="G75" s="42">
        <f>G76+G77+G78+G79+G80</f>
        <v>5222347.64</v>
      </c>
      <c r="H75" s="42">
        <f t="shared" si="4"/>
        <v>95.92777938299876</v>
      </c>
    </row>
    <row r="76" spans="1:8" ht="23.25" customHeight="1" outlineLevel="5">
      <c r="A76" s="8" t="s">
        <v>15</v>
      </c>
      <c r="B76" s="5" t="s">
        <v>167</v>
      </c>
      <c r="C76" s="5" t="s">
        <v>2</v>
      </c>
      <c r="D76" s="6" t="s">
        <v>17</v>
      </c>
      <c r="E76" s="4" t="s">
        <v>118</v>
      </c>
      <c r="F76" s="9">
        <v>13042</v>
      </c>
      <c r="G76" s="9">
        <v>13029.77</v>
      </c>
      <c r="H76" s="9">
        <f t="shared" si="4"/>
        <v>99.90622603895109</v>
      </c>
    </row>
    <row r="77" spans="1:8" ht="34.5" customHeight="1" outlineLevel="5">
      <c r="A77" s="8" t="s">
        <v>15</v>
      </c>
      <c r="B77" s="5" t="s">
        <v>168</v>
      </c>
      <c r="C77" s="5" t="s">
        <v>2</v>
      </c>
      <c r="D77" s="6" t="s">
        <v>17</v>
      </c>
      <c r="E77" s="4" t="s">
        <v>42</v>
      </c>
      <c r="F77" s="9">
        <v>2200200</v>
      </c>
      <c r="G77" s="9">
        <v>2200200</v>
      </c>
      <c r="H77" s="9">
        <f t="shared" si="4"/>
        <v>100</v>
      </c>
    </row>
    <row r="78" spans="1:8" ht="20.25" customHeight="1">
      <c r="A78" s="8" t="s">
        <v>15</v>
      </c>
      <c r="B78" s="5" t="s">
        <v>169</v>
      </c>
      <c r="C78" s="5" t="s">
        <v>2</v>
      </c>
      <c r="D78" s="6" t="s">
        <v>17</v>
      </c>
      <c r="E78" s="7" t="s">
        <v>111</v>
      </c>
      <c r="F78" s="9">
        <v>3230799</v>
      </c>
      <c r="G78" s="9">
        <v>3066547.25</v>
      </c>
      <c r="H78" s="9">
        <f t="shared" si="4"/>
        <v>94.91606410674264</v>
      </c>
    </row>
    <row r="79" spans="1:8" ht="29.25" customHeight="1">
      <c r="A79" s="8" t="s">
        <v>15</v>
      </c>
      <c r="B79" s="5" t="s">
        <v>115</v>
      </c>
      <c r="C79" s="5" t="s">
        <v>112</v>
      </c>
      <c r="D79" s="6" t="s">
        <v>113</v>
      </c>
      <c r="E79" s="7" t="s">
        <v>116</v>
      </c>
      <c r="F79" s="9"/>
      <c r="G79" s="9">
        <v>13865</v>
      </c>
      <c r="H79" s="9"/>
    </row>
    <row r="80" spans="1:8" ht="48" customHeight="1">
      <c r="A80" s="8" t="s">
        <v>15</v>
      </c>
      <c r="B80" s="5" t="s">
        <v>170</v>
      </c>
      <c r="C80" s="5" t="s">
        <v>2</v>
      </c>
      <c r="D80" s="6" t="s">
        <v>17</v>
      </c>
      <c r="E80" s="7" t="s">
        <v>122</v>
      </c>
      <c r="F80" s="9"/>
      <c r="G80" s="9">
        <v>-71294.38</v>
      </c>
      <c r="H80" s="9"/>
    </row>
    <row r="81" spans="1:9" s="48" customFormat="1" ht="35.25" customHeight="1" outlineLevel="5">
      <c r="A81" s="45" t="s">
        <v>18</v>
      </c>
      <c r="B81" s="46"/>
      <c r="C81" s="46"/>
      <c r="D81" s="47"/>
      <c r="E81" s="37" t="s">
        <v>123</v>
      </c>
      <c r="F81" s="49">
        <f>F82+F96</f>
        <v>191407542.11</v>
      </c>
      <c r="G81" s="49">
        <f>G82+G96</f>
        <v>165499741.67000002</v>
      </c>
      <c r="H81" s="49">
        <f>G81/F81*100</f>
        <v>86.46458746901882</v>
      </c>
      <c r="I81" s="50"/>
    </row>
    <row r="82" spans="1:8" ht="15" outlineLevel="5">
      <c r="A82" s="31"/>
      <c r="B82" s="43" t="s">
        <v>79</v>
      </c>
      <c r="C82" s="43" t="s">
        <v>2</v>
      </c>
      <c r="D82" s="44" t="s">
        <v>25</v>
      </c>
      <c r="E82" s="41" t="s">
        <v>76</v>
      </c>
      <c r="F82" s="42">
        <f>F83+F84+F85+F86+F87+F88+F89+F90+F92+F93+F94+F95+F91</f>
        <v>136024490.6</v>
      </c>
      <c r="G82" s="42">
        <f>G83+G84+G85+G86+G87+G88+G89+G90+G92+G93+G94+G95+G91</f>
        <v>115718911.64000002</v>
      </c>
      <c r="H82" s="42">
        <f>G82/F82*100</f>
        <v>85.07211541801578</v>
      </c>
    </row>
    <row r="83" spans="1:8" ht="30" outlineLevel="5">
      <c r="A83" s="8" t="s">
        <v>18</v>
      </c>
      <c r="B83" s="5" t="s">
        <v>124</v>
      </c>
      <c r="C83" s="5" t="s">
        <v>2</v>
      </c>
      <c r="D83" s="6" t="s">
        <v>8</v>
      </c>
      <c r="E83" s="28" t="s">
        <v>43</v>
      </c>
      <c r="F83" s="9">
        <v>15000</v>
      </c>
      <c r="G83" s="9">
        <v>10000</v>
      </c>
      <c r="H83" s="9">
        <f>G83/F83*100</f>
        <v>66.66666666666666</v>
      </c>
    </row>
    <row r="84" spans="1:8" ht="78.75" customHeight="1">
      <c r="A84" s="8" t="s">
        <v>18</v>
      </c>
      <c r="B84" s="5" t="s">
        <v>125</v>
      </c>
      <c r="C84" s="5" t="s">
        <v>2</v>
      </c>
      <c r="D84" s="6" t="s">
        <v>3</v>
      </c>
      <c r="E84" s="13" t="s">
        <v>131</v>
      </c>
      <c r="F84" s="9">
        <v>13456058.95</v>
      </c>
      <c r="G84" s="9">
        <v>11498985.3</v>
      </c>
      <c r="H84" s="9">
        <f aca="true" t="shared" si="5" ref="H84:H94">G84/F84*100</f>
        <v>85.45581839919036</v>
      </c>
    </row>
    <row r="85" spans="1:8" ht="81.75" customHeight="1">
      <c r="A85" s="8" t="s">
        <v>18</v>
      </c>
      <c r="B85" s="5" t="s">
        <v>126</v>
      </c>
      <c r="C85" s="5" t="s">
        <v>2</v>
      </c>
      <c r="D85" s="6" t="s">
        <v>3</v>
      </c>
      <c r="E85" s="15" t="s">
        <v>39</v>
      </c>
      <c r="F85" s="9">
        <v>2839119.52</v>
      </c>
      <c r="G85" s="9">
        <v>2540538.11</v>
      </c>
      <c r="H85" s="9">
        <f t="shared" si="5"/>
        <v>89.48330960015379</v>
      </c>
    </row>
    <row r="86" spans="1:8" ht="60.75" customHeight="1">
      <c r="A86" s="8" t="s">
        <v>18</v>
      </c>
      <c r="B86" s="5" t="s">
        <v>127</v>
      </c>
      <c r="C86" s="5" t="s">
        <v>2</v>
      </c>
      <c r="D86" s="6" t="s">
        <v>3</v>
      </c>
      <c r="E86" s="13" t="s">
        <v>40</v>
      </c>
      <c r="F86" s="9">
        <v>0</v>
      </c>
      <c r="G86" s="9">
        <v>-162715.5</v>
      </c>
      <c r="H86" s="9"/>
    </row>
    <row r="87" spans="1:8" ht="34.5" customHeight="1">
      <c r="A87" s="8" t="s">
        <v>18</v>
      </c>
      <c r="B87" s="5" t="s">
        <v>149</v>
      </c>
      <c r="C87" s="5" t="s">
        <v>2</v>
      </c>
      <c r="D87" s="6" t="s">
        <v>3</v>
      </c>
      <c r="E87" s="59" t="s">
        <v>150</v>
      </c>
      <c r="F87" s="9">
        <v>12713612.96</v>
      </c>
      <c r="G87" s="9">
        <v>13179683.78</v>
      </c>
      <c r="H87" s="9">
        <f>G87/F87*100</f>
        <v>103.66591952630905</v>
      </c>
    </row>
    <row r="88" spans="1:8" ht="65.25" customHeight="1">
      <c r="A88" s="8" t="s">
        <v>18</v>
      </c>
      <c r="B88" s="5" t="s">
        <v>151</v>
      </c>
      <c r="C88" s="5" t="s">
        <v>2</v>
      </c>
      <c r="D88" s="6" t="s">
        <v>3</v>
      </c>
      <c r="E88" s="16" t="s">
        <v>152</v>
      </c>
      <c r="F88" s="9">
        <v>1209462</v>
      </c>
      <c r="G88" s="9">
        <v>1209462</v>
      </c>
      <c r="H88" s="9">
        <f>G88/F88*100</f>
        <v>100</v>
      </c>
    </row>
    <row r="89" spans="1:8" ht="80.25" customHeight="1">
      <c r="A89" s="8" t="s">
        <v>18</v>
      </c>
      <c r="B89" s="5" t="s">
        <v>128</v>
      </c>
      <c r="C89" s="5" t="s">
        <v>2</v>
      </c>
      <c r="D89" s="6" t="s">
        <v>3</v>
      </c>
      <c r="E89" s="16" t="s">
        <v>130</v>
      </c>
      <c r="F89" s="9">
        <v>77242011.11</v>
      </c>
      <c r="G89" s="9">
        <v>54904455.21</v>
      </c>
      <c r="H89" s="9">
        <f t="shared" si="5"/>
        <v>71.08107935176729</v>
      </c>
    </row>
    <row r="90" spans="1:8" ht="33" customHeight="1">
      <c r="A90" s="8" t="s">
        <v>18</v>
      </c>
      <c r="B90" s="5" t="s">
        <v>153</v>
      </c>
      <c r="C90" s="5" t="s">
        <v>2</v>
      </c>
      <c r="D90" s="6" t="s">
        <v>16</v>
      </c>
      <c r="E90" s="4" t="s">
        <v>154</v>
      </c>
      <c r="F90" s="9">
        <v>61755</v>
      </c>
      <c r="G90" s="9">
        <v>58157.4</v>
      </c>
      <c r="H90" s="9">
        <f>G90/F90*100</f>
        <v>94.1743988341025</v>
      </c>
    </row>
    <row r="91" spans="1:8" ht="48" customHeight="1">
      <c r="A91" s="8" t="s">
        <v>18</v>
      </c>
      <c r="B91" s="5" t="s">
        <v>119</v>
      </c>
      <c r="C91" s="5" t="s">
        <v>2</v>
      </c>
      <c r="D91" s="6" t="s">
        <v>16</v>
      </c>
      <c r="E91" s="4" t="s">
        <v>61</v>
      </c>
      <c r="F91" s="9">
        <v>2098162.69</v>
      </c>
      <c r="G91" s="9">
        <v>4561287.98</v>
      </c>
      <c r="H91" s="9">
        <f>G91/F91*100</f>
        <v>217.39438994599607</v>
      </c>
    </row>
    <row r="92" spans="1:8" ht="35.25" customHeight="1">
      <c r="A92" s="8" t="s">
        <v>18</v>
      </c>
      <c r="B92" s="5" t="s">
        <v>120</v>
      </c>
      <c r="C92" s="5" t="s">
        <v>2</v>
      </c>
      <c r="D92" s="6" t="s">
        <v>16</v>
      </c>
      <c r="E92" s="4" t="s">
        <v>19</v>
      </c>
      <c r="F92" s="9">
        <v>1205452.81</v>
      </c>
      <c r="G92" s="9">
        <v>1108556.72</v>
      </c>
      <c r="H92" s="9">
        <f t="shared" si="5"/>
        <v>91.96185124824588</v>
      </c>
    </row>
    <row r="93" spans="1:8" ht="90">
      <c r="A93" s="8" t="s">
        <v>18</v>
      </c>
      <c r="B93" s="5" t="s">
        <v>121</v>
      </c>
      <c r="C93" s="5" t="s">
        <v>2</v>
      </c>
      <c r="D93" s="6" t="s">
        <v>20</v>
      </c>
      <c r="E93" s="30" t="s">
        <v>44</v>
      </c>
      <c r="F93" s="9">
        <v>22646113.73</v>
      </c>
      <c r="G93" s="9">
        <v>23558169.8</v>
      </c>
      <c r="H93" s="9">
        <f t="shared" si="5"/>
        <v>104.02742863907714</v>
      </c>
    </row>
    <row r="94" spans="1:8" ht="45">
      <c r="A94" s="8" t="s">
        <v>18</v>
      </c>
      <c r="B94" s="5" t="s">
        <v>77</v>
      </c>
      <c r="C94" s="5" t="s">
        <v>2</v>
      </c>
      <c r="D94" s="6" t="s">
        <v>5</v>
      </c>
      <c r="E94" s="4" t="s">
        <v>4</v>
      </c>
      <c r="F94" s="9">
        <v>2537741.83</v>
      </c>
      <c r="G94" s="9">
        <v>3270476.33</v>
      </c>
      <c r="H94" s="9">
        <f t="shared" si="5"/>
        <v>128.8734847389894</v>
      </c>
    </row>
    <row r="95" spans="1:8" ht="30">
      <c r="A95" s="8" t="s">
        <v>18</v>
      </c>
      <c r="B95" s="5" t="s">
        <v>114</v>
      </c>
      <c r="C95" s="5" t="s">
        <v>112</v>
      </c>
      <c r="D95" s="6" t="s">
        <v>113</v>
      </c>
      <c r="E95" s="4" t="s">
        <v>117</v>
      </c>
      <c r="F95" s="9"/>
      <c r="G95" s="9">
        <v>-18145.49</v>
      </c>
      <c r="H95" s="9"/>
    </row>
    <row r="96" spans="1:8" ht="22.5" customHeight="1">
      <c r="A96" s="31"/>
      <c r="B96" s="43" t="s">
        <v>109</v>
      </c>
      <c r="C96" s="43" t="s">
        <v>2</v>
      </c>
      <c r="D96" s="44" t="s">
        <v>25</v>
      </c>
      <c r="E96" s="41" t="s">
        <v>110</v>
      </c>
      <c r="F96" s="42">
        <f>F97+F98+F99+F100+F101</f>
        <v>55383051.510000005</v>
      </c>
      <c r="G96" s="42">
        <f>G97+G98+G99+G100+G101</f>
        <v>49780830.03</v>
      </c>
      <c r="H96" s="42">
        <f>G96/F96*100</f>
        <v>89.88459225835821</v>
      </c>
    </row>
    <row r="97" spans="1:8" ht="63" customHeight="1">
      <c r="A97" s="8" t="s">
        <v>18</v>
      </c>
      <c r="B97" s="5" t="s">
        <v>171</v>
      </c>
      <c r="C97" s="5" t="s">
        <v>2</v>
      </c>
      <c r="D97" s="6" t="s">
        <v>17</v>
      </c>
      <c r="E97" s="21" t="s">
        <v>155</v>
      </c>
      <c r="F97" s="9">
        <v>20366038.32</v>
      </c>
      <c r="G97" s="9">
        <v>20366038.32</v>
      </c>
      <c r="H97" s="9">
        <f>G97/F97*100</f>
        <v>100</v>
      </c>
    </row>
    <row r="98" spans="1:8" ht="63.75" customHeight="1" outlineLevel="5">
      <c r="A98" s="8" t="s">
        <v>18</v>
      </c>
      <c r="B98" s="5" t="s">
        <v>172</v>
      </c>
      <c r="C98" s="5" t="s">
        <v>2</v>
      </c>
      <c r="D98" s="6" t="s">
        <v>17</v>
      </c>
      <c r="E98" s="21" t="s">
        <v>173</v>
      </c>
      <c r="F98" s="9">
        <v>9588870</v>
      </c>
      <c r="G98" s="9">
        <v>9588870</v>
      </c>
      <c r="H98" s="9">
        <f>G98/F98*100</f>
        <v>100</v>
      </c>
    </row>
    <row r="99" spans="1:8" ht="21" customHeight="1" outlineLevel="5">
      <c r="A99" s="8" t="s">
        <v>18</v>
      </c>
      <c r="B99" s="5" t="s">
        <v>167</v>
      </c>
      <c r="C99" s="5" t="s">
        <v>2</v>
      </c>
      <c r="D99" s="6" t="s">
        <v>17</v>
      </c>
      <c r="E99" s="4" t="s">
        <v>156</v>
      </c>
      <c r="F99" s="9">
        <v>21819763.19</v>
      </c>
      <c r="G99" s="9">
        <v>20346335.54</v>
      </c>
      <c r="H99" s="9">
        <f>G99/F99*100</f>
        <v>93.24727937159614</v>
      </c>
    </row>
    <row r="100" spans="1:8" ht="18.75" customHeight="1" outlineLevel="5">
      <c r="A100" s="8" t="s">
        <v>18</v>
      </c>
      <c r="B100" s="5" t="s">
        <v>169</v>
      </c>
      <c r="C100" s="5" t="s">
        <v>2</v>
      </c>
      <c r="D100" s="6" t="s">
        <v>17</v>
      </c>
      <c r="E100" s="4" t="s">
        <v>129</v>
      </c>
      <c r="F100" s="9">
        <v>3608380</v>
      </c>
      <c r="G100" s="9">
        <v>3590591.2</v>
      </c>
      <c r="H100" s="9">
        <f>G100/F100*100</f>
        <v>99.50701422799152</v>
      </c>
    </row>
    <row r="101" spans="1:8" ht="45">
      <c r="A101" s="8" t="s">
        <v>18</v>
      </c>
      <c r="B101" s="5" t="s">
        <v>170</v>
      </c>
      <c r="C101" s="5" t="s">
        <v>2</v>
      </c>
      <c r="D101" s="6" t="s">
        <v>17</v>
      </c>
      <c r="E101" s="7" t="s">
        <v>122</v>
      </c>
      <c r="F101" s="9"/>
      <c r="G101" s="9">
        <v>-4111005.03</v>
      </c>
      <c r="H101" s="9"/>
    </row>
    <row r="102" spans="1:8" s="48" customFormat="1" ht="28.5" outlineLevel="5">
      <c r="A102" s="45" t="s">
        <v>21</v>
      </c>
      <c r="B102" s="46"/>
      <c r="C102" s="46"/>
      <c r="D102" s="47"/>
      <c r="E102" s="37" t="s">
        <v>132</v>
      </c>
      <c r="F102" s="49">
        <f>F103</f>
        <v>624037225</v>
      </c>
      <c r="G102" s="49">
        <f>G103</f>
        <v>623833380.6899999</v>
      </c>
      <c r="H102" s="49">
        <f aca="true" t="shared" si="6" ref="H102:H108">G102/F102*100</f>
        <v>99.96733459129781</v>
      </c>
    </row>
    <row r="103" spans="1:8" ht="30.75" customHeight="1">
      <c r="A103" s="31"/>
      <c r="B103" s="43" t="s">
        <v>109</v>
      </c>
      <c r="C103" s="43" t="s">
        <v>2</v>
      </c>
      <c r="D103" s="44" t="s">
        <v>25</v>
      </c>
      <c r="E103" s="41" t="s">
        <v>110</v>
      </c>
      <c r="F103" s="42">
        <f>F104+F105+F106+F107+F108+F109</f>
        <v>624037225</v>
      </c>
      <c r="G103" s="42">
        <f>G104+G105+G106+G107+G108+G109</f>
        <v>623833380.6899999</v>
      </c>
      <c r="H103" s="42">
        <f t="shared" si="6"/>
        <v>99.96733459129781</v>
      </c>
    </row>
    <row r="104" spans="1:8" ht="30">
      <c r="A104" s="8" t="s">
        <v>21</v>
      </c>
      <c r="B104" s="5" t="s">
        <v>174</v>
      </c>
      <c r="C104" s="5" t="s">
        <v>2</v>
      </c>
      <c r="D104" s="6" t="s">
        <v>17</v>
      </c>
      <c r="E104" s="28" t="s">
        <v>45</v>
      </c>
      <c r="F104" s="9">
        <v>14143300</v>
      </c>
      <c r="G104" s="9">
        <v>14143300</v>
      </c>
      <c r="H104" s="9">
        <f t="shared" si="6"/>
        <v>100</v>
      </c>
    </row>
    <row r="105" spans="1:8" ht="30">
      <c r="A105" s="8" t="s">
        <v>21</v>
      </c>
      <c r="B105" s="5" t="s">
        <v>175</v>
      </c>
      <c r="C105" s="5" t="s">
        <v>2</v>
      </c>
      <c r="D105" s="6" t="s">
        <v>17</v>
      </c>
      <c r="E105" s="28" t="s">
        <v>66</v>
      </c>
      <c r="F105" s="9">
        <v>4071549</v>
      </c>
      <c r="G105" s="9">
        <v>4071549</v>
      </c>
      <c r="H105" s="9">
        <f t="shared" si="6"/>
        <v>100</v>
      </c>
    </row>
    <row r="106" spans="1:8" ht="45.75" customHeight="1">
      <c r="A106" s="8" t="s">
        <v>21</v>
      </c>
      <c r="B106" s="5" t="s">
        <v>176</v>
      </c>
      <c r="C106" s="5" t="s">
        <v>2</v>
      </c>
      <c r="D106" s="6" t="s">
        <v>17</v>
      </c>
      <c r="E106" s="28" t="s">
        <v>59</v>
      </c>
      <c r="F106" s="9">
        <v>577255000</v>
      </c>
      <c r="G106" s="9">
        <v>577255000</v>
      </c>
      <c r="H106" s="9">
        <f t="shared" si="6"/>
        <v>100</v>
      </c>
    </row>
    <row r="107" spans="1:8" ht="15">
      <c r="A107" s="8" t="s">
        <v>21</v>
      </c>
      <c r="B107" s="5" t="s">
        <v>167</v>
      </c>
      <c r="C107" s="5" t="s">
        <v>2</v>
      </c>
      <c r="D107" s="6" t="s">
        <v>17</v>
      </c>
      <c r="E107" s="4" t="s">
        <v>118</v>
      </c>
      <c r="F107" s="9">
        <v>26391376</v>
      </c>
      <c r="G107" s="9">
        <v>26391376</v>
      </c>
      <c r="H107" s="9">
        <f t="shared" si="6"/>
        <v>100</v>
      </c>
    </row>
    <row r="108" spans="1:8" ht="15">
      <c r="A108" s="8" t="s">
        <v>21</v>
      </c>
      <c r="B108" s="5" t="s">
        <v>169</v>
      </c>
      <c r="C108" s="5" t="s">
        <v>2</v>
      </c>
      <c r="D108" s="6" t="s">
        <v>17</v>
      </c>
      <c r="E108" s="4" t="s">
        <v>111</v>
      </c>
      <c r="F108" s="9">
        <v>2176000</v>
      </c>
      <c r="G108" s="9">
        <v>1977836.93</v>
      </c>
      <c r="H108" s="9">
        <f t="shared" si="6"/>
        <v>90.89324126838235</v>
      </c>
    </row>
    <row r="109" spans="1:8" ht="45">
      <c r="A109" s="8" t="s">
        <v>21</v>
      </c>
      <c r="B109" s="5" t="s">
        <v>170</v>
      </c>
      <c r="C109" s="5" t="s">
        <v>2</v>
      </c>
      <c r="D109" s="6" t="s">
        <v>17</v>
      </c>
      <c r="E109" s="7" t="s">
        <v>122</v>
      </c>
      <c r="F109" s="9"/>
      <c r="G109" s="9">
        <v>-5681.24</v>
      </c>
      <c r="H109" s="9"/>
    </row>
    <row r="110" spans="1:9" ht="28.5" outlineLevel="5">
      <c r="A110" s="27" t="s">
        <v>22</v>
      </c>
      <c r="B110" s="24"/>
      <c r="C110" s="24"/>
      <c r="D110" s="25"/>
      <c r="E110" s="37" t="s">
        <v>133</v>
      </c>
      <c r="F110" s="22">
        <f>F111+F113</f>
        <v>760886633.49</v>
      </c>
      <c r="G110" s="22">
        <f>G111+G113</f>
        <v>750179741.13</v>
      </c>
      <c r="H110" s="22">
        <f aca="true" t="shared" si="7" ref="H110:H117">G110/F110*100</f>
        <v>98.59283999892466</v>
      </c>
      <c r="I110" s="12"/>
    </row>
    <row r="111" spans="1:8" ht="15" outlineLevel="5">
      <c r="A111" s="51"/>
      <c r="B111" s="43" t="s">
        <v>79</v>
      </c>
      <c r="C111" s="43" t="s">
        <v>2</v>
      </c>
      <c r="D111" s="44" t="s">
        <v>25</v>
      </c>
      <c r="E111" s="41" t="s">
        <v>76</v>
      </c>
      <c r="F111" s="42">
        <f>F112</f>
        <v>181533.49</v>
      </c>
      <c r="G111" s="42">
        <f>G112</f>
        <v>181533.49</v>
      </c>
      <c r="H111" s="42">
        <f t="shared" si="7"/>
        <v>100</v>
      </c>
    </row>
    <row r="112" spans="1:8" ht="33.75" customHeight="1">
      <c r="A112" s="20" t="s">
        <v>22</v>
      </c>
      <c r="B112" s="5" t="s">
        <v>120</v>
      </c>
      <c r="C112" s="5" t="s">
        <v>2</v>
      </c>
      <c r="D112" s="6" t="s">
        <v>16</v>
      </c>
      <c r="E112" s="4" t="s">
        <v>19</v>
      </c>
      <c r="F112" s="9">
        <v>181533.49</v>
      </c>
      <c r="G112" s="9">
        <v>181533.49</v>
      </c>
      <c r="H112" s="9">
        <f t="shared" si="7"/>
        <v>100</v>
      </c>
    </row>
    <row r="113" spans="1:8" ht="21.75" customHeight="1">
      <c r="A113" s="31"/>
      <c r="B113" s="43" t="s">
        <v>109</v>
      </c>
      <c r="C113" s="43" t="s">
        <v>2</v>
      </c>
      <c r="D113" s="44" t="s">
        <v>25</v>
      </c>
      <c r="E113" s="41" t="s">
        <v>110</v>
      </c>
      <c r="F113" s="42">
        <f>F114+F115+F116+F117+F118+F119</f>
        <v>760705100</v>
      </c>
      <c r="G113" s="42">
        <f>G114+G115+G116+G117+G118+G119</f>
        <v>749998207.64</v>
      </c>
      <c r="H113" s="42">
        <f t="shared" si="7"/>
        <v>98.59250419643566</v>
      </c>
    </row>
    <row r="114" spans="1:8" ht="23.25" customHeight="1">
      <c r="A114" s="20" t="s">
        <v>22</v>
      </c>
      <c r="B114" s="2" t="s">
        <v>167</v>
      </c>
      <c r="C114" s="2" t="s">
        <v>2</v>
      </c>
      <c r="D114" s="19" t="s">
        <v>17</v>
      </c>
      <c r="E114" s="18" t="s">
        <v>118</v>
      </c>
      <c r="F114" s="17">
        <v>5522500</v>
      </c>
      <c r="G114" s="17">
        <v>5522500</v>
      </c>
      <c r="H114" s="17">
        <f t="shared" si="7"/>
        <v>100</v>
      </c>
    </row>
    <row r="115" spans="1:8" ht="45.75" customHeight="1">
      <c r="A115" s="20" t="s">
        <v>22</v>
      </c>
      <c r="B115" s="2" t="s">
        <v>177</v>
      </c>
      <c r="C115" s="2" t="s">
        <v>2</v>
      </c>
      <c r="D115" s="19" t="s">
        <v>17</v>
      </c>
      <c r="E115" s="18" t="s">
        <v>135</v>
      </c>
      <c r="F115" s="17">
        <v>31386600</v>
      </c>
      <c r="G115" s="17">
        <v>31386600</v>
      </c>
      <c r="H115" s="17">
        <f t="shared" si="7"/>
        <v>100</v>
      </c>
    </row>
    <row r="116" spans="1:8" ht="80.25" customHeight="1">
      <c r="A116" s="20" t="s">
        <v>22</v>
      </c>
      <c r="B116" s="2" t="s">
        <v>178</v>
      </c>
      <c r="C116" s="2" t="s">
        <v>2</v>
      </c>
      <c r="D116" s="19" t="s">
        <v>17</v>
      </c>
      <c r="E116" s="35" t="s">
        <v>136</v>
      </c>
      <c r="F116" s="17">
        <v>15952600</v>
      </c>
      <c r="G116" s="17">
        <v>14516648</v>
      </c>
      <c r="H116" s="17">
        <f t="shared" si="7"/>
        <v>90.99863345160037</v>
      </c>
    </row>
    <row r="117" spans="1:8" ht="21.75" customHeight="1">
      <c r="A117" s="8" t="s">
        <v>22</v>
      </c>
      <c r="B117" s="5" t="s">
        <v>169</v>
      </c>
      <c r="C117" s="5" t="s">
        <v>2</v>
      </c>
      <c r="D117" s="6" t="s">
        <v>17</v>
      </c>
      <c r="E117" s="4" t="s">
        <v>134</v>
      </c>
      <c r="F117" s="9">
        <v>707843400</v>
      </c>
      <c r="G117" s="9">
        <v>700327492.05</v>
      </c>
      <c r="H117" s="17">
        <f t="shared" si="7"/>
        <v>98.93819622391054</v>
      </c>
    </row>
    <row r="118" spans="1:8" ht="34.5" customHeight="1">
      <c r="A118" s="8" t="s">
        <v>22</v>
      </c>
      <c r="B118" s="5" t="s">
        <v>115</v>
      </c>
      <c r="C118" s="5" t="s">
        <v>112</v>
      </c>
      <c r="D118" s="6" t="s">
        <v>113</v>
      </c>
      <c r="E118" s="7" t="s">
        <v>116</v>
      </c>
      <c r="F118" s="9"/>
      <c r="G118" s="9">
        <v>91565.94</v>
      </c>
      <c r="H118" s="17"/>
    </row>
    <row r="119" spans="1:8" ht="48" customHeight="1">
      <c r="A119" s="8" t="s">
        <v>22</v>
      </c>
      <c r="B119" s="5" t="s">
        <v>170</v>
      </c>
      <c r="C119" s="5" t="s">
        <v>2</v>
      </c>
      <c r="D119" s="6" t="s">
        <v>17</v>
      </c>
      <c r="E119" s="7" t="s">
        <v>122</v>
      </c>
      <c r="F119" s="9"/>
      <c r="G119" s="9">
        <v>-1846598.35</v>
      </c>
      <c r="H119" s="17"/>
    </row>
    <row r="120" spans="1:8" s="48" customFormat="1" ht="28.5" outlineLevel="5">
      <c r="A120" s="45" t="s">
        <v>23</v>
      </c>
      <c r="B120" s="46"/>
      <c r="C120" s="46"/>
      <c r="D120" s="47"/>
      <c r="E120" s="37" t="s">
        <v>137</v>
      </c>
      <c r="F120" s="49">
        <f>F121+F123</f>
        <v>130910.51</v>
      </c>
      <c r="G120" s="49">
        <f>G121+G123</f>
        <v>176136.19999999998</v>
      </c>
      <c r="H120" s="49">
        <f>G120/F120*100</f>
        <v>134.5470275839579</v>
      </c>
    </row>
    <row r="121" spans="1:8" s="48" customFormat="1" ht="15" outlineLevel="5">
      <c r="A121" s="51"/>
      <c r="B121" s="43" t="s">
        <v>79</v>
      </c>
      <c r="C121" s="43" t="s">
        <v>2</v>
      </c>
      <c r="D121" s="44" t="s">
        <v>25</v>
      </c>
      <c r="E121" s="41" t="s">
        <v>76</v>
      </c>
      <c r="F121" s="42">
        <f>F122</f>
        <v>46900</v>
      </c>
      <c r="G121" s="42">
        <f>G122</f>
        <v>46866.15</v>
      </c>
      <c r="H121" s="42">
        <f>G121/F121*100</f>
        <v>99.92782515991472</v>
      </c>
    </row>
    <row r="122" spans="1:8" ht="33.75" customHeight="1">
      <c r="A122" s="8" t="s">
        <v>23</v>
      </c>
      <c r="B122" s="5" t="s">
        <v>120</v>
      </c>
      <c r="C122" s="5" t="s">
        <v>2</v>
      </c>
      <c r="D122" s="6" t="s">
        <v>16</v>
      </c>
      <c r="E122" s="4" t="s">
        <v>19</v>
      </c>
      <c r="F122" s="9">
        <v>46900</v>
      </c>
      <c r="G122" s="9">
        <v>46866.15</v>
      </c>
      <c r="H122" s="9">
        <f>G122/F122*100</f>
        <v>99.92782515991472</v>
      </c>
    </row>
    <row r="123" spans="1:8" ht="22.5" customHeight="1">
      <c r="A123" s="31"/>
      <c r="B123" s="43" t="s">
        <v>109</v>
      </c>
      <c r="C123" s="43" t="s">
        <v>2</v>
      </c>
      <c r="D123" s="44" t="s">
        <v>25</v>
      </c>
      <c r="E123" s="41" t="s">
        <v>110</v>
      </c>
      <c r="F123" s="42">
        <f>F124+F125</f>
        <v>84010.51</v>
      </c>
      <c r="G123" s="42">
        <f>G124+G125</f>
        <v>129270.04999999999</v>
      </c>
      <c r="H123" s="42">
        <f>G123/F123*100</f>
        <v>153.87366414035577</v>
      </c>
    </row>
    <row r="124" spans="1:8" ht="35.25" customHeight="1">
      <c r="A124" s="8" t="s">
        <v>23</v>
      </c>
      <c r="B124" s="5" t="s">
        <v>179</v>
      </c>
      <c r="C124" s="5" t="s">
        <v>2</v>
      </c>
      <c r="D124" s="6" t="s">
        <v>17</v>
      </c>
      <c r="E124" s="4" t="s">
        <v>180</v>
      </c>
      <c r="F124" s="9">
        <v>84010.51</v>
      </c>
      <c r="G124" s="9">
        <v>84010.51</v>
      </c>
      <c r="H124" s="9">
        <f>G124/F124*100</f>
        <v>100</v>
      </c>
    </row>
    <row r="125" spans="1:8" ht="29.25" customHeight="1">
      <c r="A125" s="8" t="s">
        <v>23</v>
      </c>
      <c r="B125" s="5" t="s">
        <v>115</v>
      </c>
      <c r="C125" s="5" t="s">
        <v>112</v>
      </c>
      <c r="D125" s="6" t="s">
        <v>113</v>
      </c>
      <c r="E125" s="7" t="s">
        <v>116</v>
      </c>
      <c r="F125" s="9"/>
      <c r="G125" s="9">
        <v>45259.54</v>
      </c>
      <c r="H125" s="17"/>
    </row>
    <row r="126" spans="1:8" ht="42.75">
      <c r="A126" s="45" t="s">
        <v>157</v>
      </c>
      <c r="B126" s="46"/>
      <c r="C126" s="46"/>
      <c r="D126" s="47"/>
      <c r="E126" s="37" t="s">
        <v>158</v>
      </c>
      <c r="F126" s="49">
        <f>F127</f>
        <v>20000</v>
      </c>
      <c r="G126" s="49">
        <f>G127</f>
        <v>20000</v>
      </c>
      <c r="H126" s="49">
        <f>G126/F126*100</f>
        <v>100</v>
      </c>
    </row>
    <row r="127" spans="1:8" ht="15">
      <c r="A127" s="51"/>
      <c r="B127" s="43" t="s">
        <v>79</v>
      </c>
      <c r="C127" s="43" t="s">
        <v>2</v>
      </c>
      <c r="D127" s="44" t="s">
        <v>25</v>
      </c>
      <c r="E127" s="41" t="s">
        <v>76</v>
      </c>
      <c r="F127" s="42">
        <f>F128</f>
        <v>20000</v>
      </c>
      <c r="G127" s="42">
        <f>G128</f>
        <v>20000</v>
      </c>
      <c r="H127" s="42">
        <f>G127/F127*100</f>
        <v>100</v>
      </c>
    </row>
    <row r="128" spans="1:8" ht="45">
      <c r="A128" s="8" t="s">
        <v>157</v>
      </c>
      <c r="B128" s="5" t="s">
        <v>77</v>
      </c>
      <c r="C128" s="5" t="s">
        <v>2</v>
      </c>
      <c r="D128" s="6" t="s">
        <v>5</v>
      </c>
      <c r="E128" s="4" t="s">
        <v>4</v>
      </c>
      <c r="F128" s="9">
        <v>20000</v>
      </c>
      <c r="G128" s="9">
        <v>20000</v>
      </c>
      <c r="H128" s="9">
        <f>G128/F128*100</f>
        <v>100</v>
      </c>
    </row>
    <row r="129" spans="1:8" s="48" customFormat="1" ht="22.5" customHeight="1">
      <c r="A129" s="193" t="s">
        <v>24</v>
      </c>
      <c r="B129" s="193"/>
      <c r="C129" s="193"/>
      <c r="D129" s="193"/>
      <c r="E129" s="193"/>
      <c r="F129" s="52">
        <f>F9+F15+F21+F24+F27+F30+F50+F57+F60+F66+F69+F81+F102+F110+F120+F126+F63</f>
        <v>2285607550.96</v>
      </c>
      <c r="G129" s="52">
        <f>G9+G15+G21+G24+G27+G30+G50+G57+G60+G66+G69+G81+G102+G110+G120+G126+G63</f>
        <v>2244375221.62</v>
      </c>
      <c r="H129" s="52">
        <f>G129/F129*100</f>
        <v>98.19600135103326</v>
      </c>
    </row>
    <row r="130" spans="1:8" ht="15">
      <c r="A130" s="14"/>
      <c r="B130" s="14"/>
      <c r="C130" s="14"/>
      <c r="D130" s="14"/>
      <c r="E130" s="14"/>
      <c r="F130" s="36"/>
      <c r="G130" s="36"/>
      <c r="H130" s="36"/>
    </row>
    <row r="131" spans="5:6" ht="25.5" customHeight="1">
      <c r="E131" s="190"/>
      <c r="F131" s="190"/>
    </row>
    <row r="132" spans="1:8" ht="15.75">
      <c r="A132" s="29"/>
      <c r="B132" s="29"/>
      <c r="C132" s="29"/>
      <c r="D132" s="29"/>
      <c r="E132" s="29"/>
      <c r="F132" s="29"/>
      <c r="G132" s="29"/>
      <c r="H132" s="29"/>
    </row>
    <row r="133" spans="1:6" ht="15.75">
      <c r="A133" s="29"/>
      <c r="E133" s="29"/>
      <c r="F133" s="38"/>
    </row>
    <row r="136" spans="1:8" ht="15.75">
      <c r="A136" s="29"/>
      <c r="B136" s="29"/>
      <c r="C136" s="29"/>
      <c r="D136" s="29"/>
      <c r="E136" s="29"/>
      <c r="F136" s="29"/>
      <c r="G136" s="29"/>
      <c r="H136" s="29"/>
    </row>
    <row r="137" spans="1:6" ht="15.75">
      <c r="A137" s="29"/>
      <c r="E137" s="29"/>
      <c r="F137" s="38"/>
    </row>
    <row r="138" spans="1:8" ht="15.75">
      <c r="A138" s="29"/>
      <c r="B138" s="29"/>
      <c r="C138" s="29"/>
      <c r="D138" s="29"/>
      <c r="E138" s="29"/>
      <c r="F138" s="29"/>
      <c r="G138" s="29"/>
      <c r="H138" s="29"/>
    </row>
    <row r="141" spans="6:8" ht="15">
      <c r="F141" s="12"/>
      <c r="G141" s="12"/>
      <c r="H141" s="12"/>
    </row>
  </sheetData>
  <sheetProtection/>
  <mergeCells count="7">
    <mergeCell ref="E131:F131"/>
    <mergeCell ref="B8:D8"/>
    <mergeCell ref="A129:E129"/>
    <mergeCell ref="G1:H1"/>
    <mergeCell ref="E2:H2"/>
    <mergeCell ref="E3:H3"/>
    <mergeCell ref="A6:H6"/>
  </mergeCells>
  <printOptions/>
  <pageMargins left="0.7874015748031497" right="0.5905511811023623" top="0.5905511811023623" bottom="0.5905511811023623" header="0.3937007874015748" footer="0.5118110236220472"/>
  <pageSetup fitToHeight="2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0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I1142" sqref="I1142:I1145"/>
    </sheetView>
  </sheetViews>
  <sheetFormatPr defaultColWidth="9.00390625" defaultRowHeight="12.75" outlineLevelRow="7"/>
  <cols>
    <col min="1" max="1" width="49.75390625" style="139" customWidth="1"/>
    <col min="2" max="2" width="7.75390625" style="139" customWidth="1"/>
    <col min="3" max="3" width="10.00390625" style="139" customWidth="1"/>
    <col min="4" max="4" width="10.375" style="139" customWidth="1"/>
    <col min="5" max="5" width="16.125" style="139" customWidth="1"/>
    <col min="6" max="6" width="7.25390625" style="139" customWidth="1"/>
    <col min="7" max="7" width="19.875" style="139" customWidth="1"/>
    <col min="8" max="8" width="19.875" style="188" customWidth="1"/>
    <col min="9" max="9" width="17.375" style="188" customWidth="1"/>
    <col min="10" max="10" width="17.25390625" style="138" bestFit="1" customWidth="1"/>
    <col min="11" max="16384" width="9.125" style="139" customWidth="1"/>
  </cols>
  <sheetData>
    <row r="1" spans="1:9" ht="15.75">
      <c r="A1" s="200" t="s">
        <v>1067</v>
      </c>
      <c r="B1" s="200"/>
      <c r="C1" s="200"/>
      <c r="D1" s="200"/>
      <c r="E1" s="200"/>
      <c r="F1" s="200"/>
      <c r="G1" s="200"/>
      <c r="H1" s="200"/>
      <c r="I1" s="200"/>
    </row>
    <row r="2" spans="1:9" ht="15.75">
      <c r="A2" s="200" t="s">
        <v>71</v>
      </c>
      <c r="B2" s="200"/>
      <c r="C2" s="200"/>
      <c r="D2" s="200"/>
      <c r="E2" s="200"/>
      <c r="F2" s="200"/>
      <c r="G2" s="200"/>
      <c r="H2" s="200"/>
      <c r="I2" s="200"/>
    </row>
    <row r="3" spans="1:9" ht="15.75">
      <c r="A3" s="200" t="s">
        <v>1066</v>
      </c>
      <c r="B3" s="200"/>
      <c r="C3" s="200"/>
      <c r="D3" s="200"/>
      <c r="E3" s="200"/>
      <c r="F3" s="200"/>
      <c r="G3" s="200"/>
      <c r="H3" s="200"/>
      <c r="I3" s="200"/>
    </row>
    <row r="4" spans="1:9" ht="15.75" customHeight="1">
      <c r="A4" s="137"/>
      <c r="B4" s="137"/>
      <c r="C4" s="137"/>
      <c r="D4" s="137"/>
      <c r="E4" s="137"/>
      <c r="F4" s="137"/>
      <c r="G4" s="137"/>
      <c r="H4" s="183"/>
      <c r="I4" s="183"/>
    </row>
    <row r="5" spans="1:9" ht="44.25" customHeight="1">
      <c r="A5" s="199" t="s">
        <v>1069</v>
      </c>
      <c r="B5" s="199"/>
      <c r="C5" s="199"/>
      <c r="D5" s="199"/>
      <c r="E5" s="199"/>
      <c r="F5" s="199"/>
      <c r="G5" s="199"/>
      <c r="H5" s="199"/>
      <c r="I5" s="199"/>
    </row>
    <row r="6" spans="1:9" ht="16.5" customHeight="1">
      <c r="A6" s="140"/>
      <c r="B6" s="141"/>
      <c r="C6" s="141"/>
      <c r="D6" s="141"/>
      <c r="E6" s="141"/>
      <c r="F6" s="141"/>
      <c r="G6" s="141"/>
      <c r="H6" s="184"/>
      <c r="I6" s="185"/>
    </row>
    <row r="7" spans="1:9" ht="47.25">
      <c r="A7" s="142" t="s">
        <v>41</v>
      </c>
      <c r="B7" s="142" t="s">
        <v>308</v>
      </c>
      <c r="C7" s="143" t="s">
        <v>309</v>
      </c>
      <c r="D7" s="143" t="s">
        <v>310</v>
      </c>
      <c r="E7" s="142" t="s">
        <v>311</v>
      </c>
      <c r="F7" s="142" t="s">
        <v>312</v>
      </c>
      <c r="G7" s="64" t="s">
        <v>185</v>
      </c>
      <c r="H7" s="182" t="s">
        <v>1068</v>
      </c>
      <c r="I7" s="65" t="s">
        <v>67</v>
      </c>
    </row>
    <row r="8" spans="1:9" ht="15.75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</row>
    <row r="9" spans="1:10" s="148" customFormat="1" ht="15.75">
      <c r="A9" s="144" t="s">
        <v>148</v>
      </c>
      <c r="B9" s="145" t="s">
        <v>147</v>
      </c>
      <c r="C9" s="145" t="s">
        <v>189</v>
      </c>
      <c r="D9" s="145" t="s">
        <v>189</v>
      </c>
      <c r="E9" s="145" t="s">
        <v>313</v>
      </c>
      <c r="F9" s="145" t="s">
        <v>25</v>
      </c>
      <c r="G9" s="161">
        <f>G10</f>
        <v>6253250.67</v>
      </c>
      <c r="H9" s="161">
        <f>H10</f>
        <v>6178231.569999999</v>
      </c>
      <c r="I9" s="161">
        <f>H9/G9*100</f>
        <v>98.80031836305707</v>
      </c>
      <c r="J9" s="147"/>
    </row>
    <row r="10" spans="1:10" s="148" customFormat="1" ht="15.75" outlineLevel="1">
      <c r="A10" s="144" t="s">
        <v>314</v>
      </c>
      <c r="B10" s="145" t="s">
        <v>147</v>
      </c>
      <c r="C10" s="145" t="s">
        <v>188</v>
      </c>
      <c r="D10" s="145" t="s">
        <v>189</v>
      </c>
      <c r="E10" s="145" t="s">
        <v>313</v>
      </c>
      <c r="F10" s="145" t="s">
        <v>25</v>
      </c>
      <c r="G10" s="161">
        <f>G11+G29+G48</f>
        <v>6253250.67</v>
      </c>
      <c r="H10" s="161">
        <f>H11+H29+H48</f>
        <v>6178231.569999999</v>
      </c>
      <c r="I10" s="161">
        <f aca="true" t="shared" si="0" ref="I10:I61">H10/G10*100</f>
        <v>98.80031836305707</v>
      </c>
      <c r="J10" s="147"/>
    </row>
    <row r="11" spans="1:10" s="148" customFormat="1" ht="47.25" outlineLevel="2">
      <c r="A11" s="144" t="s">
        <v>190</v>
      </c>
      <c r="B11" s="145" t="s">
        <v>147</v>
      </c>
      <c r="C11" s="145" t="s">
        <v>188</v>
      </c>
      <c r="D11" s="145" t="s">
        <v>191</v>
      </c>
      <c r="E11" s="145" t="s">
        <v>313</v>
      </c>
      <c r="F11" s="145" t="s">
        <v>25</v>
      </c>
      <c r="G11" s="161">
        <f>G12+G21</f>
        <v>2383890.23</v>
      </c>
      <c r="H11" s="161">
        <f>H12+H21</f>
        <v>2329427.22</v>
      </c>
      <c r="I11" s="161">
        <f t="shared" si="0"/>
        <v>97.7153725740132</v>
      </c>
      <c r="J11" s="147"/>
    </row>
    <row r="12" spans="1:10" s="148" customFormat="1" ht="63" hidden="1" outlineLevel="3">
      <c r="A12" s="144" t="s">
        <v>315</v>
      </c>
      <c r="B12" s="145" t="s">
        <v>147</v>
      </c>
      <c r="C12" s="145" t="s">
        <v>188</v>
      </c>
      <c r="D12" s="145" t="s">
        <v>191</v>
      </c>
      <c r="E12" s="145" t="s">
        <v>316</v>
      </c>
      <c r="F12" s="145" t="s">
        <v>25</v>
      </c>
      <c r="G12" s="161">
        <f>G13</f>
        <v>0</v>
      </c>
      <c r="H12" s="161">
        <f>H13</f>
        <v>0</v>
      </c>
      <c r="I12" s="161" t="e">
        <f t="shared" si="0"/>
        <v>#DIV/0!</v>
      </c>
      <c r="J12" s="147"/>
    </row>
    <row r="13" spans="1:10" s="148" customFormat="1" ht="31.5" hidden="1" outlineLevel="4">
      <c r="A13" s="144" t="s">
        <v>317</v>
      </c>
      <c r="B13" s="145" t="s">
        <v>147</v>
      </c>
      <c r="C13" s="145" t="s">
        <v>188</v>
      </c>
      <c r="D13" s="145" t="s">
        <v>191</v>
      </c>
      <c r="E13" s="145" t="s">
        <v>318</v>
      </c>
      <c r="F13" s="145" t="s">
        <v>25</v>
      </c>
      <c r="G13" s="161">
        <f>G18+G14</f>
        <v>0</v>
      </c>
      <c r="H13" s="161">
        <f>H18+H14</f>
        <v>0</v>
      </c>
      <c r="I13" s="161" t="e">
        <f t="shared" si="0"/>
        <v>#DIV/0!</v>
      </c>
      <c r="J13" s="147"/>
    </row>
    <row r="14" spans="1:10" s="148" customFormat="1" ht="63" hidden="1" outlineLevel="4">
      <c r="A14" s="149" t="s">
        <v>319</v>
      </c>
      <c r="B14" s="150" t="s">
        <v>147</v>
      </c>
      <c r="C14" s="150" t="s">
        <v>188</v>
      </c>
      <c r="D14" s="150" t="s">
        <v>191</v>
      </c>
      <c r="E14" s="150" t="s">
        <v>320</v>
      </c>
      <c r="F14" s="150" t="s">
        <v>25</v>
      </c>
      <c r="G14" s="158">
        <f>G15</f>
        <v>0</v>
      </c>
      <c r="H14" s="158">
        <f>H15</f>
        <v>0</v>
      </c>
      <c r="I14" s="161" t="e">
        <f t="shared" si="0"/>
        <v>#DIV/0!</v>
      </c>
      <c r="J14" s="147"/>
    </row>
    <row r="15" spans="1:10" s="148" customFormat="1" ht="31.5" hidden="1" outlineLevel="4">
      <c r="A15" s="149" t="s">
        <v>321</v>
      </c>
      <c r="B15" s="150" t="s">
        <v>147</v>
      </c>
      <c r="C15" s="150" t="s">
        <v>188</v>
      </c>
      <c r="D15" s="150" t="s">
        <v>191</v>
      </c>
      <c r="E15" s="150" t="s">
        <v>322</v>
      </c>
      <c r="F15" s="150" t="s">
        <v>25</v>
      </c>
      <c r="G15" s="158">
        <f>G16+G17</f>
        <v>0</v>
      </c>
      <c r="H15" s="158">
        <f>H16+H17</f>
        <v>0</v>
      </c>
      <c r="I15" s="161" t="e">
        <f t="shared" si="0"/>
        <v>#DIV/0!</v>
      </c>
      <c r="J15" s="147"/>
    </row>
    <row r="16" spans="1:10" s="148" customFormat="1" ht="94.5" hidden="1" outlineLevel="4">
      <c r="A16" s="149" t="s">
        <v>323</v>
      </c>
      <c r="B16" s="150" t="s">
        <v>147</v>
      </c>
      <c r="C16" s="150" t="s">
        <v>188</v>
      </c>
      <c r="D16" s="150" t="s">
        <v>191</v>
      </c>
      <c r="E16" s="150" t="s">
        <v>322</v>
      </c>
      <c r="F16" s="150" t="s">
        <v>54</v>
      </c>
      <c r="G16" s="158">
        <f>27706-27706</f>
        <v>0</v>
      </c>
      <c r="H16" s="158">
        <f>27706-27706</f>
        <v>0</v>
      </c>
      <c r="I16" s="161" t="e">
        <f t="shared" si="0"/>
        <v>#DIV/0!</v>
      </c>
      <c r="J16" s="147"/>
    </row>
    <row r="17" spans="1:10" s="148" customFormat="1" ht="31.5" hidden="1" outlineLevel="4">
      <c r="A17" s="149" t="s">
        <v>324</v>
      </c>
      <c r="B17" s="150" t="s">
        <v>147</v>
      </c>
      <c r="C17" s="150" t="s">
        <v>188</v>
      </c>
      <c r="D17" s="150" t="s">
        <v>191</v>
      </c>
      <c r="E17" s="150" t="s">
        <v>322</v>
      </c>
      <c r="F17" s="150" t="s">
        <v>325</v>
      </c>
      <c r="G17" s="158">
        <f>24000-24000</f>
        <v>0</v>
      </c>
      <c r="H17" s="158">
        <f>24000-24000</f>
        <v>0</v>
      </c>
      <c r="I17" s="161" t="e">
        <f t="shared" si="0"/>
        <v>#DIV/0!</v>
      </c>
      <c r="J17" s="147"/>
    </row>
    <row r="18" spans="1:9" ht="47.25" hidden="1" outlineLevel="5">
      <c r="A18" s="149" t="s">
        <v>326</v>
      </c>
      <c r="B18" s="150" t="s">
        <v>147</v>
      </c>
      <c r="C18" s="150" t="s">
        <v>188</v>
      </c>
      <c r="D18" s="150" t="s">
        <v>191</v>
      </c>
      <c r="E18" s="150" t="s">
        <v>327</v>
      </c>
      <c r="F18" s="150" t="s">
        <v>25</v>
      </c>
      <c r="G18" s="158">
        <f>G19</f>
        <v>0</v>
      </c>
      <c r="H18" s="158">
        <f>H19</f>
        <v>0</v>
      </c>
      <c r="I18" s="161" t="e">
        <f t="shared" si="0"/>
        <v>#DIV/0!</v>
      </c>
    </row>
    <row r="19" spans="1:9" ht="31.5" hidden="1" outlineLevel="6">
      <c r="A19" s="149" t="s">
        <v>321</v>
      </c>
      <c r="B19" s="150" t="s">
        <v>147</v>
      </c>
      <c r="C19" s="150" t="s">
        <v>188</v>
      </c>
      <c r="D19" s="150" t="s">
        <v>191</v>
      </c>
      <c r="E19" s="150" t="s">
        <v>328</v>
      </c>
      <c r="F19" s="150" t="s">
        <v>25</v>
      </c>
      <c r="G19" s="158">
        <f>G20</f>
        <v>0</v>
      </c>
      <c r="H19" s="158">
        <f>H20</f>
        <v>0</v>
      </c>
      <c r="I19" s="161" t="e">
        <f t="shared" si="0"/>
        <v>#DIV/0!</v>
      </c>
    </row>
    <row r="20" spans="1:9" ht="94.5" hidden="1" outlineLevel="7">
      <c r="A20" s="149" t="s">
        <v>323</v>
      </c>
      <c r="B20" s="150" t="s">
        <v>147</v>
      </c>
      <c r="C20" s="150" t="s">
        <v>188</v>
      </c>
      <c r="D20" s="150" t="s">
        <v>191</v>
      </c>
      <c r="E20" s="150" t="s">
        <v>328</v>
      </c>
      <c r="F20" s="150" t="s">
        <v>54</v>
      </c>
      <c r="G20" s="158">
        <f>96826.49-51706+18922.51-64043</f>
        <v>0</v>
      </c>
      <c r="H20" s="158">
        <f>96826.49-51706+18922.51-64043</f>
        <v>0</v>
      </c>
      <c r="I20" s="161" t="e">
        <f t="shared" si="0"/>
        <v>#DIV/0!</v>
      </c>
    </row>
    <row r="21" spans="1:10" s="148" customFormat="1" ht="15.75" outlineLevel="3" collapsed="1">
      <c r="A21" s="144" t="s">
        <v>329</v>
      </c>
      <c r="B21" s="145" t="s">
        <v>147</v>
      </c>
      <c r="C21" s="145" t="s">
        <v>188</v>
      </c>
      <c r="D21" s="145" t="s">
        <v>191</v>
      </c>
      <c r="E21" s="145" t="s">
        <v>330</v>
      </c>
      <c r="F21" s="145" t="s">
        <v>25</v>
      </c>
      <c r="G21" s="161">
        <f>G22+G27+G24</f>
        <v>2383890.23</v>
      </c>
      <c r="H21" s="161">
        <f>H22+H27+H24</f>
        <v>2329427.22</v>
      </c>
      <c r="I21" s="161">
        <f t="shared" si="0"/>
        <v>97.7153725740132</v>
      </c>
      <c r="J21" s="147"/>
    </row>
    <row r="22" spans="1:9" ht="31.5" outlineLevel="6">
      <c r="A22" s="149" t="s">
        <v>331</v>
      </c>
      <c r="B22" s="150" t="s">
        <v>147</v>
      </c>
      <c r="C22" s="150" t="s">
        <v>188</v>
      </c>
      <c r="D22" s="150" t="s">
        <v>191</v>
      </c>
      <c r="E22" s="150" t="s">
        <v>332</v>
      </c>
      <c r="F22" s="150" t="s">
        <v>25</v>
      </c>
      <c r="G22" s="158">
        <f>G23</f>
        <v>2135695.55</v>
      </c>
      <c r="H22" s="158">
        <f>H23</f>
        <v>2135695.54</v>
      </c>
      <c r="I22" s="158">
        <f t="shared" si="0"/>
        <v>99.99999953176848</v>
      </c>
    </row>
    <row r="23" spans="1:9" ht="94.5" outlineLevel="7">
      <c r="A23" s="149" t="s">
        <v>323</v>
      </c>
      <c r="B23" s="150" t="s">
        <v>147</v>
      </c>
      <c r="C23" s="150" t="s">
        <v>188</v>
      </c>
      <c r="D23" s="150" t="s">
        <v>191</v>
      </c>
      <c r="E23" s="150" t="s">
        <v>332</v>
      </c>
      <c r="F23" s="150" t="s">
        <v>54</v>
      </c>
      <c r="G23" s="158">
        <f>2124303+11392.55</f>
        <v>2135695.55</v>
      </c>
      <c r="H23" s="158">
        <v>2135695.54</v>
      </c>
      <c r="I23" s="158">
        <f t="shared" si="0"/>
        <v>99.99999953176848</v>
      </c>
    </row>
    <row r="24" spans="1:9" ht="31.5" outlineLevel="7">
      <c r="A24" s="149" t="s">
        <v>333</v>
      </c>
      <c r="B24" s="150" t="s">
        <v>147</v>
      </c>
      <c r="C24" s="150" t="s">
        <v>188</v>
      </c>
      <c r="D24" s="150" t="s">
        <v>191</v>
      </c>
      <c r="E24" s="150" t="s">
        <v>334</v>
      </c>
      <c r="F24" s="150" t="s">
        <v>25</v>
      </c>
      <c r="G24" s="158">
        <f>G26+G25</f>
        <v>221343</v>
      </c>
      <c r="H24" s="158">
        <f>H26+H25</f>
        <v>166880</v>
      </c>
      <c r="I24" s="158">
        <f t="shared" si="0"/>
        <v>75.39429753820993</v>
      </c>
    </row>
    <row r="25" spans="1:9" ht="94.5" outlineLevel="7">
      <c r="A25" s="149" t="s">
        <v>323</v>
      </c>
      <c r="B25" s="150" t="s">
        <v>147</v>
      </c>
      <c r="C25" s="150" t="s">
        <v>188</v>
      </c>
      <c r="D25" s="150" t="s">
        <v>191</v>
      </c>
      <c r="E25" s="150" t="s">
        <v>334</v>
      </c>
      <c r="F25" s="150" t="s">
        <v>54</v>
      </c>
      <c r="G25" s="158">
        <f>136500+36843+24000</f>
        <v>197343</v>
      </c>
      <c r="H25" s="158">
        <v>142880</v>
      </c>
      <c r="I25" s="158">
        <f t="shared" si="0"/>
        <v>72.40185869273296</v>
      </c>
    </row>
    <row r="26" spans="1:9" ht="31.5" outlineLevel="7">
      <c r="A26" s="149" t="s">
        <v>324</v>
      </c>
      <c r="B26" s="150" t="s">
        <v>147</v>
      </c>
      <c r="C26" s="150" t="s">
        <v>188</v>
      </c>
      <c r="D26" s="150" t="s">
        <v>191</v>
      </c>
      <c r="E26" s="150" t="s">
        <v>334</v>
      </c>
      <c r="F26" s="150" t="s">
        <v>325</v>
      </c>
      <c r="G26" s="158">
        <f>24000+24000-24000</f>
        <v>24000</v>
      </c>
      <c r="H26" s="158">
        <f>24000+24000-24000</f>
        <v>24000</v>
      </c>
      <c r="I26" s="158">
        <f t="shared" si="0"/>
        <v>100</v>
      </c>
    </row>
    <row r="27" spans="1:9" ht="78.75" outlineLevel="6">
      <c r="A27" s="149" t="s">
        <v>335</v>
      </c>
      <c r="B27" s="150" t="s">
        <v>147</v>
      </c>
      <c r="C27" s="150" t="s">
        <v>188</v>
      </c>
      <c r="D27" s="150" t="s">
        <v>191</v>
      </c>
      <c r="E27" s="150" t="s">
        <v>336</v>
      </c>
      <c r="F27" s="150" t="s">
        <v>25</v>
      </c>
      <c r="G27" s="158">
        <f>G28</f>
        <v>26851.68</v>
      </c>
      <c r="H27" s="158">
        <f>H28</f>
        <v>26851.68</v>
      </c>
      <c r="I27" s="158">
        <f t="shared" si="0"/>
        <v>100</v>
      </c>
    </row>
    <row r="28" spans="1:9" ht="94.5" outlineLevel="7">
      <c r="A28" s="149" t="s">
        <v>323</v>
      </c>
      <c r="B28" s="150" t="s">
        <v>147</v>
      </c>
      <c r="C28" s="150" t="s">
        <v>188</v>
      </c>
      <c r="D28" s="150" t="s">
        <v>191</v>
      </c>
      <c r="E28" s="150" t="s">
        <v>336</v>
      </c>
      <c r="F28" s="150" t="s">
        <v>54</v>
      </c>
      <c r="G28" s="158">
        <f>25000+1851.68</f>
        <v>26851.68</v>
      </c>
      <c r="H28" s="158">
        <f>25000+1851.68</f>
        <v>26851.68</v>
      </c>
      <c r="I28" s="158">
        <f t="shared" si="0"/>
        <v>100</v>
      </c>
    </row>
    <row r="29" spans="1:10" s="148" customFormat="1" ht="63" outlineLevel="2">
      <c r="A29" s="144" t="s">
        <v>192</v>
      </c>
      <c r="B29" s="145" t="s">
        <v>147</v>
      </c>
      <c r="C29" s="145" t="s">
        <v>188</v>
      </c>
      <c r="D29" s="145" t="s">
        <v>193</v>
      </c>
      <c r="E29" s="145" t="s">
        <v>313</v>
      </c>
      <c r="F29" s="145" t="s">
        <v>25</v>
      </c>
      <c r="G29" s="161">
        <f>G30+G39</f>
        <v>3474648.95</v>
      </c>
      <c r="H29" s="161">
        <f>H30+H39</f>
        <v>3464523.29</v>
      </c>
      <c r="I29" s="161">
        <f t="shared" si="0"/>
        <v>99.7085846614807</v>
      </c>
      <c r="J29" s="147"/>
    </row>
    <row r="30" spans="1:10" s="148" customFormat="1" ht="63" outlineLevel="3">
      <c r="A30" s="144" t="s">
        <v>315</v>
      </c>
      <c r="B30" s="145" t="s">
        <v>147</v>
      </c>
      <c r="C30" s="145" t="s">
        <v>188</v>
      </c>
      <c r="D30" s="145" t="s">
        <v>193</v>
      </c>
      <c r="E30" s="145" t="s">
        <v>316</v>
      </c>
      <c r="F30" s="145" t="s">
        <v>25</v>
      </c>
      <c r="G30" s="161">
        <f>G31</f>
        <v>16432</v>
      </c>
      <c r="H30" s="161">
        <f>H31</f>
        <v>16432</v>
      </c>
      <c r="I30" s="161">
        <f t="shared" si="0"/>
        <v>100</v>
      </c>
      <c r="J30" s="147"/>
    </row>
    <row r="31" spans="1:10" s="148" customFormat="1" ht="31.5" outlineLevel="4">
      <c r="A31" s="144" t="s">
        <v>317</v>
      </c>
      <c r="B31" s="145" t="s">
        <v>147</v>
      </c>
      <c r="C31" s="145" t="s">
        <v>188</v>
      </c>
      <c r="D31" s="145" t="s">
        <v>193</v>
      </c>
      <c r="E31" s="145" t="s">
        <v>318</v>
      </c>
      <c r="F31" s="145" t="s">
        <v>25</v>
      </c>
      <c r="G31" s="161">
        <f>G32+G36</f>
        <v>16432</v>
      </c>
      <c r="H31" s="161">
        <f>H32+H36</f>
        <v>16432</v>
      </c>
      <c r="I31" s="161">
        <f t="shared" si="0"/>
        <v>100</v>
      </c>
      <c r="J31" s="147"/>
    </row>
    <row r="32" spans="1:9" ht="63" outlineLevel="5">
      <c r="A32" s="149" t="s">
        <v>337</v>
      </c>
      <c r="B32" s="150" t="s">
        <v>147</v>
      </c>
      <c r="C32" s="150" t="s">
        <v>188</v>
      </c>
      <c r="D32" s="150" t="s">
        <v>193</v>
      </c>
      <c r="E32" s="150" t="s">
        <v>320</v>
      </c>
      <c r="F32" s="150" t="s">
        <v>25</v>
      </c>
      <c r="G32" s="158">
        <f>G33</f>
        <v>7300</v>
      </c>
      <c r="H32" s="158">
        <f>H33</f>
        <v>7300</v>
      </c>
      <c r="I32" s="158">
        <f t="shared" si="0"/>
        <v>100</v>
      </c>
    </row>
    <row r="33" spans="1:9" ht="31.5" outlineLevel="6">
      <c r="A33" s="149" t="s">
        <v>321</v>
      </c>
      <c r="B33" s="150" t="s">
        <v>147</v>
      </c>
      <c r="C33" s="150" t="s">
        <v>188</v>
      </c>
      <c r="D33" s="150" t="s">
        <v>193</v>
      </c>
      <c r="E33" s="150" t="s">
        <v>322</v>
      </c>
      <c r="F33" s="150" t="s">
        <v>25</v>
      </c>
      <c r="G33" s="158">
        <f>G34+G35</f>
        <v>7300</v>
      </c>
      <c r="H33" s="158">
        <f>H34+H35</f>
        <v>7300</v>
      </c>
      <c r="I33" s="158">
        <f t="shared" si="0"/>
        <v>100</v>
      </c>
    </row>
    <row r="34" spans="1:9" ht="94.5" outlineLevel="7">
      <c r="A34" s="149" t="s">
        <v>323</v>
      </c>
      <c r="B34" s="150" t="s">
        <v>147</v>
      </c>
      <c r="C34" s="150" t="s">
        <v>188</v>
      </c>
      <c r="D34" s="150" t="s">
        <v>193</v>
      </c>
      <c r="E34" s="150" t="s">
        <v>322</v>
      </c>
      <c r="F34" s="150" t="s">
        <v>54</v>
      </c>
      <c r="G34" s="158">
        <f>32300-22751-9149</f>
        <v>400</v>
      </c>
      <c r="H34" s="158">
        <f>32300-22751-9149</f>
        <v>400</v>
      </c>
      <c r="I34" s="158">
        <f t="shared" si="0"/>
        <v>100</v>
      </c>
    </row>
    <row r="35" spans="1:9" ht="31.5" outlineLevel="7">
      <c r="A35" s="149" t="s">
        <v>324</v>
      </c>
      <c r="B35" s="150" t="s">
        <v>147</v>
      </c>
      <c r="C35" s="150" t="s">
        <v>188</v>
      </c>
      <c r="D35" s="150" t="s">
        <v>193</v>
      </c>
      <c r="E35" s="150" t="s">
        <v>322</v>
      </c>
      <c r="F35" s="150" t="s">
        <v>325</v>
      </c>
      <c r="G35" s="158">
        <f>39500-22000-10600</f>
        <v>6900</v>
      </c>
      <c r="H35" s="158">
        <f>39500-22000-10600</f>
        <v>6900</v>
      </c>
      <c r="I35" s="158">
        <f t="shared" si="0"/>
        <v>100</v>
      </c>
    </row>
    <row r="36" spans="1:9" ht="15.75" outlineLevel="5">
      <c r="A36" s="149" t="s">
        <v>338</v>
      </c>
      <c r="B36" s="150" t="s">
        <v>147</v>
      </c>
      <c r="C36" s="150" t="s">
        <v>188</v>
      </c>
      <c r="D36" s="150" t="s">
        <v>193</v>
      </c>
      <c r="E36" s="150" t="s">
        <v>339</v>
      </c>
      <c r="F36" s="150" t="s">
        <v>25</v>
      </c>
      <c r="G36" s="158">
        <f>G37</f>
        <v>9132</v>
      </c>
      <c r="H36" s="158">
        <f>H37</f>
        <v>9132</v>
      </c>
      <c r="I36" s="158">
        <f t="shared" si="0"/>
        <v>100</v>
      </c>
    </row>
    <row r="37" spans="1:9" ht="31.5" outlineLevel="6">
      <c r="A37" s="149" t="s">
        <v>321</v>
      </c>
      <c r="B37" s="150" t="s">
        <v>147</v>
      </c>
      <c r="C37" s="150" t="s">
        <v>188</v>
      </c>
      <c r="D37" s="150" t="s">
        <v>193</v>
      </c>
      <c r="E37" s="150" t="s">
        <v>340</v>
      </c>
      <c r="F37" s="150" t="s">
        <v>25</v>
      </c>
      <c r="G37" s="158">
        <f>G38</f>
        <v>9132</v>
      </c>
      <c r="H37" s="158">
        <f>H38</f>
        <v>9132</v>
      </c>
      <c r="I37" s="158">
        <f t="shared" si="0"/>
        <v>100</v>
      </c>
    </row>
    <row r="38" spans="1:9" ht="31.5" outlineLevel="7">
      <c r="A38" s="149" t="s">
        <v>324</v>
      </c>
      <c r="B38" s="150" t="s">
        <v>147</v>
      </c>
      <c r="C38" s="150" t="s">
        <v>188</v>
      </c>
      <c r="D38" s="150" t="s">
        <v>193</v>
      </c>
      <c r="E38" s="150" t="s">
        <v>340</v>
      </c>
      <c r="F38" s="150" t="s">
        <v>325</v>
      </c>
      <c r="G38" s="158">
        <v>9132</v>
      </c>
      <c r="H38" s="158">
        <v>9132</v>
      </c>
      <c r="I38" s="158">
        <f t="shared" si="0"/>
        <v>100</v>
      </c>
    </row>
    <row r="39" spans="1:10" s="148" customFormat="1" ht="15.75" outlineLevel="3">
      <c r="A39" s="144" t="s">
        <v>329</v>
      </c>
      <c r="B39" s="145" t="s">
        <v>147</v>
      </c>
      <c r="C39" s="145" t="s">
        <v>188</v>
      </c>
      <c r="D39" s="145" t="s">
        <v>193</v>
      </c>
      <c r="E39" s="145" t="s">
        <v>330</v>
      </c>
      <c r="F39" s="145" t="s">
        <v>25</v>
      </c>
      <c r="G39" s="161">
        <f>G40+G42+G46+G45</f>
        <v>3458216.95</v>
      </c>
      <c r="H39" s="161">
        <f>H40+H42+H46+H45</f>
        <v>3448091.29</v>
      </c>
      <c r="I39" s="161">
        <f t="shared" si="0"/>
        <v>99.70719997772261</v>
      </c>
      <c r="J39" s="147"/>
    </row>
    <row r="40" spans="1:9" ht="47.25" hidden="1" outlineLevel="6">
      <c r="A40" s="149" t="s">
        <v>341</v>
      </c>
      <c r="B40" s="150" t="s">
        <v>147</v>
      </c>
      <c r="C40" s="150" t="s">
        <v>188</v>
      </c>
      <c r="D40" s="150" t="s">
        <v>193</v>
      </c>
      <c r="E40" s="150" t="s">
        <v>342</v>
      </c>
      <c r="F40" s="150" t="s">
        <v>25</v>
      </c>
      <c r="G40" s="158">
        <f>G41</f>
        <v>0</v>
      </c>
      <c r="H40" s="158">
        <f>H41</f>
        <v>0</v>
      </c>
      <c r="I40" s="158" t="e">
        <f t="shared" si="0"/>
        <v>#DIV/0!</v>
      </c>
    </row>
    <row r="41" spans="1:9" ht="94.5" hidden="1" outlineLevel="7">
      <c r="A41" s="149" t="s">
        <v>323</v>
      </c>
      <c r="B41" s="150" t="s">
        <v>147</v>
      </c>
      <c r="C41" s="150" t="s">
        <v>188</v>
      </c>
      <c r="D41" s="150" t="s">
        <v>193</v>
      </c>
      <c r="E41" s="150" t="s">
        <v>342</v>
      </c>
      <c r="F41" s="150" t="s">
        <v>54</v>
      </c>
      <c r="G41" s="158">
        <f>1714645-235321.02-71066.95-1408257.03</f>
        <v>0</v>
      </c>
      <c r="H41" s="158">
        <f>1714645-235321.02-71066.95-1408257.03</f>
        <v>0</v>
      </c>
      <c r="I41" s="158" t="e">
        <f t="shared" si="0"/>
        <v>#DIV/0!</v>
      </c>
    </row>
    <row r="42" spans="1:9" ht="31.5" outlineLevel="6" collapsed="1">
      <c r="A42" s="149" t="s">
        <v>343</v>
      </c>
      <c r="B42" s="150" t="s">
        <v>147</v>
      </c>
      <c r="C42" s="150" t="s">
        <v>188</v>
      </c>
      <c r="D42" s="150" t="s">
        <v>193</v>
      </c>
      <c r="E42" s="150" t="s">
        <v>344</v>
      </c>
      <c r="F42" s="150" t="s">
        <v>25</v>
      </c>
      <c r="G42" s="158">
        <f>G43</f>
        <v>2987580</v>
      </c>
      <c r="H42" s="158">
        <f>H43</f>
        <v>2977454.34</v>
      </c>
      <c r="I42" s="158">
        <f t="shared" si="0"/>
        <v>99.66107484987849</v>
      </c>
    </row>
    <row r="43" spans="1:9" ht="94.5" outlineLevel="7">
      <c r="A43" s="149" t="s">
        <v>323</v>
      </c>
      <c r="B43" s="150" t="s">
        <v>147</v>
      </c>
      <c r="C43" s="150" t="s">
        <v>188</v>
      </c>
      <c r="D43" s="150" t="s">
        <v>193</v>
      </c>
      <c r="E43" s="150" t="s">
        <v>344</v>
      </c>
      <c r="F43" s="150" t="s">
        <v>54</v>
      </c>
      <c r="G43" s="158">
        <v>2987580</v>
      </c>
      <c r="H43" s="158">
        <v>2977454.34</v>
      </c>
      <c r="I43" s="158">
        <f t="shared" si="0"/>
        <v>99.66107484987849</v>
      </c>
    </row>
    <row r="44" spans="1:9" ht="63" outlineLevel="7">
      <c r="A44" s="149" t="s">
        <v>345</v>
      </c>
      <c r="B44" s="150" t="s">
        <v>147</v>
      </c>
      <c r="C44" s="150" t="s">
        <v>188</v>
      </c>
      <c r="D44" s="150" t="s">
        <v>193</v>
      </c>
      <c r="E44" s="150" t="s">
        <v>346</v>
      </c>
      <c r="F44" s="150" t="s">
        <v>25</v>
      </c>
      <c r="G44" s="158">
        <f>G45</f>
        <v>306387.97</v>
      </c>
      <c r="H44" s="158">
        <f>H45</f>
        <v>306387.97</v>
      </c>
      <c r="I44" s="158">
        <f t="shared" si="0"/>
        <v>100</v>
      </c>
    </row>
    <row r="45" spans="1:9" ht="94.5" outlineLevel="7">
      <c r="A45" s="149" t="s">
        <v>323</v>
      </c>
      <c r="B45" s="150" t="s">
        <v>147</v>
      </c>
      <c r="C45" s="150" t="s">
        <v>188</v>
      </c>
      <c r="D45" s="150" t="s">
        <v>193</v>
      </c>
      <c r="E45" s="150" t="s">
        <v>346</v>
      </c>
      <c r="F45" s="150" t="s">
        <v>54</v>
      </c>
      <c r="G45" s="158">
        <f>235321.02+71066.95</f>
        <v>306387.97</v>
      </c>
      <c r="H45" s="158">
        <f>235321.02+71066.95</f>
        <v>306387.97</v>
      </c>
      <c r="I45" s="158">
        <f t="shared" si="0"/>
        <v>100</v>
      </c>
    </row>
    <row r="46" spans="1:9" ht="78.75" outlineLevel="6">
      <c r="A46" s="149" t="s">
        <v>335</v>
      </c>
      <c r="B46" s="150" t="s">
        <v>147</v>
      </c>
      <c r="C46" s="150" t="s">
        <v>188</v>
      </c>
      <c r="D46" s="150" t="s">
        <v>193</v>
      </c>
      <c r="E46" s="150" t="s">
        <v>336</v>
      </c>
      <c r="F46" s="150" t="s">
        <v>25</v>
      </c>
      <c r="G46" s="158">
        <f>G47</f>
        <v>164248.98</v>
      </c>
      <c r="H46" s="158">
        <f>H47</f>
        <v>164248.98</v>
      </c>
      <c r="I46" s="158">
        <f t="shared" si="0"/>
        <v>100</v>
      </c>
    </row>
    <row r="47" spans="1:9" ht="94.5" outlineLevel="7">
      <c r="A47" s="149" t="s">
        <v>323</v>
      </c>
      <c r="B47" s="150" t="s">
        <v>147</v>
      </c>
      <c r="C47" s="150" t="s">
        <v>188</v>
      </c>
      <c r="D47" s="150" t="s">
        <v>193</v>
      </c>
      <c r="E47" s="150" t="s">
        <v>336</v>
      </c>
      <c r="F47" s="150" t="s">
        <v>54</v>
      </c>
      <c r="G47" s="158">
        <f>133000+31248.98</f>
        <v>164248.98</v>
      </c>
      <c r="H47" s="158">
        <f>133000+31248.98</f>
        <v>164248.98</v>
      </c>
      <c r="I47" s="158">
        <f t="shared" si="0"/>
        <v>100</v>
      </c>
    </row>
    <row r="48" spans="1:10" s="148" customFormat="1" ht="15.75" outlineLevel="2">
      <c r="A48" s="144" t="s">
        <v>204</v>
      </c>
      <c r="B48" s="145" t="s">
        <v>147</v>
      </c>
      <c r="C48" s="145" t="s">
        <v>188</v>
      </c>
      <c r="D48" s="145" t="s">
        <v>205</v>
      </c>
      <c r="E48" s="145" t="s">
        <v>313</v>
      </c>
      <c r="F48" s="145" t="s">
        <v>25</v>
      </c>
      <c r="G48" s="161">
        <f>G49+G57</f>
        <v>394711.49</v>
      </c>
      <c r="H48" s="161">
        <f>H49+H57</f>
        <v>384281.06</v>
      </c>
      <c r="I48" s="161">
        <f t="shared" si="0"/>
        <v>97.35745468164609</v>
      </c>
      <c r="J48" s="147"/>
    </row>
    <row r="49" spans="1:10" s="148" customFormat="1" ht="47.25" outlineLevel="3">
      <c r="A49" s="144" t="s">
        <v>347</v>
      </c>
      <c r="B49" s="145" t="s">
        <v>147</v>
      </c>
      <c r="C49" s="145" t="s">
        <v>188</v>
      </c>
      <c r="D49" s="145" t="s">
        <v>205</v>
      </c>
      <c r="E49" s="145" t="s">
        <v>348</v>
      </c>
      <c r="F49" s="145" t="s">
        <v>25</v>
      </c>
      <c r="G49" s="161">
        <f>G50</f>
        <v>194356.49</v>
      </c>
      <c r="H49" s="161">
        <f>H50</f>
        <v>183928.2</v>
      </c>
      <c r="I49" s="161">
        <f t="shared" si="0"/>
        <v>94.63445239209662</v>
      </c>
      <c r="J49" s="147"/>
    </row>
    <row r="50" spans="1:10" s="148" customFormat="1" ht="47.25" outlineLevel="4">
      <c r="A50" s="144" t="s">
        <v>349</v>
      </c>
      <c r="B50" s="145" t="s">
        <v>147</v>
      </c>
      <c r="C50" s="145" t="s">
        <v>188</v>
      </c>
      <c r="D50" s="145" t="s">
        <v>205</v>
      </c>
      <c r="E50" s="145" t="s">
        <v>350</v>
      </c>
      <c r="F50" s="145" t="s">
        <v>25</v>
      </c>
      <c r="G50" s="161">
        <f>G51+G54</f>
        <v>194356.49</v>
      </c>
      <c r="H50" s="161">
        <f>H51+H54</f>
        <v>183928.2</v>
      </c>
      <c r="I50" s="161">
        <f t="shared" si="0"/>
        <v>94.63445239209662</v>
      </c>
      <c r="J50" s="147"/>
    </row>
    <row r="51" spans="1:9" ht="47.25" hidden="1" outlineLevel="5">
      <c r="A51" s="149" t="s">
        <v>351</v>
      </c>
      <c r="B51" s="150" t="s">
        <v>147</v>
      </c>
      <c r="C51" s="150" t="s">
        <v>188</v>
      </c>
      <c r="D51" s="150" t="s">
        <v>205</v>
      </c>
      <c r="E51" s="150" t="s">
        <v>352</v>
      </c>
      <c r="F51" s="150" t="s">
        <v>25</v>
      </c>
      <c r="G51" s="158">
        <f>G52</f>
        <v>0</v>
      </c>
      <c r="H51" s="158">
        <f>H52</f>
        <v>0</v>
      </c>
      <c r="I51" s="158" t="e">
        <f t="shared" si="0"/>
        <v>#DIV/0!</v>
      </c>
    </row>
    <row r="52" spans="1:9" ht="31.5" hidden="1" outlineLevel="6">
      <c r="A52" s="149" t="s">
        <v>353</v>
      </c>
      <c r="B52" s="150" t="s">
        <v>147</v>
      </c>
      <c r="C52" s="150" t="s">
        <v>188</v>
      </c>
      <c r="D52" s="150" t="s">
        <v>205</v>
      </c>
      <c r="E52" s="150" t="s">
        <v>354</v>
      </c>
      <c r="F52" s="150" t="s">
        <v>25</v>
      </c>
      <c r="G52" s="158">
        <f>G53</f>
        <v>0</v>
      </c>
      <c r="H52" s="158">
        <f>H53</f>
        <v>0</v>
      </c>
      <c r="I52" s="158" t="e">
        <f t="shared" si="0"/>
        <v>#DIV/0!</v>
      </c>
    </row>
    <row r="53" spans="1:9" ht="31.5" hidden="1" outlineLevel="7">
      <c r="A53" s="149" t="s">
        <v>324</v>
      </c>
      <c r="B53" s="150" t="s">
        <v>147</v>
      </c>
      <c r="C53" s="150" t="s">
        <v>188</v>
      </c>
      <c r="D53" s="150" t="s">
        <v>205</v>
      </c>
      <c r="E53" s="150" t="s">
        <v>354</v>
      </c>
      <c r="F53" s="150" t="s">
        <v>325</v>
      </c>
      <c r="G53" s="158">
        <f>35963-18922.51-17040.49</f>
        <v>0</v>
      </c>
      <c r="H53" s="158">
        <f>35963-18922.51-17040.49</f>
        <v>0</v>
      </c>
      <c r="I53" s="158" t="e">
        <f t="shared" si="0"/>
        <v>#DIV/0!</v>
      </c>
    </row>
    <row r="54" spans="1:9" ht="47.25" outlineLevel="5" collapsed="1">
      <c r="A54" s="149" t="s">
        <v>355</v>
      </c>
      <c r="B54" s="150" t="s">
        <v>147</v>
      </c>
      <c r="C54" s="150" t="s">
        <v>188</v>
      </c>
      <c r="D54" s="150" t="s">
        <v>205</v>
      </c>
      <c r="E54" s="150" t="s">
        <v>356</v>
      </c>
      <c r="F54" s="150" t="s">
        <v>25</v>
      </c>
      <c r="G54" s="158">
        <f>G55</f>
        <v>194356.49</v>
      </c>
      <c r="H54" s="158">
        <f>H55</f>
        <v>183928.2</v>
      </c>
      <c r="I54" s="158">
        <f t="shared" si="0"/>
        <v>94.63445239209662</v>
      </c>
    </row>
    <row r="55" spans="1:9" ht="31.5" outlineLevel="6">
      <c r="A55" s="149" t="s">
        <v>353</v>
      </c>
      <c r="B55" s="150" t="s">
        <v>147</v>
      </c>
      <c r="C55" s="150" t="s">
        <v>188</v>
      </c>
      <c r="D55" s="150" t="s">
        <v>205</v>
      </c>
      <c r="E55" s="150" t="s">
        <v>357</v>
      </c>
      <c r="F55" s="150" t="s">
        <v>25</v>
      </c>
      <c r="G55" s="158">
        <f>G56</f>
        <v>194356.49</v>
      </c>
      <c r="H55" s="158">
        <f>H56</f>
        <v>183928.2</v>
      </c>
      <c r="I55" s="158">
        <f t="shared" si="0"/>
        <v>94.63445239209662</v>
      </c>
    </row>
    <row r="56" spans="1:9" ht="31.5" outlineLevel="7">
      <c r="A56" s="149" t="s">
        <v>324</v>
      </c>
      <c r="B56" s="150" t="s">
        <v>147</v>
      </c>
      <c r="C56" s="150" t="s">
        <v>188</v>
      </c>
      <c r="D56" s="150" t="s">
        <v>205</v>
      </c>
      <c r="E56" s="150" t="s">
        <v>357</v>
      </c>
      <c r="F56" s="150" t="s">
        <v>325</v>
      </c>
      <c r="G56" s="158">
        <f>218410-24053.51</f>
        <v>194356.49</v>
      </c>
      <c r="H56" s="158">
        <v>183928.2</v>
      </c>
      <c r="I56" s="158">
        <f t="shared" si="0"/>
        <v>94.63445239209662</v>
      </c>
    </row>
    <row r="57" spans="1:10" s="148" customFormat="1" ht="63" outlineLevel="3">
      <c r="A57" s="144" t="s">
        <v>315</v>
      </c>
      <c r="B57" s="145" t="s">
        <v>147</v>
      </c>
      <c r="C57" s="145" t="s">
        <v>188</v>
      </c>
      <c r="D57" s="145" t="s">
        <v>205</v>
      </c>
      <c r="E57" s="145" t="s">
        <v>316</v>
      </c>
      <c r="F57" s="145" t="s">
        <v>25</v>
      </c>
      <c r="G57" s="161">
        <f aca="true" t="shared" si="1" ref="G57:H60">G58</f>
        <v>200355</v>
      </c>
      <c r="H57" s="161">
        <f t="shared" si="1"/>
        <v>200352.86</v>
      </c>
      <c r="I57" s="161">
        <f t="shared" si="0"/>
        <v>99.9989318958848</v>
      </c>
      <c r="J57" s="147"/>
    </row>
    <row r="58" spans="1:10" s="148" customFormat="1" ht="47.25" outlineLevel="4">
      <c r="A58" s="144" t="s">
        <v>358</v>
      </c>
      <c r="B58" s="145" t="s">
        <v>147</v>
      </c>
      <c r="C58" s="145" t="s">
        <v>188</v>
      </c>
      <c r="D58" s="145" t="s">
        <v>205</v>
      </c>
      <c r="E58" s="145" t="s">
        <v>359</v>
      </c>
      <c r="F58" s="145" t="s">
        <v>25</v>
      </c>
      <c r="G58" s="161">
        <f t="shared" si="1"/>
        <v>200355</v>
      </c>
      <c r="H58" s="161">
        <f t="shared" si="1"/>
        <v>200352.86</v>
      </c>
      <c r="I58" s="161">
        <f t="shared" si="0"/>
        <v>99.9989318958848</v>
      </c>
      <c r="J58" s="147"/>
    </row>
    <row r="59" spans="1:9" ht="31.5" outlineLevel="5">
      <c r="A59" s="149" t="s">
        <v>360</v>
      </c>
      <c r="B59" s="150" t="s">
        <v>147</v>
      </c>
      <c r="C59" s="150" t="s">
        <v>188</v>
      </c>
      <c r="D59" s="150" t="s">
        <v>205</v>
      </c>
      <c r="E59" s="150" t="s">
        <v>361</v>
      </c>
      <c r="F59" s="150" t="s">
        <v>25</v>
      </c>
      <c r="G59" s="158">
        <f t="shared" si="1"/>
        <v>200355</v>
      </c>
      <c r="H59" s="158">
        <f t="shared" si="1"/>
        <v>200352.86</v>
      </c>
      <c r="I59" s="158">
        <f t="shared" si="0"/>
        <v>99.9989318958848</v>
      </c>
    </row>
    <row r="60" spans="1:9" ht="31.5" outlineLevel="6">
      <c r="A60" s="149" t="s">
        <v>353</v>
      </c>
      <c r="B60" s="150" t="s">
        <v>147</v>
      </c>
      <c r="C60" s="150" t="s">
        <v>188</v>
      </c>
      <c r="D60" s="150" t="s">
        <v>205</v>
      </c>
      <c r="E60" s="150" t="s">
        <v>362</v>
      </c>
      <c r="F60" s="150" t="s">
        <v>25</v>
      </c>
      <c r="G60" s="158">
        <f t="shared" si="1"/>
        <v>200355</v>
      </c>
      <c r="H60" s="158">
        <f t="shared" si="1"/>
        <v>200352.86</v>
      </c>
      <c r="I60" s="158">
        <f t="shared" si="0"/>
        <v>99.9989318958848</v>
      </c>
    </row>
    <row r="61" spans="1:9" ht="31.5" outlineLevel="7">
      <c r="A61" s="149" t="s">
        <v>324</v>
      </c>
      <c r="B61" s="150" t="s">
        <v>147</v>
      </c>
      <c r="C61" s="150" t="s">
        <v>188</v>
      </c>
      <c r="D61" s="150" t="s">
        <v>205</v>
      </c>
      <c r="E61" s="150" t="s">
        <v>362</v>
      </c>
      <c r="F61" s="150" t="s">
        <v>325</v>
      </c>
      <c r="G61" s="158">
        <v>200355</v>
      </c>
      <c r="H61" s="158">
        <v>200352.86</v>
      </c>
      <c r="I61" s="158">
        <f t="shared" si="0"/>
        <v>99.9989318958848</v>
      </c>
    </row>
    <row r="62" spans="1:10" s="148" customFormat="1" ht="63">
      <c r="A62" s="144" t="s">
        <v>363</v>
      </c>
      <c r="B62" s="145" t="s">
        <v>15</v>
      </c>
      <c r="C62" s="145" t="s">
        <v>189</v>
      </c>
      <c r="D62" s="145" t="s">
        <v>189</v>
      </c>
      <c r="E62" s="145" t="s">
        <v>313</v>
      </c>
      <c r="F62" s="145" t="s">
        <v>25</v>
      </c>
      <c r="G62" s="146">
        <f>G63+G197+G242+G282+G298</f>
        <v>188302687.08999997</v>
      </c>
      <c r="H62" s="161">
        <f>H63+H197+H242+H282+H298</f>
        <v>183365604.31000003</v>
      </c>
      <c r="I62" s="161">
        <f>H62/G62*100</f>
        <v>97.37811347448257</v>
      </c>
      <c r="J62" s="147">
        <v>183365604.31</v>
      </c>
    </row>
    <row r="63" spans="1:10" s="148" customFormat="1" ht="15.75" outlineLevel="1">
      <c r="A63" s="144" t="s">
        <v>314</v>
      </c>
      <c r="B63" s="145" t="s">
        <v>15</v>
      </c>
      <c r="C63" s="145" t="s">
        <v>188</v>
      </c>
      <c r="D63" s="145" t="s">
        <v>189</v>
      </c>
      <c r="E63" s="145" t="s">
        <v>313</v>
      </c>
      <c r="F63" s="145" t="s">
        <v>25</v>
      </c>
      <c r="G63" s="146">
        <f>G64+G97+G93</f>
        <v>102898439.72</v>
      </c>
      <c r="H63" s="161">
        <f>H64+H97+H93</f>
        <v>100806533.38</v>
      </c>
      <c r="I63" s="161">
        <f aca="true" t="shared" si="2" ref="I63:I126">H63/G63*100</f>
        <v>97.9670184060202</v>
      </c>
      <c r="J63" s="147">
        <f>H62-J62</f>
        <v>0</v>
      </c>
    </row>
    <row r="64" spans="1:10" s="148" customFormat="1" ht="78.75" outlineLevel="2">
      <c r="A64" s="144" t="s">
        <v>194</v>
      </c>
      <c r="B64" s="145" t="s">
        <v>15</v>
      </c>
      <c r="C64" s="145" t="s">
        <v>188</v>
      </c>
      <c r="D64" s="145" t="s">
        <v>195</v>
      </c>
      <c r="E64" s="145" t="s">
        <v>313</v>
      </c>
      <c r="F64" s="145" t="s">
        <v>25</v>
      </c>
      <c r="G64" s="146">
        <f>G65</f>
        <v>31716126.11</v>
      </c>
      <c r="H64" s="161">
        <f>H65</f>
        <v>30805514.380000003</v>
      </c>
      <c r="I64" s="161">
        <f t="shared" si="2"/>
        <v>97.12886836544364</v>
      </c>
      <c r="J64" s="147"/>
    </row>
    <row r="65" spans="1:10" s="148" customFormat="1" ht="63" outlineLevel="3">
      <c r="A65" s="144" t="s">
        <v>315</v>
      </c>
      <c r="B65" s="145" t="s">
        <v>15</v>
      </c>
      <c r="C65" s="145" t="s">
        <v>188</v>
      </c>
      <c r="D65" s="145" t="s">
        <v>195</v>
      </c>
      <c r="E65" s="145" t="s">
        <v>316</v>
      </c>
      <c r="F65" s="145" t="s">
        <v>25</v>
      </c>
      <c r="G65" s="146">
        <f>G66+G81</f>
        <v>31716126.11</v>
      </c>
      <c r="H65" s="161">
        <f>H66+H81</f>
        <v>30805514.380000003</v>
      </c>
      <c r="I65" s="161">
        <f t="shared" si="2"/>
        <v>97.12886836544364</v>
      </c>
      <c r="J65" s="147"/>
    </row>
    <row r="66" spans="1:10" s="148" customFormat="1" ht="31.5" outlineLevel="4">
      <c r="A66" s="144" t="s">
        <v>364</v>
      </c>
      <c r="B66" s="145" t="s">
        <v>15</v>
      </c>
      <c r="C66" s="145" t="s">
        <v>188</v>
      </c>
      <c r="D66" s="145" t="s">
        <v>195</v>
      </c>
      <c r="E66" s="145" t="s">
        <v>365</v>
      </c>
      <c r="F66" s="145" t="s">
        <v>25</v>
      </c>
      <c r="G66" s="146">
        <f>G67</f>
        <v>31094911.31</v>
      </c>
      <c r="H66" s="161">
        <f>H67</f>
        <v>30278973.380000003</v>
      </c>
      <c r="I66" s="161">
        <f t="shared" si="2"/>
        <v>97.37597601785862</v>
      </c>
      <c r="J66" s="147"/>
    </row>
    <row r="67" spans="1:9" ht="78.75" outlineLevel="5">
      <c r="A67" s="149" t="s">
        <v>366</v>
      </c>
      <c r="B67" s="150" t="s">
        <v>15</v>
      </c>
      <c r="C67" s="150" t="s">
        <v>188</v>
      </c>
      <c r="D67" s="150" t="s">
        <v>195</v>
      </c>
      <c r="E67" s="150" t="s">
        <v>367</v>
      </c>
      <c r="F67" s="150" t="s">
        <v>25</v>
      </c>
      <c r="G67" s="151">
        <f>G68+G70+G73+G75+G79+G77</f>
        <v>31094911.31</v>
      </c>
      <c r="H67" s="158">
        <f>H68+H70+H73+H75+H79+H77</f>
        <v>30278973.380000003</v>
      </c>
      <c r="I67" s="158">
        <f t="shared" si="2"/>
        <v>97.37597601785862</v>
      </c>
    </row>
    <row r="68" spans="1:9" ht="31.5" outlineLevel="6">
      <c r="A68" s="149" t="s">
        <v>368</v>
      </c>
      <c r="B68" s="150" t="s">
        <v>15</v>
      </c>
      <c r="C68" s="150" t="s">
        <v>188</v>
      </c>
      <c r="D68" s="150" t="s">
        <v>195</v>
      </c>
      <c r="E68" s="150" t="s">
        <v>369</v>
      </c>
      <c r="F68" s="150" t="s">
        <v>25</v>
      </c>
      <c r="G68" s="151">
        <f>G69</f>
        <v>1961844.97</v>
      </c>
      <c r="H68" s="158">
        <f>H69</f>
        <v>1961063.54</v>
      </c>
      <c r="I68" s="158">
        <f t="shared" si="2"/>
        <v>99.96016861617765</v>
      </c>
    </row>
    <row r="69" spans="1:9" ht="94.5" outlineLevel="7">
      <c r="A69" s="149" t="s">
        <v>323</v>
      </c>
      <c r="B69" s="150" t="s">
        <v>15</v>
      </c>
      <c r="C69" s="150" t="s">
        <v>188</v>
      </c>
      <c r="D69" s="150" t="s">
        <v>195</v>
      </c>
      <c r="E69" s="150" t="s">
        <v>369</v>
      </c>
      <c r="F69" s="150" t="s">
        <v>54</v>
      </c>
      <c r="G69" s="151">
        <f>1925844.89+24458.76+11541.32+51466.94+7874.44-51466.94-7874.44</f>
        <v>1961844.97</v>
      </c>
      <c r="H69" s="158">
        <v>1961063.54</v>
      </c>
      <c r="I69" s="158">
        <f t="shared" si="2"/>
        <v>99.96016861617765</v>
      </c>
    </row>
    <row r="70" spans="1:9" ht="31.5" outlineLevel="6">
      <c r="A70" s="149" t="s">
        <v>343</v>
      </c>
      <c r="B70" s="150" t="s">
        <v>15</v>
      </c>
      <c r="C70" s="150" t="s">
        <v>188</v>
      </c>
      <c r="D70" s="150" t="s">
        <v>195</v>
      </c>
      <c r="E70" s="150" t="s">
        <v>370</v>
      </c>
      <c r="F70" s="150" t="s">
        <v>25</v>
      </c>
      <c r="G70" s="151">
        <f>G71+G72</f>
        <v>27712226.389999997</v>
      </c>
      <c r="H70" s="158">
        <f>H71+H72</f>
        <v>27469330.240000002</v>
      </c>
      <c r="I70" s="158">
        <f t="shared" si="2"/>
        <v>99.12350546440526</v>
      </c>
    </row>
    <row r="71" spans="1:9" ht="94.5" outlineLevel="7">
      <c r="A71" s="149" t="s">
        <v>323</v>
      </c>
      <c r="B71" s="150" t="s">
        <v>15</v>
      </c>
      <c r="C71" s="150" t="s">
        <v>188</v>
      </c>
      <c r="D71" s="150" t="s">
        <v>195</v>
      </c>
      <c r="E71" s="150" t="s">
        <v>370</v>
      </c>
      <c r="F71" s="150" t="s">
        <v>54</v>
      </c>
      <c r="G71" s="151">
        <f>27090389.31+155344.56+46914.06+258888.86+40571.14</f>
        <v>27592107.929999996</v>
      </c>
      <c r="H71" s="158">
        <v>27349211.78</v>
      </c>
      <c r="I71" s="158">
        <f t="shared" si="2"/>
        <v>99.11968976558003</v>
      </c>
    </row>
    <row r="72" spans="1:9" ht="31.5" outlineLevel="7">
      <c r="A72" s="149" t="s">
        <v>371</v>
      </c>
      <c r="B72" s="150" t="s">
        <v>15</v>
      </c>
      <c r="C72" s="150" t="s">
        <v>188</v>
      </c>
      <c r="D72" s="150" t="s">
        <v>195</v>
      </c>
      <c r="E72" s="150" t="s">
        <v>370</v>
      </c>
      <c r="F72" s="150" t="s">
        <v>372</v>
      </c>
      <c r="G72" s="151">
        <v>120118.46</v>
      </c>
      <c r="H72" s="158">
        <v>120118.46</v>
      </c>
      <c r="I72" s="158">
        <f t="shared" si="2"/>
        <v>100</v>
      </c>
    </row>
    <row r="73" spans="1:9" ht="31.5" outlineLevel="6">
      <c r="A73" s="149" t="s">
        <v>321</v>
      </c>
      <c r="B73" s="150" t="s">
        <v>15</v>
      </c>
      <c r="C73" s="150" t="s">
        <v>188</v>
      </c>
      <c r="D73" s="150" t="s">
        <v>195</v>
      </c>
      <c r="E73" s="150" t="s">
        <v>373</v>
      </c>
      <c r="F73" s="150" t="s">
        <v>25</v>
      </c>
      <c r="G73" s="151">
        <f>G74</f>
        <v>3360</v>
      </c>
      <c r="H73" s="158">
        <f>H74</f>
        <v>2249.04</v>
      </c>
      <c r="I73" s="158">
        <f t="shared" si="2"/>
        <v>66.93571428571428</v>
      </c>
    </row>
    <row r="74" spans="1:9" ht="94.5" outlineLevel="7">
      <c r="A74" s="149" t="s">
        <v>323</v>
      </c>
      <c r="B74" s="150" t="s">
        <v>15</v>
      </c>
      <c r="C74" s="150" t="s">
        <v>188</v>
      </c>
      <c r="D74" s="150" t="s">
        <v>195</v>
      </c>
      <c r="E74" s="150" t="s">
        <v>373</v>
      </c>
      <c r="F74" s="150" t="s">
        <v>54</v>
      </c>
      <c r="G74" s="151">
        <v>3360</v>
      </c>
      <c r="H74" s="158">
        <v>2249.04</v>
      </c>
      <c r="I74" s="158">
        <f t="shared" si="2"/>
        <v>66.93571428571428</v>
      </c>
    </row>
    <row r="75" spans="1:9" ht="63" outlineLevel="6">
      <c r="A75" s="149" t="s">
        <v>345</v>
      </c>
      <c r="B75" s="150" t="s">
        <v>15</v>
      </c>
      <c r="C75" s="150" t="s">
        <v>188</v>
      </c>
      <c r="D75" s="150" t="s">
        <v>195</v>
      </c>
      <c r="E75" s="150" t="s">
        <v>374</v>
      </c>
      <c r="F75" s="150" t="s">
        <v>25</v>
      </c>
      <c r="G75" s="151">
        <f>G76</f>
        <v>466122.51</v>
      </c>
      <c r="H75" s="158">
        <f>H76</f>
        <v>368556.78</v>
      </c>
      <c r="I75" s="158">
        <f t="shared" si="2"/>
        <v>79.06865085747522</v>
      </c>
    </row>
    <row r="76" spans="1:9" ht="94.5" outlineLevel="7">
      <c r="A76" s="149" t="s">
        <v>323</v>
      </c>
      <c r="B76" s="150" t="s">
        <v>15</v>
      </c>
      <c r="C76" s="150" t="s">
        <v>188</v>
      </c>
      <c r="D76" s="150" t="s">
        <v>195</v>
      </c>
      <c r="E76" s="150" t="s">
        <v>374</v>
      </c>
      <c r="F76" s="150" t="s">
        <v>54</v>
      </c>
      <c r="G76" s="151">
        <v>466122.51</v>
      </c>
      <c r="H76" s="158">
        <v>368556.78</v>
      </c>
      <c r="I76" s="158">
        <f t="shared" si="2"/>
        <v>79.06865085747522</v>
      </c>
    </row>
    <row r="77" spans="1:9" ht="141.75" outlineLevel="7">
      <c r="A77" s="149" t="s">
        <v>375</v>
      </c>
      <c r="B77" s="150" t="s">
        <v>15</v>
      </c>
      <c r="C77" s="150" t="s">
        <v>188</v>
      </c>
      <c r="D77" s="150" t="s">
        <v>195</v>
      </c>
      <c r="E77" s="150" t="s">
        <v>376</v>
      </c>
      <c r="F77" s="150" t="s">
        <v>25</v>
      </c>
      <c r="G77" s="151">
        <f>G78</f>
        <v>453457.43999999994</v>
      </c>
      <c r="H77" s="158">
        <f>H78</f>
        <v>0</v>
      </c>
      <c r="I77" s="158">
        <f t="shared" si="2"/>
        <v>0</v>
      </c>
    </row>
    <row r="78" spans="1:9" ht="94.5" outlineLevel="7">
      <c r="A78" s="149" t="s">
        <v>323</v>
      </c>
      <c r="B78" s="150" t="s">
        <v>15</v>
      </c>
      <c r="C78" s="150" t="s">
        <v>188</v>
      </c>
      <c r="D78" s="150" t="s">
        <v>195</v>
      </c>
      <c r="E78" s="150" t="s">
        <v>376</v>
      </c>
      <c r="F78" s="150" t="s">
        <v>54</v>
      </c>
      <c r="G78" s="151">
        <f>348277.6+105179.84</f>
        <v>453457.43999999994</v>
      </c>
      <c r="H78" s="158">
        <v>0</v>
      </c>
      <c r="I78" s="158">
        <f t="shared" si="2"/>
        <v>0</v>
      </c>
    </row>
    <row r="79" spans="1:9" ht="78.75" outlineLevel="6">
      <c r="A79" s="149" t="s">
        <v>335</v>
      </c>
      <c r="B79" s="150" t="s">
        <v>15</v>
      </c>
      <c r="C79" s="150" t="s">
        <v>188</v>
      </c>
      <c r="D79" s="150" t="s">
        <v>195</v>
      </c>
      <c r="E79" s="150" t="s">
        <v>377</v>
      </c>
      <c r="F79" s="150" t="s">
        <v>25</v>
      </c>
      <c r="G79" s="151">
        <f>G80</f>
        <v>497900</v>
      </c>
      <c r="H79" s="158">
        <f>H80</f>
        <v>477773.78</v>
      </c>
      <c r="I79" s="158">
        <f t="shared" si="2"/>
        <v>95.95777867041575</v>
      </c>
    </row>
    <row r="80" spans="1:9" ht="94.5" outlineLevel="7">
      <c r="A80" s="149" t="s">
        <v>323</v>
      </c>
      <c r="B80" s="150" t="s">
        <v>15</v>
      </c>
      <c r="C80" s="150" t="s">
        <v>188</v>
      </c>
      <c r="D80" s="150" t="s">
        <v>195</v>
      </c>
      <c r="E80" s="150" t="s">
        <v>377</v>
      </c>
      <c r="F80" s="150" t="s">
        <v>54</v>
      </c>
      <c r="G80" s="151">
        <f>422900+75000</f>
        <v>497900</v>
      </c>
      <c r="H80" s="158">
        <v>477773.78</v>
      </c>
      <c r="I80" s="158">
        <f t="shared" si="2"/>
        <v>95.95777867041575</v>
      </c>
    </row>
    <row r="81" spans="1:10" s="148" customFormat="1" ht="31.5" outlineLevel="4">
      <c r="A81" s="144" t="s">
        <v>317</v>
      </c>
      <c r="B81" s="145" t="s">
        <v>15</v>
      </c>
      <c r="C81" s="145" t="s">
        <v>188</v>
      </c>
      <c r="D81" s="145" t="s">
        <v>195</v>
      </c>
      <c r="E81" s="145" t="s">
        <v>318</v>
      </c>
      <c r="F81" s="145" t="s">
        <v>25</v>
      </c>
      <c r="G81" s="146">
        <f>G82+G86+G89</f>
        <v>621214.8</v>
      </c>
      <c r="H81" s="161">
        <f>H82+H86+H89</f>
        <v>526541</v>
      </c>
      <c r="I81" s="161">
        <f t="shared" si="2"/>
        <v>84.75989303538807</v>
      </c>
      <c r="J81" s="147"/>
    </row>
    <row r="82" spans="1:9" ht="63" outlineLevel="5">
      <c r="A82" s="149" t="s">
        <v>337</v>
      </c>
      <c r="B82" s="150" t="s">
        <v>15</v>
      </c>
      <c r="C82" s="150" t="s">
        <v>188</v>
      </c>
      <c r="D82" s="150" t="s">
        <v>195</v>
      </c>
      <c r="E82" s="150" t="s">
        <v>320</v>
      </c>
      <c r="F82" s="150" t="s">
        <v>25</v>
      </c>
      <c r="G82" s="151">
        <f>G83</f>
        <v>64200</v>
      </c>
      <c r="H82" s="158">
        <f>H83</f>
        <v>47401.5</v>
      </c>
      <c r="I82" s="158">
        <f t="shared" si="2"/>
        <v>73.83411214953271</v>
      </c>
    </row>
    <row r="83" spans="1:9" ht="31.5" outlineLevel="6">
      <c r="A83" s="149" t="s">
        <v>321</v>
      </c>
      <c r="B83" s="150" t="s">
        <v>15</v>
      </c>
      <c r="C83" s="150" t="s">
        <v>188</v>
      </c>
      <c r="D83" s="150" t="s">
        <v>195</v>
      </c>
      <c r="E83" s="150" t="s">
        <v>322</v>
      </c>
      <c r="F83" s="150" t="s">
        <v>25</v>
      </c>
      <c r="G83" s="151">
        <f>G84+G85</f>
        <v>64200</v>
      </c>
      <c r="H83" s="158">
        <f>H84+H85</f>
        <v>47401.5</v>
      </c>
      <c r="I83" s="158">
        <f t="shared" si="2"/>
        <v>73.83411214953271</v>
      </c>
    </row>
    <row r="84" spans="1:9" ht="94.5" outlineLevel="7">
      <c r="A84" s="149" t="s">
        <v>323</v>
      </c>
      <c r="B84" s="150" t="s">
        <v>15</v>
      </c>
      <c r="C84" s="150" t="s">
        <v>188</v>
      </c>
      <c r="D84" s="150" t="s">
        <v>195</v>
      </c>
      <c r="E84" s="150" t="s">
        <v>322</v>
      </c>
      <c r="F84" s="150" t="s">
        <v>54</v>
      </c>
      <c r="G84" s="151">
        <f>43560-23560+1201.5</f>
        <v>21201.5</v>
      </c>
      <c r="H84" s="158">
        <f>43560-23560+1201.5</f>
        <v>21201.5</v>
      </c>
      <c r="I84" s="158">
        <f t="shared" si="2"/>
        <v>100</v>
      </c>
    </row>
    <row r="85" spans="1:9" ht="31.5" outlineLevel="7">
      <c r="A85" s="149" t="s">
        <v>324</v>
      </c>
      <c r="B85" s="150" t="s">
        <v>15</v>
      </c>
      <c r="C85" s="150" t="s">
        <v>188</v>
      </c>
      <c r="D85" s="150" t="s">
        <v>195</v>
      </c>
      <c r="E85" s="150" t="s">
        <v>322</v>
      </c>
      <c r="F85" s="150" t="s">
        <v>325</v>
      </c>
      <c r="G85" s="151">
        <f>211440-60000-107240-1201.5</f>
        <v>42998.5</v>
      </c>
      <c r="H85" s="158">
        <v>26200</v>
      </c>
      <c r="I85" s="158">
        <f t="shared" si="2"/>
        <v>60.932358105515306</v>
      </c>
    </row>
    <row r="86" spans="1:9" ht="15.75" outlineLevel="5">
      <c r="A86" s="149" t="s">
        <v>338</v>
      </c>
      <c r="B86" s="150" t="s">
        <v>15</v>
      </c>
      <c r="C86" s="150" t="s">
        <v>188</v>
      </c>
      <c r="D86" s="150" t="s">
        <v>195</v>
      </c>
      <c r="E86" s="150" t="s">
        <v>339</v>
      </c>
      <c r="F86" s="150" t="s">
        <v>25</v>
      </c>
      <c r="G86" s="151">
        <f>G87</f>
        <v>197100</v>
      </c>
      <c r="H86" s="158">
        <f>H87</f>
        <v>196352</v>
      </c>
      <c r="I86" s="158">
        <f t="shared" si="2"/>
        <v>99.6204972095383</v>
      </c>
    </row>
    <row r="87" spans="1:9" ht="31.5" outlineLevel="6">
      <c r="A87" s="149" t="s">
        <v>321</v>
      </c>
      <c r="B87" s="150" t="s">
        <v>15</v>
      </c>
      <c r="C87" s="150" t="s">
        <v>188</v>
      </c>
      <c r="D87" s="150" t="s">
        <v>195</v>
      </c>
      <c r="E87" s="150" t="s">
        <v>340</v>
      </c>
      <c r="F87" s="150" t="s">
        <v>25</v>
      </c>
      <c r="G87" s="151">
        <f>G88</f>
        <v>197100</v>
      </c>
      <c r="H87" s="158">
        <f>H88</f>
        <v>196352</v>
      </c>
      <c r="I87" s="158">
        <f t="shared" si="2"/>
        <v>99.6204972095383</v>
      </c>
    </row>
    <row r="88" spans="1:9" ht="31.5" outlineLevel="7">
      <c r="A88" s="149" t="s">
        <v>324</v>
      </c>
      <c r="B88" s="150" t="s">
        <v>15</v>
      </c>
      <c r="C88" s="150" t="s">
        <v>188</v>
      </c>
      <c r="D88" s="150" t="s">
        <v>195</v>
      </c>
      <c r="E88" s="150" t="s">
        <v>340</v>
      </c>
      <c r="F88" s="150" t="s">
        <v>325</v>
      </c>
      <c r="G88" s="151">
        <f>143100+54000</f>
        <v>197100</v>
      </c>
      <c r="H88" s="158">
        <v>196352</v>
      </c>
      <c r="I88" s="158">
        <f t="shared" si="2"/>
        <v>99.6204972095383</v>
      </c>
    </row>
    <row r="89" spans="1:9" ht="47.25" outlineLevel="5">
      <c r="A89" s="149" t="s">
        <v>326</v>
      </c>
      <c r="B89" s="150" t="s">
        <v>15</v>
      </c>
      <c r="C89" s="150" t="s">
        <v>188</v>
      </c>
      <c r="D89" s="150" t="s">
        <v>195</v>
      </c>
      <c r="E89" s="150" t="s">
        <v>327</v>
      </c>
      <c r="F89" s="150" t="s">
        <v>25</v>
      </c>
      <c r="G89" s="151">
        <f>G90</f>
        <v>359914.8</v>
      </c>
      <c r="H89" s="158">
        <f>H90</f>
        <v>282787.5</v>
      </c>
      <c r="I89" s="158">
        <f t="shared" si="2"/>
        <v>78.57067839388655</v>
      </c>
    </row>
    <row r="90" spans="1:9" ht="31.5" outlineLevel="6">
      <c r="A90" s="149" t="s">
        <v>321</v>
      </c>
      <c r="B90" s="150" t="s">
        <v>15</v>
      </c>
      <c r="C90" s="150" t="s">
        <v>188</v>
      </c>
      <c r="D90" s="150" t="s">
        <v>195</v>
      </c>
      <c r="E90" s="150" t="s">
        <v>328</v>
      </c>
      <c r="F90" s="150" t="s">
        <v>25</v>
      </c>
      <c r="G90" s="151">
        <f>G91+G92</f>
        <v>359914.8</v>
      </c>
      <c r="H90" s="158">
        <f>H91+H92</f>
        <v>282787.5</v>
      </c>
      <c r="I90" s="158">
        <f t="shared" si="2"/>
        <v>78.57067839388655</v>
      </c>
    </row>
    <row r="91" spans="1:9" ht="94.5" outlineLevel="7">
      <c r="A91" s="149" t="s">
        <v>323</v>
      </c>
      <c r="B91" s="150" t="s">
        <v>15</v>
      </c>
      <c r="C91" s="150" t="s">
        <v>188</v>
      </c>
      <c r="D91" s="150" t="s">
        <v>195</v>
      </c>
      <c r="E91" s="150" t="s">
        <v>328</v>
      </c>
      <c r="F91" s="150" t="s">
        <v>54</v>
      </c>
      <c r="G91" s="151">
        <f>294800-130800+106714.8</f>
        <v>270714.8</v>
      </c>
      <c r="H91" s="158">
        <v>224287.5</v>
      </c>
      <c r="I91" s="158">
        <f t="shared" si="2"/>
        <v>82.85010645890067</v>
      </c>
    </row>
    <row r="92" spans="1:9" ht="31.5" outlineLevel="7">
      <c r="A92" s="152" t="s">
        <v>324</v>
      </c>
      <c r="B92" s="153" t="s">
        <v>15</v>
      </c>
      <c r="C92" s="153" t="s">
        <v>188</v>
      </c>
      <c r="D92" s="153" t="s">
        <v>195</v>
      </c>
      <c r="E92" s="153" t="s">
        <v>328</v>
      </c>
      <c r="F92" s="153" t="s">
        <v>325</v>
      </c>
      <c r="G92" s="154">
        <v>89200</v>
      </c>
      <c r="H92" s="189">
        <v>58500</v>
      </c>
      <c r="I92" s="158">
        <f t="shared" si="2"/>
        <v>65.5829596412556</v>
      </c>
    </row>
    <row r="93" spans="1:9" ht="31.5" outlineLevel="7">
      <c r="A93" s="67" t="s">
        <v>200</v>
      </c>
      <c r="B93" s="68" t="s">
        <v>15</v>
      </c>
      <c r="C93" s="68" t="s">
        <v>188</v>
      </c>
      <c r="D93" s="68" t="s">
        <v>201</v>
      </c>
      <c r="E93" s="155" t="s">
        <v>313</v>
      </c>
      <c r="F93" s="68" t="s">
        <v>25</v>
      </c>
      <c r="G93" s="69">
        <f aca="true" t="shared" si="3" ref="G93:H95">G94</f>
        <v>1063600</v>
      </c>
      <c r="H93" s="69">
        <f t="shared" si="3"/>
        <v>1063600</v>
      </c>
      <c r="I93" s="161">
        <f t="shared" si="2"/>
        <v>100</v>
      </c>
    </row>
    <row r="94" spans="1:9" ht="15.75" outlineLevel="7">
      <c r="A94" s="72" t="s">
        <v>329</v>
      </c>
      <c r="B94" s="73" t="s">
        <v>15</v>
      </c>
      <c r="C94" s="73" t="s">
        <v>188</v>
      </c>
      <c r="D94" s="73" t="s">
        <v>201</v>
      </c>
      <c r="E94" s="73" t="s">
        <v>330</v>
      </c>
      <c r="F94" s="73" t="s">
        <v>25</v>
      </c>
      <c r="G94" s="74">
        <f t="shared" si="3"/>
        <v>1063600</v>
      </c>
      <c r="H94" s="74">
        <f t="shared" si="3"/>
        <v>1063600</v>
      </c>
      <c r="I94" s="158">
        <f t="shared" si="2"/>
        <v>100</v>
      </c>
    </row>
    <row r="95" spans="1:9" ht="31.5" outlineLevel="7">
      <c r="A95" s="72" t="s">
        <v>378</v>
      </c>
      <c r="B95" s="73" t="s">
        <v>15</v>
      </c>
      <c r="C95" s="73" t="s">
        <v>188</v>
      </c>
      <c r="D95" s="73" t="s">
        <v>201</v>
      </c>
      <c r="E95" s="73" t="s">
        <v>379</v>
      </c>
      <c r="F95" s="73" t="s">
        <v>25</v>
      </c>
      <c r="G95" s="74">
        <f t="shared" si="3"/>
        <v>1063600</v>
      </c>
      <c r="H95" s="74">
        <f t="shared" si="3"/>
        <v>1063600</v>
      </c>
      <c r="I95" s="158">
        <f t="shared" si="2"/>
        <v>100</v>
      </c>
    </row>
    <row r="96" spans="1:9" ht="31.5" outlineLevel="7">
      <c r="A96" s="72" t="s">
        <v>324</v>
      </c>
      <c r="B96" s="73" t="s">
        <v>15</v>
      </c>
      <c r="C96" s="73" t="s">
        <v>188</v>
      </c>
      <c r="D96" s="73" t="s">
        <v>201</v>
      </c>
      <c r="E96" s="73" t="s">
        <v>379</v>
      </c>
      <c r="F96" s="73" t="s">
        <v>293</v>
      </c>
      <c r="G96" s="74">
        <f>900000+163600</f>
        <v>1063600</v>
      </c>
      <c r="H96" s="74">
        <f>900000+163600</f>
        <v>1063600</v>
      </c>
      <c r="I96" s="158">
        <f t="shared" si="2"/>
        <v>100</v>
      </c>
    </row>
    <row r="97" spans="1:10" s="148" customFormat="1" ht="15.75" outlineLevel="2">
      <c r="A97" s="144" t="s">
        <v>204</v>
      </c>
      <c r="B97" s="145" t="s">
        <v>15</v>
      </c>
      <c r="C97" s="145" t="s">
        <v>188</v>
      </c>
      <c r="D97" s="145" t="s">
        <v>205</v>
      </c>
      <c r="E97" s="145" t="s">
        <v>313</v>
      </c>
      <c r="F97" s="145" t="s">
        <v>25</v>
      </c>
      <c r="G97" s="146">
        <f>G98+G102+G113+G117+G121+G151+G189</f>
        <v>70118713.61</v>
      </c>
      <c r="H97" s="161">
        <f>H98+H102+H113+H117+H121+H151+H189</f>
        <v>68937419</v>
      </c>
      <c r="I97" s="161">
        <f t="shared" si="2"/>
        <v>98.31529338006634</v>
      </c>
      <c r="J97" s="147"/>
    </row>
    <row r="98" spans="1:10" s="148" customFormat="1" ht="63" outlineLevel="4">
      <c r="A98" s="144" t="s">
        <v>380</v>
      </c>
      <c r="B98" s="145" t="s">
        <v>15</v>
      </c>
      <c r="C98" s="145" t="s">
        <v>188</v>
      </c>
      <c r="D98" s="145" t="s">
        <v>205</v>
      </c>
      <c r="E98" s="145" t="s">
        <v>381</v>
      </c>
      <c r="F98" s="145" t="s">
        <v>25</v>
      </c>
      <c r="G98" s="146">
        <f aca="true" t="shared" si="4" ref="G98:H100">G99</f>
        <v>318944</v>
      </c>
      <c r="H98" s="161">
        <f t="shared" si="4"/>
        <v>318944</v>
      </c>
      <c r="I98" s="161">
        <f t="shared" si="2"/>
        <v>100</v>
      </c>
      <c r="J98" s="147"/>
    </row>
    <row r="99" spans="1:9" ht="63" outlineLevel="5">
      <c r="A99" s="149" t="s">
        <v>382</v>
      </c>
      <c r="B99" s="150" t="s">
        <v>15</v>
      </c>
      <c r="C99" s="150" t="s">
        <v>188</v>
      </c>
      <c r="D99" s="150" t="s">
        <v>205</v>
      </c>
      <c r="E99" s="150" t="s">
        <v>383</v>
      </c>
      <c r="F99" s="150" t="s">
        <v>25</v>
      </c>
      <c r="G99" s="151">
        <f t="shared" si="4"/>
        <v>318944</v>
      </c>
      <c r="H99" s="158">
        <f t="shared" si="4"/>
        <v>318944</v>
      </c>
      <c r="I99" s="158">
        <f t="shared" si="2"/>
        <v>100</v>
      </c>
    </row>
    <row r="100" spans="1:9" ht="47.25" outlineLevel="6">
      <c r="A100" s="149" t="s">
        <v>384</v>
      </c>
      <c r="B100" s="150" t="s">
        <v>15</v>
      </c>
      <c r="C100" s="150" t="s">
        <v>188</v>
      </c>
      <c r="D100" s="150" t="s">
        <v>205</v>
      </c>
      <c r="E100" s="150" t="s">
        <v>385</v>
      </c>
      <c r="F100" s="150" t="s">
        <v>25</v>
      </c>
      <c r="G100" s="151">
        <f t="shared" si="4"/>
        <v>318944</v>
      </c>
      <c r="H100" s="158">
        <f t="shared" si="4"/>
        <v>318944</v>
      </c>
      <c r="I100" s="158">
        <f t="shared" si="2"/>
        <v>100</v>
      </c>
    </row>
    <row r="101" spans="1:9" ht="47.25" outlineLevel="7">
      <c r="A101" s="149" t="s">
        <v>386</v>
      </c>
      <c r="B101" s="150" t="s">
        <v>15</v>
      </c>
      <c r="C101" s="150" t="s">
        <v>188</v>
      </c>
      <c r="D101" s="150" t="s">
        <v>205</v>
      </c>
      <c r="E101" s="150" t="s">
        <v>385</v>
      </c>
      <c r="F101" s="150" t="s">
        <v>273</v>
      </c>
      <c r="G101" s="151">
        <v>318944</v>
      </c>
      <c r="H101" s="158">
        <v>318944</v>
      </c>
      <c r="I101" s="158">
        <f t="shared" si="2"/>
        <v>100</v>
      </c>
    </row>
    <row r="102" spans="1:10" s="148" customFormat="1" ht="47.25" outlineLevel="3">
      <c r="A102" s="144" t="s">
        <v>387</v>
      </c>
      <c r="B102" s="145" t="s">
        <v>15</v>
      </c>
      <c r="C102" s="145" t="s">
        <v>188</v>
      </c>
      <c r="D102" s="145" t="s">
        <v>205</v>
      </c>
      <c r="E102" s="145" t="s">
        <v>388</v>
      </c>
      <c r="F102" s="145" t="s">
        <v>25</v>
      </c>
      <c r="G102" s="146">
        <f>G103</f>
        <v>1899660</v>
      </c>
      <c r="H102" s="161">
        <f>H103</f>
        <v>1899660</v>
      </c>
      <c r="I102" s="161">
        <f t="shared" si="2"/>
        <v>100</v>
      </c>
      <c r="J102" s="147"/>
    </row>
    <row r="103" spans="1:10" s="148" customFormat="1" ht="47.25" outlineLevel="4">
      <c r="A103" s="144" t="s">
        <v>389</v>
      </c>
      <c r="B103" s="145" t="s">
        <v>15</v>
      </c>
      <c r="C103" s="145" t="s">
        <v>188</v>
      </c>
      <c r="D103" s="145" t="s">
        <v>205</v>
      </c>
      <c r="E103" s="145" t="s">
        <v>390</v>
      </c>
      <c r="F103" s="145" t="s">
        <v>25</v>
      </c>
      <c r="G103" s="146">
        <f>G104+G107+G110</f>
        <v>1899660</v>
      </c>
      <c r="H103" s="161">
        <f>H104+H107+H110</f>
        <v>1899660</v>
      </c>
      <c r="I103" s="161">
        <f t="shared" si="2"/>
        <v>100</v>
      </c>
      <c r="J103" s="147"/>
    </row>
    <row r="104" spans="1:9" ht="31.5" outlineLevel="5">
      <c r="A104" s="149" t="s">
        <v>391</v>
      </c>
      <c r="B104" s="150" t="s">
        <v>15</v>
      </c>
      <c r="C104" s="150" t="s">
        <v>188</v>
      </c>
      <c r="D104" s="150" t="s">
        <v>205</v>
      </c>
      <c r="E104" s="150" t="s">
        <v>392</v>
      </c>
      <c r="F104" s="150" t="s">
        <v>25</v>
      </c>
      <c r="G104" s="151">
        <f>G105</f>
        <v>1899660</v>
      </c>
      <c r="H104" s="158">
        <f>H105</f>
        <v>1899660</v>
      </c>
      <c r="I104" s="158">
        <f t="shared" si="2"/>
        <v>100</v>
      </c>
    </row>
    <row r="105" spans="1:9" ht="31.5" outlineLevel="6">
      <c r="A105" s="149" t="s">
        <v>393</v>
      </c>
      <c r="B105" s="150" t="s">
        <v>15</v>
      </c>
      <c r="C105" s="150" t="s">
        <v>188</v>
      </c>
      <c r="D105" s="150" t="s">
        <v>205</v>
      </c>
      <c r="E105" s="150" t="s">
        <v>394</v>
      </c>
      <c r="F105" s="150" t="s">
        <v>25</v>
      </c>
      <c r="G105" s="151">
        <f>G106</f>
        <v>1899660</v>
      </c>
      <c r="H105" s="158">
        <f>H106</f>
        <v>1899660</v>
      </c>
      <c r="I105" s="158">
        <f t="shared" si="2"/>
        <v>100</v>
      </c>
    </row>
    <row r="106" spans="1:9" ht="31.5" outlineLevel="7">
      <c r="A106" s="149" t="s">
        <v>324</v>
      </c>
      <c r="B106" s="150" t="s">
        <v>15</v>
      </c>
      <c r="C106" s="150" t="s">
        <v>188</v>
      </c>
      <c r="D106" s="150" t="s">
        <v>205</v>
      </c>
      <c r="E106" s="150" t="s">
        <v>394</v>
      </c>
      <c r="F106" s="150" t="s">
        <v>325</v>
      </c>
      <c r="G106" s="151">
        <f>231500+591350+1076810</f>
        <v>1899660</v>
      </c>
      <c r="H106" s="158">
        <f>231500+591350+1076810</f>
        <v>1899660</v>
      </c>
      <c r="I106" s="158">
        <f t="shared" si="2"/>
        <v>100</v>
      </c>
    </row>
    <row r="107" spans="1:9" ht="31.5" hidden="1" outlineLevel="5">
      <c r="A107" s="149" t="s">
        <v>395</v>
      </c>
      <c r="B107" s="150" t="s">
        <v>15</v>
      </c>
      <c r="C107" s="150" t="s">
        <v>188</v>
      </c>
      <c r="D107" s="150" t="s">
        <v>205</v>
      </c>
      <c r="E107" s="150" t="s">
        <v>396</v>
      </c>
      <c r="F107" s="150" t="s">
        <v>25</v>
      </c>
      <c r="G107" s="151">
        <f>G108</f>
        <v>0</v>
      </c>
      <c r="H107" s="158">
        <f>H108</f>
        <v>0</v>
      </c>
      <c r="I107" s="161" t="e">
        <f t="shared" si="2"/>
        <v>#DIV/0!</v>
      </c>
    </row>
    <row r="108" spans="1:9" ht="31.5" hidden="1" outlineLevel="6">
      <c r="A108" s="149" t="s">
        <v>353</v>
      </c>
      <c r="B108" s="150" t="s">
        <v>15</v>
      </c>
      <c r="C108" s="150" t="s">
        <v>188</v>
      </c>
      <c r="D108" s="150" t="s">
        <v>205</v>
      </c>
      <c r="E108" s="150" t="s">
        <v>397</v>
      </c>
      <c r="F108" s="150" t="s">
        <v>25</v>
      </c>
      <c r="G108" s="151">
        <f>G109</f>
        <v>0</v>
      </c>
      <c r="H108" s="158">
        <f>H109</f>
        <v>0</v>
      </c>
      <c r="I108" s="161" t="e">
        <f t="shared" si="2"/>
        <v>#DIV/0!</v>
      </c>
    </row>
    <row r="109" spans="1:9" ht="31.5" hidden="1" outlineLevel="7">
      <c r="A109" s="149" t="s">
        <v>324</v>
      </c>
      <c r="B109" s="150" t="s">
        <v>15</v>
      </c>
      <c r="C109" s="150" t="s">
        <v>188</v>
      </c>
      <c r="D109" s="150" t="s">
        <v>205</v>
      </c>
      <c r="E109" s="150" t="s">
        <v>397</v>
      </c>
      <c r="F109" s="150" t="s">
        <v>325</v>
      </c>
      <c r="G109" s="151">
        <f>3000000-591350-701812.41-1706837.59</f>
        <v>0</v>
      </c>
      <c r="H109" s="158">
        <f>3000000-591350-701812.41-1706837.59</f>
        <v>0</v>
      </c>
      <c r="I109" s="161" t="e">
        <f t="shared" si="2"/>
        <v>#DIV/0!</v>
      </c>
    </row>
    <row r="110" spans="1:9" ht="94.5" hidden="1" outlineLevel="7">
      <c r="A110" s="149" t="s">
        <v>398</v>
      </c>
      <c r="B110" s="150" t="s">
        <v>15</v>
      </c>
      <c r="C110" s="150" t="s">
        <v>188</v>
      </c>
      <c r="D110" s="150" t="s">
        <v>205</v>
      </c>
      <c r="E110" s="150" t="s">
        <v>399</v>
      </c>
      <c r="F110" s="150" t="s">
        <v>25</v>
      </c>
      <c r="G110" s="151">
        <f>G111</f>
        <v>0</v>
      </c>
      <c r="H110" s="158">
        <f>H111</f>
        <v>0</v>
      </c>
      <c r="I110" s="161" t="e">
        <f t="shared" si="2"/>
        <v>#DIV/0!</v>
      </c>
    </row>
    <row r="111" spans="1:9" ht="31.5" hidden="1" outlineLevel="7">
      <c r="A111" s="149" t="s">
        <v>353</v>
      </c>
      <c r="B111" s="150" t="s">
        <v>15</v>
      </c>
      <c r="C111" s="150" t="s">
        <v>188</v>
      </c>
      <c r="D111" s="150" t="s">
        <v>205</v>
      </c>
      <c r="E111" s="150" t="s">
        <v>400</v>
      </c>
      <c r="F111" s="150" t="s">
        <v>25</v>
      </c>
      <c r="G111" s="151">
        <f>G112</f>
        <v>0</v>
      </c>
      <c r="H111" s="158">
        <f>H112</f>
        <v>0</v>
      </c>
      <c r="I111" s="161" t="e">
        <f t="shared" si="2"/>
        <v>#DIV/0!</v>
      </c>
    </row>
    <row r="112" spans="1:9" ht="31.5" hidden="1" outlineLevel="7">
      <c r="A112" s="149" t="s">
        <v>324</v>
      </c>
      <c r="B112" s="150" t="s">
        <v>15</v>
      </c>
      <c r="C112" s="150" t="s">
        <v>188</v>
      </c>
      <c r="D112" s="150" t="s">
        <v>205</v>
      </c>
      <c r="E112" s="150" t="s">
        <v>400</v>
      </c>
      <c r="F112" s="150" t="s">
        <v>325</v>
      </c>
      <c r="G112" s="151">
        <f>71940-71940</f>
        <v>0</v>
      </c>
      <c r="H112" s="158">
        <f>71940-71940</f>
        <v>0</v>
      </c>
      <c r="I112" s="161" t="e">
        <f t="shared" si="2"/>
        <v>#DIV/0!</v>
      </c>
    </row>
    <row r="113" spans="1:10" s="148" customFormat="1" ht="47.25" outlineLevel="4" collapsed="1">
      <c r="A113" s="144" t="s">
        <v>401</v>
      </c>
      <c r="B113" s="145" t="s">
        <v>15</v>
      </c>
      <c r="C113" s="145" t="s">
        <v>188</v>
      </c>
      <c r="D113" s="145" t="s">
        <v>205</v>
      </c>
      <c r="E113" s="145" t="s">
        <v>402</v>
      </c>
      <c r="F113" s="145" t="s">
        <v>25</v>
      </c>
      <c r="G113" s="146">
        <f aca="true" t="shared" si="5" ref="G113:H115">G114</f>
        <v>395920</v>
      </c>
      <c r="H113" s="161">
        <f t="shared" si="5"/>
        <v>250920</v>
      </c>
      <c r="I113" s="161">
        <f t="shared" si="2"/>
        <v>63.3764396847848</v>
      </c>
      <c r="J113" s="147"/>
    </row>
    <row r="114" spans="1:9" ht="126" outlineLevel="5">
      <c r="A114" s="149" t="s">
        <v>403</v>
      </c>
      <c r="B114" s="150" t="s">
        <v>15</v>
      </c>
      <c r="C114" s="150" t="s">
        <v>188</v>
      </c>
      <c r="D114" s="150" t="s">
        <v>205</v>
      </c>
      <c r="E114" s="150" t="s">
        <v>404</v>
      </c>
      <c r="F114" s="150" t="s">
        <v>25</v>
      </c>
      <c r="G114" s="151">
        <f t="shared" si="5"/>
        <v>395920</v>
      </c>
      <c r="H114" s="158">
        <f t="shared" si="5"/>
        <v>250920</v>
      </c>
      <c r="I114" s="158">
        <f t="shared" si="2"/>
        <v>63.3764396847848</v>
      </c>
    </row>
    <row r="115" spans="1:9" ht="31.5" outlineLevel="6">
      <c r="A115" s="149" t="s">
        <v>353</v>
      </c>
      <c r="B115" s="150" t="s">
        <v>15</v>
      </c>
      <c r="C115" s="150" t="s">
        <v>188</v>
      </c>
      <c r="D115" s="150" t="s">
        <v>205</v>
      </c>
      <c r="E115" s="150" t="s">
        <v>405</v>
      </c>
      <c r="F115" s="150" t="s">
        <v>25</v>
      </c>
      <c r="G115" s="151">
        <f t="shared" si="5"/>
        <v>395920</v>
      </c>
      <c r="H115" s="158">
        <f t="shared" si="5"/>
        <v>250920</v>
      </c>
      <c r="I115" s="158">
        <f t="shared" si="2"/>
        <v>63.3764396847848</v>
      </c>
    </row>
    <row r="116" spans="1:9" ht="31.5" outlineLevel="7">
      <c r="A116" s="149" t="s">
        <v>324</v>
      </c>
      <c r="B116" s="150" t="s">
        <v>15</v>
      </c>
      <c r="C116" s="150" t="s">
        <v>188</v>
      </c>
      <c r="D116" s="150" t="s">
        <v>205</v>
      </c>
      <c r="E116" s="150" t="s">
        <v>405</v>
      </c>
      <c r="F116" s="150" t="s">
        <v>325</v>
      </c>
      <c r="G116" s="151">
        <f>200000+170000-123250+138250+10920</f>
        <v>395920</v>
      </c>
      <c r="H116" s="158">
        <v>250920</v>
      </c>
      <c r="I116" s="158">
        <f t="shared" si="2"/>
        <v>63.3764396847848</v>
      </c>
    </row>
    <row r="117" spans="1:10" s="148" customFormat="1" ht="63" hidden="1" outlineLevel="4">
      <c r="A117" s="144" t="s">
        <v>406</v>
      </c>
      <c r="B117" s="145" t="s">
        <v>15</v>
      </c>
      <c r="C117" s="145" t="s">
        <v>188</v>
      </c>
      <c r="D117" s="145" t="s">
        <v>205</v>
      </c>
      <c r="E117" s="145" t="s">
        <v>407</v>
      </c>
      <c r="F117" s="145" t="s">
        <v>25</v>
      </c>
      <c r="G117" s="146">
        <f aca="true" t="shared" si="6" ref="G117:H119">G118</f>
        <v>0</v>
      </c>
      <c r="H117" s="161">
        <f t="shared" si="6"/>
        <v>0</v>
      </c>
      <c r="I117" s="161" t="e">
        <f t="shared" si="2"/>
        <v>#DIV/0!</v>
      </c>
      <c r="J117" s="147"/>
    </row>
    <row r="118" spans="1:9" ht="63" hidden="1" outlineLevel="5">
      <c r="A118" s="149" t="s">
        <v>408</v>
      </c>
      <c r="B118" s="150" t="s">
        <v>15</v>
      </c>
      <c r="C118" s="150" t="s">
        <v>188</v>
      </c>
      <c r="D118" s="150" t="s">
        <v>205</v>
      </c>
      <c r="E118" s="150" t="s">
        <v>409</v>
      </c>
      <c r="F118" s="150" t="s">
        <v>25</v>
      </c>
      <c r="G118" s="151">
        <f t="shared" si="6"/>
        <v>0</v>
      </c>
      <c r="H118" s="158">
        <f t="shared" si="6"/>
        <v>0</v>
      </c>
      <c r="I118" s="161" t="e">
        <f t="shared" si="2"/>
        <v>#DIV/0!</v>
      </c>
    </row>
    <row r="119" spans="1:9" ht="31.5" hidden="1" outlineLevel="6">
      <c r="A119" s="149" t="s">
        <v>353</v>
      </c>
      <c r="B119" s="150" t="s">
        <v>15</v>
      </c>
      <c r="C119" s="150" t="s">
        <v>188</v>
      </c>
      <c r="D119" s="150" t="s">
        <v>205</v>
      </c>
      <c r="E119" s="150" t="s">
        <v>410</v>
      </c>
      <c r="F119" s="150" t="s">
        <v>25</v>
      </c>
      <c r="G119" s="151">
        <f t="shared" si="6"/>
        <v>0</v>
      </c>
      <c r="H119" s="158">
        <f t="shared" si="6"/>
        <v>0</v>
      </c>
      <c r="I119" s="161" t="e">
        <f t="shared" si="2"/>
        <v>#DIV/0!</v>
      </c>
    </row>
    <row r="120" spans="1:9" ht="15.75" hidden="1" outlineLevel="7">
      <c r="A120" s="149" t="s">
        <v>411</v>
      </c>
      <c r="B120" s="150" t="s">
        <v>15</v>
      </c>
      <c r="C120" s="150" t="s">
        <v>188</v>
      </c>
      <c r="D120" s="150" t="s">
        <v>205</v>
      </c>
      <c r="E120" s="150" t="s">
        <v>410</v>
      </c>
      <c r="F120" s="150" t="s">
        <v>293</v>
      </c>
      <c r="G120" s="151">
        <f>47500-47500</f>
        <v>0</v>
      </c>
      <c r="H120" s="158">
        <f>47500-47500</f>
        <v>0</v>
      </c>
      <c r="I120" s="161" t="e">
        <f t="shared" si="2"/>
        <v>#DIV/0!</v>
      </c>
    </row>
    <row r="121" spans="1:10" s="148" customFormat="1" ht="47.25" outlineLevel="3" collapsed="1">
      <c r="A121" s="144" t="s">
        <v>347</v>
      </c>
      <c r="B121" s="145" t="s">
        <v>15</v>
      </c>
      <c r="C121" s="145" t="s">
        <v>188</v>
      </c>
      <c r="D121" s="145" t="s">
        <v>205</v>
      </c>
      <c r="E121" s="145" t="s">
        <v>348</v>
      </c>
      <c r="F121" s="145" t="s">
        <v>25</v>
      </c>
      <c r="G121" s="146">
        <f>G122+G143</f>
        <v>24638225.69</v>
      </c>
      <c r="H121" s="161">
        <f>H122+H143</f>
        <v>24492699.55</v>
      </c>
      <c r="I121" s="161">
        <f t="shared" si="2"/>
        <v>99.4093481331366</v>
      </c>
      <c r="J121" s="147"/>
    </row>
    <row r="122" spans="1:10" s="148" customFormat="1" ht="47.25" outlineLevel="4">
      <c r="A122" s="144" t="s">
        <v>349</v>
      </c>
      <c r="B122" s="145" t="s">
        <v>15</v>
      </c>
      <c r="C122" s="145" t="s">
        <v>188</v>
      </c>
      <c r="D122" s="145" t="s">
        <v>205</v>
      </c>
      <c r="E122" s="145" t="s">
        <v>350</v>
      </c>
      <c r="F122" s="145" t="s">
        <v>25</v>
      </c>
      <c r="G122" s="146">
        <f>G123+G130+G133+G137+G140</f>
        <v>3572096.6900000004</v>
      </c>
      <c r="H122" s="161">
        <f>H123+H130+H133+H137+H140</f>
        <v>3446496.1700000004</v>
      </c>
      <c r="I122" s="161">
        <f t="shared" si="2"/>
        <v>96.48384321870078</v>
      </c>
      <c r="J122" s="147"/>
    </row>
    <row r="123" spans="1:9" ht="47.25" outlineLevel="5">
      <c r="A123" s="149" t="s">
        <v>355</v>
      </c>
      <c r="B123" s="150" t="s">
        <v>15</v>
      </c>
      <c r="C123" s="150" t="s">
        <v>188</v>
      </c>
      <c r="D123" s="150" t="s">
        <v>205</v>
      </c>
      <c r="E123" s="150" t="s">
        <v>356</v>
      </c>
      <c r="F123" s="150" t="s">
        <v>25</v>
      </c>
      <c r="G123" s="151">
        <f>G124+G126+G128</f>
        <v>479072.3400000001</v>
      </c>
      <c r="H123" s="158">
        <f>H124+H126+H128</f>
        <v>407667.17000000004</v>
      </c>
      <c r="I123" s="158">
        <f t="shared" si="2"/>
        <v>85.09511736786975</v>
      </c>
    </row>
    <row r="124" spans="1:9" ht="31.5" outlineLevel="6">
      <c r="A124" s="149" t="s">
        <v>353</v>
      </c>
      <c r="B124" s="150" t="s">
        <v>15</v>
      </c>
      <c r="C124" s="150" t="s">
        <v>188</v>
      </c>
      <c r="D124" s="150" t="s">
        <v>205</v>
      </c>
      <c r="E124" s="150" t="s">
        <v>357</v>
      </c>
      <c r="F124" s="150" t="s">
        <v>25</v>
      </c>
      <c r="G124" s="151">
        <f>G125</f>
        <v>465344.56000000006</v>
      </c>
      <c r="H124" s="158">
        <f>H125</f>
        <v>393951.62</v>
      </c>
      <c r="I124" s="158">
        <f t="shared" si="2"/>
        <v>84.65804779151172</v>
      </c>
    </row>
    <row r="125" spans="1:9" ht="31.5" outlineLevel="7">
      <c r="A125" s="149" t="s">
        <v>324</v>
      </c>
      <c r="B125" s="150" t="s">
        <v>15</v>
      </c>
      <c r="C125" s="150" t="s">
        <v>188</v>
      </c>
      <c r="D125" s="150" t="s">
        <v>205</v>
      </c>
      <c r="E125" s="150" t="s">
        <v>357</v>
      </c>
      <c r="F125" s="150" t="s">
        <v>325</v>
      </c>
      <c r="G125" s="151">
        <f>595464.56-50000-80120</f>
        <v>465344.56000000006</v>
      </c>
      <c r="H125" s="158">
        <v>393951.62</v>
      </c>
      <c r="I125" s="158">
        <f t="shared" si="2"/>
        <v>84.65804779151172</v>
      </c>
    </row>
    <row r="126" spans="1:9" ht="63" outlineLevel="6">
      <c r="A126" s="149" t="s">
        <v>412</v>
      </c>
      <c r="B126" s="150" t="s">
        <v>15</v>
      </c>
      <c r="C126" s="150" t="s">
        <v>188</v>
      </c>
      <c r="D126" s="150" t="s">
        <v>205</v>
      </c>
      <c r="E126" s="150" t="s">
        <v>413</v>
      </c>
      <c r="F126" s="150" t="s">
        <v>25</v>
      </c>
      <c r="G126" s="151">
        <f>G127</f>
        <v>13042</v>
      </c>
      <c r="H126" s="158">
        <f>H127</f>
        <v>13029.77</v>
      </c>
      <c r="I126" s="158">
        <f t="shared" si="2"/>
        <v>99.90622603895109</v>
      </c>
    </row>
    <row r="127" spans="1:9" ht="31.5" outlineLevel="7">
      <c r="A127" s="149" t="s">
        <v>324</v>
      </c>
      <c r="B127" s="150" t="s">
        <v>15</v>
      </c>
      <c r="C127" s="150" t="s">
        <v>188</v>
      </c>
      <c r="D127" s="150" t="s">
        <v>205</v>
      </c>
      <c r="E127" s="150" t="s">
        <v>413</v>
      </c>
      <c r="F127" s="150" t="s">
        <v>325</v>
      </c>
      <c r="G127" s="151">
        <v>13042</v>
      </c>
      <c r="H127" s="158">
        <v>13029.77</v>
      </c>
      <c r="I127" s="158">
        <f aca="true" t="shared" si="7" ref="I127:I190">H127/G127*100</f>
        <v>99.90622603895109</v>
      </c>
    </row>
    <row r="128" spans="1:9" ht="63" outlineLevel="6">
      <c r="A128" s="149" t="s">
        <v>412</v>
      </c>
      <c r="B128" s="150" t="s">
        <v>15</v>
      </c>
      <c r="C128" s="150" t="s">
        <v>188</v>
      </c>
      <c r="D128" s="150" t="s">
        <v>205</v>
      </c>
      <c r="E128" s="150" t="s">
        <v>414</v>
      </c>
      <c r="F128" s="150" t="s">
        <v>25</v>
      </c>
      <c r="G128" s="151">
        <f>G129</f>
        <v>685.78</v>
      </c>
      <c r="H128" s="158">
        <f>H129</f>
        <v>685.78</v>
      </c>
      <c r="I128" s="158">
        <f t="shared" si="7"/>
        <v>100</v>
      </c>
    </row>
    <row r="129" spans="1:9" ht="31.5" outlineLevel="7">
      <c r="A129" s="149" t="s">
        <v>324</v>
      </c>
      <c r="B129" s="150" t="s">
        <v>15</v>
      </c>
      <c r="C129" s="150" t="s">
        <v>188</v>
      </c>
      <c r="D129" s="150" t="s">
        <v>205</v>
      </c>
      <c r="E129" s="150" t="s">
        <v>414</v>
      </c>
      <c r="F129" s="150" t="s">
        <v>325</v>
      </c>
      <c r="G129" s="151">
        <f>1650-964.22</f>
        <v>685.78</v>
      </c>
      <c r="H129" s="158">
        <f>1650-964.22</f>
        <v>685.78</v>
      </c>
      <c r="I129" s="158">
        <f t="shared" si="7"/>
        <v>100</v>
      </c>
    </row>
    <row r="130" spans="1:9" ht="47.25" outlineLevel="5">
      <c r="A130" s="149" t="s">
        <v>415</v>
      </c>
      <c r="B130" s="150" t="s">
        <v>15</v>
      </c>
      <c r="C130" s="150" t="s">
        <v>188</v>
      </c>
      <c r="D130" s="150" t="s">
        <v>205</v>
      </c>
      <c r="E130" s="150" t="s">
        <v>416</v>
      </c>
      <c r="F130" s="150" t="s">
        <v>25</v>
      </c>
      <c r="G130" s="151">
        <f>G131</f>
        <v>5000</v>
      </c>
      <c r="H130" s="158">
        <f>H131</f>
        <v>2812</v>
      </c>
      <c r="I130" s="158">
        <f t="shared" si="7"/>
        <v>56.24</v>
      </c>
    </row>
    <row r="131" spans="1:9" ht="31.5" outlineLevel="6">
      <c r="A131" s="149" t="s">
        <v>353</v>
      </c>
      <c r="B131" s="150" t="s">
        <v>15</v>
      </c>
      <c r="C131" s="150" t="s">
        <v>188</v>
      </c>
      <c r="D131" s="150" t="s">
        <v>205</v>
      </c>
      <c r="E131" s="150" t="s">
        <v>417</v>
      </c>
      <c r="F131" s="150" t="s">
        <v>25</v>
      </c>
      <c r="G131" s="151">
        <f>G132</f>
        <v>5000</v>
      </c>
      <c r="H131" s="158">
        <f>H132</f>
        <v>2812</v>
      </c>
      <c r="I131" s="158">
        <f t="shared" si="7"/>
        <v>56.24</v>
      </c>
    </row>
    <row r="132" spans="1:9" ht="31.5" outlineLevel="7">
      <c r="A132" s="149" t="s">
        <v>324</v>
      </c>
      <c r="B132" s="150" t="s">
        <v>15</v>
      </c>
      <c r="C132" s="150" t="s">
        <v>188</v>
      </c>
      <c r="D132" s="150" t="s">
        <v>205</v>
      </c>
      <c r="E132" s="150" t="s">
        <v>417</v>
      </c>
      <c r="F132" s="150" t="s">
        <v>325</v>
      </c>
      <c r="G132" s="151">
        <f>14000-9000</f>
        <v>5000</v>
      </c>
      <c r="H132" s="158">
        <v>2812</v>
      </c>
      <c r="I132" s="158">
        <f t="shared" si="7"/>
        <v>56.24</v>
      </c>
    </row>
    <row r="133" spans="1:9" ht="31.5" outlineLevel="5">
      <c r="A133" s="149" t="s">
        <v>418</v>
      </c>
      <c r="B133" s="150" t="s">
        <v>15</v>
      </c>
      <c r="C133" s="150" t="s">
        <v>188</v>
      </c>
      <c r="D133" s="150" t="s">
        <v>205</v>
      </c>
      <c r="E133" s="150" t="s">
        <v>419</v>
      </c>
      <c r="F133" s="150" t="s">
        <v>25</v>
      </c>
      <c r="G133" s="151">
        <f>G134</f>
        <v>2630974.35</v>
      </c>
      <c r="H133" s="158">
        <f>H134</f>
        <v>2581357.0000000005</v>
      </c>
      <c r="I133" s="158">
        <f t="shared" si="7"/>
        <v>98.11410742183786</v>
      </c>
    </row>
    <row r="134" spans="1:9" ht="31.5" outlineLevel="6">
      <c r="A134" s="149" t="s">
        <v>353</v>
      </c>
      <c r="B134" s="150" t="s">
        <v>15</v>
      </c>
      <c r="C134" s="150" t="s">
        <v>188</v>
      </c>
      <c r="D134" s="150" t="s">
        <v>205</v>
      </c>
      <c r="E134" s="150" t="s">
        <v>420</v>
      </c>
      <c r="F134" s="150" t="s">
        <v>25</v>
      </c>
      <c r="G134" s="151">
        <f>G135+G136</f>
        <v>2630974.35</v>
      </c>
      <c r="H134" s="158">
        <f>H135+H136</f>
        <v>2581357.0000000005</v>
      </c>
      <c r="I134" s="158">
        <f t="shared" si="7"/>
        <v>98.11410742183786</v>
      </c>
    </row>
    <row r="135" spans="1:9" ht="31.5" outlineLevel="7">
      <c r="A135" s="149" t="s">
        <v>324</v>
      </c>
      <c r="B135" s="150" t="s">
        <v>15</v>
      </c>
      <c r="C135" s="150" t="s">
        <v>188</v>
      </c>
      <c r="D135" s="150" t="s">
        <v>205</v>
      </c>
      <c r="E135" s="150" t="s">
        <v>420</v>
      </c>
      <c r="F135" s="150" t="s">
        <v>325</v>
      </c>
      <c r="G135" s="151">
        <f>285992.32+37570.18-23139.43</f>
        <v>300423.07</v>
      </c>
      <c r="H135" s="158">
        <v>250805.72</v>
      </c>
      <c r="I135" s="158">
        <f t="shared" si="7"/>
        <v>83.48417450097956</v>
      </c>
    </row>
    <row r="136" spans="1:9" ht="47.25" outlineLevel="7">
      <c r="A136" s="149" t="s">
        <v>386</v>
      </c>
      <c r="B136" s="150" t="s">
        <v>15</v>
      </c>
      <c r="C136" s="150" t="s">
        <v>188</v>
      </c>
      <c r="D136" s="150" t="s">
        <v>205</v>
      </c>
      <c r="E136" s="150" t="s">
        <v>420</v>
      </c>
      <c r="F136" s="150" t="s">
        <v>273</v>
      </c>
      <c r="G136" s="151">
        <f>776551.28+426480+1127520</f>
        <v>2330551.2800000003</v>
      </c>
      <c r="H136" s="158">
        <f>776551.28+426480+1127520</f>
        <v>2330551.2800000003</v>
      </c>
      <c r="I136" s="158">
        <f t="shared" si="7"/>
        <v>100</v>
      </c>
    </row>
    <row r="137" spans="1:9" ht="15.75" outlineLevel="5">
      <c r="A137" s="149" t="s">
        <v>421</v>
      </c>
      <c r="B137" s="150" t="s">
        <v>15</v>
      </c>
      <c r="C137" s="150" t="s">
        <v>188</v>
      </c>
      <c r="D137" s="150" t="s">
        <v>205</v>
      </c>
      <c r="E137" s="150" t="s">
        <v>422</v>
      </c>
      <c r="F137" s="150" t="s">
        <v>25</v>
      </c>
      <c r="G137" s="151">
        <f>G138</f>
        <v>2390</v>
      </c>
      <c r="H137" s="158">
        <f>H138</f>
        <v>0</v>
      </c>
      <c r="I137" s="158">
        <f t="shared" si="7"/>
        <v>0</v>
      </c>
    </row>
    <row r="138" spans="1:9" ht="31.5" outlineLevel="6">
      <c r="A138" s="149" t="s">
        <v>353</v>
      </c>
      <c r="B138" s="150" t="s">
        <v>15</v>
      </c>
      <c r="C138" s="150" t="s">
        <v>188</v>
      </c>
      <c r="D138" s="150" t="s">
        <v>205</v>
      </c>
      <c r="E138" s="150" t="s">
        <v>423</v>
      </c>
      <c r="F138" s="150" t="s">
        <v>25</v>
      </c>
      <c r="G138" s="151">
        <f>G139</f>
        <v>2390</v>
      </c>
      <c r="H138" s="158">
        <f>H139</f>
        <v>0</v>
      </c>
      <c r="I138" s="158">
        <f t="shared" si="7"/>
        <v>0</v>
      </c>
    </row>
    <row r="139" spans="1:9" ht="31.5" outlineLevel="7">
      <c r="A139" s="149" t="s">
        <v>324</v>
      </c>
      <c r="B139" s="150" t="s">
        <v>15</v>
      </c>
      <c r="C139" s="150" t="s">
        <v>188</v>
      </c>
      <c r="D139" s="150" t="s">
        <v>205</v>
      </c>
      <c r="E139" s="150" t="s">
        <v>423</v>
      </c>
      <c r="F139" s="150" t="s">
        <v>325</v>
      </c>
      <c r="G139" s="151">
        <v>2390</v>
      </c>
      <c r="H139" s="158">
        <v>0</v>
      </c>
      <c r="I139" s="158">
        <f t="shared" si="7"/>
        <v>0</v>
      </c>
    </row>
    <row r="140" spans="1:9" ht="31.5" outlineLevel="5">
      <c r="A140" s="149" t="s">
        <v>424</v>
      </c>
      <c r="B140" s="150" t="s">
        <v>15</v>
      </c>
      <c r="C140" s="150" t="s">
        <v>188</v>
      </c>
      <c r="D140" s="150" t="s">
        <v>205</v>
      </c>
      <c r="E140" s="150" t="s">
        <v>425</v>
      </c>
      <c r="F140" s="150" t="s">
        <v>25</v>
      </c>
      <c r="G140" s="151">
        <f>G141</f>
        <v>454660</v>
      </c>
      <c r="H140" s="158">
        <f>H141</f>
        <v>454660</v>
      </c>
      <c r="I140" s="158">
        <f t="shared" si="7"/>
        <v>100</v>
      </c>
    </row>
    <row r="141" spans="1:9" ht="31.5" outlineLevel="6">
      <c r="A141" s="149" t="s">
        <v>353</v>
      </c>
      <c r="B141" s="150" t="s">
        <v>15</v>
      </c>
      <c r="C141" s="150" t="s">
        <v>188</v>
      </c>
      <c r="D141" s="150" t="s">
        <v>205</v>
      </c>
      <c r="E141" s="150" t="s">
        <v>426</v>
      </c>
      <c r="F141" s="150" t="s">
        <v>25</v>
      </c>
      <c r="G141" s="151">
        <f>G142</f>
        <v>454660</v>
      </c>
      <c r="H141" s="158">
        <f>H142</f>
        <v>454660</v>
      </c>
      <c r="I141" s="158">
        <f t="shared" si="7"/>
        <v>100</v>
      </c>
    </row>
    <row r="142" spans="1:9" ht="31.5" outlineLevel="7">
      <c r="A142" s="149" t="s">
        <v>324</v>
      </c>
      <c r="B142" s="150" t="s">
        <v>15</v>
      </c>
      <c r="C142" s="150" t="s">
        <v>188</v>
      </c>
      <c r="D142" s="150" t="s">
        <v>205</v>
      </c>
      <c r="E142" s="150" t="s">
        <v>426</v>
      </c>
      <c r="F142" s="150" t="s">
        <v>325</v>
      </c>
      <c r="G142" s="151">
        <f>360000+98860-4200</f>
        <v>454660</v>
      </c>
      <c r="H142" s="158">
        <f>360000+98860-4200</f>
        <v>454660</v>
      </c>
      <c r="I142" s="158">
        <f t="shared" si="7"/>
        <v>100</v>
      </c>
    </row>
    <row r="143" spans="1:10" s="148" customFormat="1" ht="63" outlineLevel="4">
      <c r="A143" s="144" t="s">
        <v>427</v>
      </c>
      <c r="B143" s="145" t="s">
        <v>15</v>
      </c>
      <c r="C143" s="145" t="s">
        <v>188</v>
      </c>
      <c r="D143" s="145" t="s">
        <v>205</v>
      </c>
      <c r="E143" s="145" t="s">
        <v>428</v>
      </c>
      <c r="F143" s="145" t="s">
        <v>25</v>
      </c>
      <c r="G143" s="146">
        <f>G144</f>
        <v>21066129</v>
      </c>
      <c r="H143" s="161">
        <f>H144</f>
        <v>21046203.38</v>
      </c>
      <c r="I143" s="161">
        <f t="shared" si="7"/>
        <v>99.90541394671986</v>
      </c>
      <c r="J143" s="147"/>
    </row>
    <row r="144" spans="1:9" ht="47.25" outlineLevel="5">
      <c r="A144" s="149" t="s">
        <v>429</v>
      </c>
      <c r="B144" s="150" t="s">
        <v>15</v>
      </c>
      <c r="C144" s="150" t="s">
        <v>188</v>
      </c>
      <c r="D144" s="150" t="s">
        <v>205</v>
      </c>
      <c r="E144" s="150" t="s">
        <v>430</v>
      </c>
      <c r="F144" s="150" t="s">
        <v>25</v>
      </c>
      <c r="G144" s="151">
        <f>G145+G147+G149</f>
        <v>21066129</v>
      </c>
      <c r="H144" s="158">
        <f>H145+H147+H149</f>
        <v>21046203.38</v>
      </c>
      <c r="I144" s="158">
        <f t="shared" si="7"/>
        <v>99.90541394671986</v>
      </c>
    </row>
    <row r="145" spans="1:9" ht="78.75" outlineLevel="6">
      <c r="A145" s="149" t="s">
        <v>431</v>
      </c>
      <c r="B145" s="150" t="s">
        <v>15</v>
      </c>
      <c r="C145" s="150" t="s">
        <v>188</v>
      </c>
      <c r="D145" s="150" t="s">
        <v>205</v>
      </c>
      <c r="E145" s="150" t="s">
        <v>432</v>
      </c>
      <c r="F145" s="150" t="s">
        <v>25</v>
      </c>
      <c r="G145" s="151">
        <f>G146</f>
        <v>20627809</v>
      </c>
      <c r="H145" s="158">
        <f>H146</f>
        <v>20627809</v>
      </c>
      <c r="I145" s="158">
        <f t="shared" si="7"/>
        <v>100</v>
      </c>
    </row>
    <row r="146" spans="1:9" ht="47.25" outlineLevel="7">
      <c r="A146" s="149" t="s">
        <v>386</v>
      </c>
      <c r="B146" s="150" t="s">
        <v>15</v>
      </c>
      <c r="C146" s="150" t="s">
        <v>188</v>
      </c>
      <c r="D146" s="150" t="s">
        <v>205</v>
      </c>
      <c r="E146" s="150" t="s">
        <v>432</v>
      </c>
      <c r="F146" s="150" t="s">
        <v>273</v>
      </c>
      <c r="G146" s="151">
        <v>20627809</v>
      </c>
      <c r="H146" s="158">
        <v>20627809</v>
      </c>
      <c r="I146" s="158">
        <f t="shared" si="7"/>
        <v>100</v>
      </c>
    </row>
    <row r="147" spans="1:9" ht="78.75" outlineLevel="6">
      <c r="A147" s="149" t="s">
        <v>335</v>
      </c>
      <c r="B147" s="150" t="s">
        <v>15</v>
      </c>
      <c r="C147" s="150" t="s">
        <v>188</v>
      </c>
      <c r="D147" s="150" t="s">
        <v>205</v>
      </c>
      <c r="E147" s="150" t="s">
        <v>433</v>
      </c>
      <c r="F147" s="150" t="s">
        <v>25</v>
      </c>
      <c r="G147" s="151">
        <f>G148</f>
        <v>428228.78</v>
      </c>
      <c r="H147" s="158">
        <f>H148</f>
        <v>408303.16</v>
      </c>
      <c r="I147" s="158">
        <f t="shared" si="7"/>
        <v>95.34696850594673</v>
      </c>
    </row>
    <row r="148" spans="1:9" ht="47.25" outlineLevel="7">
      <c r="A148" s="149" t="s">
        <v>386</v>
      </c>
      <c r="B148" s="150" t="s">
        <v>15</v>
      </c>
      <c r="C148" s="150" t="s">
        <v>188</v>
      </c>
      <c r="D148" s="150" t="s">
        <v>205</v>
      </c>
      <c r="E148" s="150" t="s">
        <v>433</v>
      </c>
      <c r="F148" s="150" t="s">
        <v>273</v>
      </c>
      <c r="G148" s="151">
        <f>438320-10091.22</f>
        <v>428228.78</v>
      </c>
      <c r="H148" s="158">
        <v>408303.16</v>
      </c>
      <c r="I148" s="158">
        <f t="shared" si="7"/>
        <v>95.34696850594673</v>
      </c>
    </row>
    <row r="149" spans="1:9" ht="94.5" outlineLevel="7">
      <c r="A149" s="149" t="s">
        <v>434</v>
      </c>
      <c r="B149" s="150" t="s">
        <v>15</v>
      </c>
      <c r="C149" s="150" t="s">
        <v>188</v>
      </c>
      <c r="D149" s="150" t="s">
        <v>205</v>
      </c>
      <c r="E149" s="150" t="s">
        <v>435</v>
      </c>
      <c r="F149" s="150" t="s">
        <v>25</v>
      </c>
      <c r="G149" s="151">
        <f>G150</f>
        <v>10091.22</v>
      </c>
      <c r="H149" s="158">
        <f>H150</f>
        <v>10091.22</v>
      </c>
      <c r="I149" s="158">
        <f t="shared" si="7"/>
        <v>100</v>
      </c>
    </row>
    <row r="150" spans="1:9" ht="47.25" outlineLevel="7">
      <c r="A150" s="149" t="s">
        <v>386</v>
      </c>
      <c r="B150" s="150" t="s">
        <v>15</v>
      </c>
      <c r="C150" s="150" t="s">
        <v>188</v>
      </c>
      <c r="D150" s="150" t="s">
        <v>205</v>
      </c>
      <c r="E150" s="150" t="s">
        <v>435</v>
      </c>
      <c r="F150" s="150" t="s">
        <v>273</v>
      </c>
      <c r="G150" s="151">
        <f>10091.22</f>
        <v>10091.22</v>
      </c>
      <c r="H150" s="158">
        <f>10091.22</f>
        <v>10091.22</v>
      </c>
      <c r="I150" s="158">
        <f t="shared" si="7"/>
        <v>100</v>
      </c>
    </row>
    <row r="151" spans="1:10" s="148" customFormat="1" ht="63" outlineLevel="3">
      <c r="A151" s="144" t="s">
        <v>315</v>
      </c>
      <c r="B151" s="145" t="s">
        <v>15</v>
      </c>
      <c r="C151" s="145" t="s">
        <v>188</v>
      </c>
      <c r="D151" s="145" t="s">
        <v>205</v>
      </c>
      <c r="E151" s="145" t="s">
        <v>316</v>
      </c>
      <c r="F151" s="145" t="s">
        <v>25</v>
      </c>
      <c r="G151" s="146">
        <f>G152+G159+G166</f>
        <v>42170205.59</v>
      </c>
      <c r="H151" s="161">
        <f>H152+H159+H166</f>
        <v>41336487.69</v>
      </c>
      <c r="I151" s="161">
        <f t="shared" si="7"/>
        <v>98.02296932553321</v>
      </c>
      <c r="J151" s="147"/>
    </row>
    <row r="152" spans="1:10" s="148" customFormat="1" ht="31.5" outlineLevel="4">
      <c r="A152" s="144" t="s">
        <v>364</v>
      </c>
      <c r="B152" s="145" t="s">
        <v>15</v>
      </c>
      <c r="C152" s="145" t="s">
        <v>188</v>
      </c>
      <c r="D152" s="145" t="s">
        <v>205</v>
      </c>
      <c r="E152" s="145" t="s">
        <v>365</v>
      </c>
      <c r="F152" s="145" t="s">
        <v>25</v>
      </c>
      <c r="G152" s="146">
        <f>G153</f>
        <v>771000</v>
      </c>
      <c r="H152" s="161">
        <f>H153</f>
        <v>712664.55</v>
      </c>
      <c r="I152" s="161">
        <f t="shared" si="7"/>
        <v>92.43379377431907</v>
      </c>
      <c r="J152" s="147"/>
    </row>
    <row r="153" spans="1:9" ht="31.5" outlineLevel="5">
      <c r="A153" s="149" t="s">
        <v>436</v>
      </c>
      <c r="B153" s="150" t="s">
        <v>15</v>
      </c>
      <c r="C153" s="150" t="s">
        <v>188</v>
      </c>
      <c r="D153" s="150" t="s">
        <v>205</v>
      </c>
      <c r="E153" s="150" t="s">
        <v>437</v>
      </c>
      <c r="F153" s="150" t="s">
        <v>25</v>
      </c>
      <c r="G153" s="151">
        <f>G154+G156</f>
        <v>771000</v>
      </c>
      <c r="H153" s="158">
        <f>H154+H156</f>
        <v>712664.55</v>
      </c>
      <c r="I153" s="158">
        <f t="shared" si="7"/>
        <v>92.43379377431907</v>
      </c>
    </row>
    <row r="154" spans="1:9" ht="126" outlineLevel="6">
      <c r="A154" s="149" t="s">
        <v>438</v>
      </c>
      <c r="B154" s="150" t="s">
        <v>15</v>
      </c>
      <c r="C154" s="150" t="s">
        <v>188</v>
      </c>
      <c r="D154" s="150" t="s">
        <v>205</v>
      </c>
      <c r="E154" s="150" t="s">
        <v>439</v>
      </c>
      <c r="F154" s="150" t="s">
        <v>25</v>
      </c>
      <c r="G154" s="151">
        <f>G155</f>
        <v>6000</v>
      </c>
      <c r="H154" s="158">
        <f>H155</f>
        <v>0</v>
      </c>
      <c r="I154" s="158">
        <f t="shared" si="7"/>
        <v>0</v>
      </c>
    </row>
    <row r="155" spans="1:9" ht="31.5" outlineLevel="7">
      <c r="A155" s="149" t="s">
        <v>324</v>
      </c>
      <c r="B155" s="150" t="s">
        <v>15</v>
      </c>
      <c r="C155" s="150" t="s">
        <v>188</v>
      </c>
      <c r="D155" s="150" t="s">
        <v>205</v>
      </c>
      <c r="E155" s="150" t="s">
        <v>439</v>
      </c>
      <c r="F155" s="150" t="s">
        <v>325</v>
      </c>
      <c r="G155" s="151">
        <v>6000</v>
      </c>
      <c r="H155" s="158">
        <v>0</v>
      </c>
      <c r="I155" s="158">
        <f t="shared" si="7"/>
        <v>0</v>
      </c>
    </row>
    <row r="156" spans="1:9" ht="31.5" outlineLevel="6">
      <c r="A156" s="149" t="s">
        <v>440</v>
      </c>
      <c r="B156" s="150" t="s">
        <v>15</v>
      </c>
      <c r="C156" s="150" t="s">
        <v>188</v>
      </c>
      <c r="D156" s="150" t="s">
        <v>205</v>
      </c>
      <c r="E156" s="150" t="s">
        <v>441</v>
      </c>
      <c r="F156" s="150" t="s">
        <v>25</v>
      </c>
      <c r="G156" s="151">
        <f>G157+G158</f>
        <v>765000</v>
      </c>
      <c r="H156" s="158">
        <f>H157+H158</f>
        <v>712664.55</v>
      </c>
      <c r="I156" s="158">
        <f t="shared" si="7"/>
        <v>93.15876470588236</v>
      </c>
    </row>
    <row r="157" spans="1:9" ht="94.5" outlineLevel="7">
      <c r="A157" s="149" t="s">
        <v>323</v>
      </c>
      <c r="B157" s="150" t="s">
        <v>15</v>
      </c>
      <c r="C157" s="150" t="s">
        <v>188</v>
      </c>
      <c r="D157" s="150" t="s">
        <v>205</v>
      </c>
      <c r="E157" s="150" t="s">
        <v>441</v>
      </c>
      <c r="F157" s="150" t="s">
        <v>54</v>
      </c>
      <c r="G157" s="151">
        <v>698220.45</v>
      </c>
      <c r="H157" s="158">
        <v>671776.88</v>
      </c>
      <c r="I157" s="158">
        <f t="shared" si="7"/>
        <v>96.21271906315549</v>
      </c>
    </row>
    <row r="158" spans="1:9" ht="31.5" outlineLevel="7">
      <c r="A158" s="149" t="s">
        <v>324</v>
      </c>
      <c r="B158" s="150" t="s">
        <v>15</v>
      </c>
      <c r="C158" s="150" t="s">
        <v>188</v>
      </c>
      <c r="D158" s="150" t="s">
        <v>205</v>
      </c>
      <c r="E158" s="150" t="s">
        <v>441</v>
      </c>
      <c r="F158" s="150" t="s">
        <v>325</v>
      </c>
      <c r="G158" s="151">
        <v>66779.55</v>
      </c>
      <c r="H158" s="158">
        <v>40887.67</v>
      </c>
      <c r="I158" s="158">
        <f t="shared" si="7"/>
        <v>61.227830975201236</v>
      </c>
    </row>
    <row r="159" spans="1:10" s="148" customFormat="1" ht="31.5" outlineLevel="4">
      <c r="A159" s="144" t="s">
        <v>442</v>
      </c>
      <c r="B159" s="145" t="s">
        <v>15</v>
      </c>
      <c r="C159" s="145" t="s">
        <v>188</v>
      </c>
      <c r="D159" s="145" t="s">
        <v>205</v>
      </c>
      <c r="E159" s="145" t="s">
        <v>443</v>
      </c>
      <c r="F159" s="145" t="s">
        <v>25</v>
      </c>
      <c r="G159" s="146">
        <f>G160</f>
        <v>8050035.49</v>
      </c>
      <c r="H159" s="161">
        <f>H160</f>
        <v>8006637.72</v>
      </c>
      <c r="I159" s="161">
        <f t="shared" si="7"/>
        <v>99.46089964381014</v>
      </c>
      <c r="J159" s="147"/>
    </row>
    <row r="160" spans="1:9" ht="31.5" outlineLevel="5">
      <c r="A160" s="149" t="s">
        <v>444</v>
      </c>
      <c r="B160" s="150" t="s">
        <v>15</v>
      </c>
      <c r="C160" s="150" t="s">
        <v>188</v>
      </c>
      <c r="D160" s="150" t="s">
        <v>205</v>
      </c>
      <c r="E160" s="150" t="s">
        <v>445</v>
      </c>
      <c r="F160" s="150" t="s">
        <v>25</v>
      </c>
      <c r="G160" s="151">
        <f>G161+G164</f>
        <v>8050035.49</v>
      </c>
      <c r="H160" s="158">
        <f>H161+H164</f>
        <v>8006637.72</v>
      </c>
      <c r="I160" s="158">
        <f t="shared" si="7"/>
        <v>99.46089964381014</v>
      </c>
    </row>
    <row r="161" spans="1:9" ht="78.75" outlineLevel="6">
      <c r="A161" s="149" t="s">
        <v>431</v>
      </c>
      <c r="B161" s="150" t="s">
        <v>15</v>
      </c>
      <c r="C161" s="150" t="s">
        <v>188</v>
      </c>
      <c r="D161" s="150" t="s">
        <v>205</v>
      </c>
      <c r="E161" s="150" t="s">
        <v>446</v>
      </c>
      <c r="F161" s="150" t="s">
        <v>25</v>
      </c>
      <c r="G161" s="151">
        <f>G162+G163</f>
        <v>7874399.69</v>
      </c>
      <c r="H161" s="158">
        <f>H162+H163</f>
        <v>7831001.92</v>
      </c>
      <c r="I161" s="158">
        <f t="shared" si="7"/>
        <v>99.44887519419274</v>
      </c>
    </row>
    <row r="162" spans="1:9" ht="94.5" outlineLevel="7">
      <c r="A162" s="149" t="s">
        <v>323</v>
      </c>
      <c r="B162" s="150" t="s">
        <v>15</v>
      </c>
      <c r="C162" s="150" t="s">
        <v>188</v>
      </c>
      <c r="D162" s="150" t="s">
        <v>205</v>
      </c>
      <c r="E162" s="150" t="s">
        <v>446</v>
      </c>
      <c r="F162" s="150" t="s">
        <v>54</v>
      </c>
      <c r="G162" s="151">
        <f>6312377.99-17700.8</f>
        <v>6294677.19</v>
      </c>
      <c r="H162" s="158">
        <v>6292261.6</v>
      </c>
      <c r="I162" s="158">
        <f t="shared" si="7"/>
        <v>99.96162487881287</v>
      </c>
    </row>
    <row r="163" spans="1:9" ht="31.5" outlineLevel="7">
      <c r="A163" s="149" t="s">
        <v>324</v>
      </c>
      <c r="B163" s="150" t="s">
        <v>15</v>
      </c>
      <c r="C163" s="150" t="s">
        <v>188</v>
      </c>
      <c r="D163" s="150" t="s">
        <v>205</v>
      </c>
      <c r="E163" s="150" t="s">
        <v>446</v>
      </c>
      <c r="F163" s="150" t="s">
        <v>325</v>
      </c>
      <c r="G163" s="151">
        <f>1595270.5-15548</f>
        <v>1579722.5</v>
      </c>
      <c r="H163" s="158">
        <v>1538740.32</v>
      </c>
      <c r="I163" s="158">
        <f t="shared" si="7"/>
        <v>97.40573550101364</v>
      </c>
    </row>
    <row r="164" spans="1:9" ht="78.75" outlineLevel="6">
      <c r="A164" s="149" t="s">
        <v>335</v>
      </c>
      <c r="B164" s="150" t="s">
        <v>15</v>
      </c>
      <c r="C164" s="150" t="s">
        <v>188</v>
      </c>
      <c r="D164" s="150" t="s">
        <v>205</v>
      </c>
      <c r="E164" s="150" t="s">
        <v>447</v>
      </c>
      <c r="F164" s="150" t="s">
        <v>25</v>
      </c>
      <c r="G164" s="151">
        <f>G165</f>
        <v>175635.8</v>
      </c>
      <c r="H164" s="158">
        <f>H165</f>
        <v>175635.8</v>
      </c>
      <c r="I164" s="158">
        <f t="shared" si="7"/>
        <v>100</v>
      </c>
    </row>
    <row r="165" spans="1:9" ht="94.5" outlineLevel="7">
      <c r="A165" s="149" t="s">
        <v>323</v>
      </c>
      <c r="B165" s="150" t="s">
        <v>15</v>
      </c>
      <c r="C165" s="150" t="s">
        <v>188</v>
      </c>
      <c r="D165" s="150" t="s">
        <v>205</v>
      </c>
      <c r="E165" s="150" t="s">
        <v>447</v>
      </c>
      <c r="F165" s="150" t="s">
        <v>54</v>
      </c>
      <c r="G165" s="151">
        <f>142387+33248.8</f>
        <v>175635.8</v>
      </c>
      <c r="H165" s="158">
        <f>142387+33248.8</f>
        <v>175635.8</v>
      </c>
      <c r="I165" s="158">
        <f t="shared" si="7"/>
        <v>100</v>
      </c>
    </row>
    <row r="166" spans="1:10" s="148" customFormat="1" ht="47.25" outlineLevel="4">
      <c r="A166" s="144" t="s">
        <v>358</v>
      </c>
      <c r="B166" s="145" t="s">
        <v>15</v>
      </c>
      <c r="C166" s="145" t="s">
        <v>188</v>
      </c>
      <c r="D166" s="145" t="s">
        <v>205</v>
      </c>
      <c r="E166" s="145" t="s">
        <v>359</v>
      </c>
      <c r="F166" s="145" t="s">
        <v>25</v>
      </c>
      <c r="G166" s="146">
        <f>G167+G174+G181</f>
        <v>33349170.1</v>
      </c>
      <c r="H166" s="161">
        <f>H167+H174+H181</f>
        <v>32617185.42</v>
      </c>
      <c r="I166" s="161">
        <f t="shared" si="7"/>
        <v>97.80508876891064</v>
      </c>
      <c r="J166" s="147"/>
    </row>
    <row r="167" spans="1:9" ht="31.5" outlineLevel="5">
      <c r="A167" s="149" t="s">
        <v>448</v>
      </c>
      <c r="B167" s="150" t="s">
        <v>15</v>
      </c>
      <c r="C167" s="150" t="s">
        <v>188</v>
      </c>
      <c r="D167" s="150" t="s">
        <v>205</v>
      </c>
      <c r="E167" s="150" t="s">
        <v>449</v>
      </c>
      <c r="F167" s="150" t="s">
        <v>25</v>
      </c>
      <c r="G167" s="151">
        <f>G168+G172</f>
        <v>9792133.2</v>
      </c>
      <c r="H167" s="158">
        <f>H168+H172</f>
        <v>9420095.639999999</v>
      </c>
      <c r="I167" s="158">
        <f t="shared" si="7"/>
        <v>96.2006484960805</v>
      </c>
    </row>
    <row r="168" spans="1:9" ht="78.75" outlineLevel="6">
      <c r="A168" s="149" t="s">
        <v>431</v>
      </c>
      <c r="B168" s="150" t="s">
        <v>15</v>
      </c>
      <c r="C168" s="150" t="s">
        <v>188</v>
      </c>
      <c r="D168" s="150" t="s">
        <v>205</v>
      </c>
      <c r="E168" s="150" t="s">
        <v>450</v>
      </c>
      <c r="F168" s="150" t="s">
        <v>25</v>
      </c>
      <c r="G168" s="151">
        <f>G169+G170+G171</f>
        <v>9690632.03</v>
      </c>
      <c r="H168" s="158">
        <f>H169+H170+H171</f>
        <v>9318594.469999999</v>
      </c>
      <c r="I168" s="158">
        <f t="shared" si="7"/>
        <v>96.16085350420637</v>
      </c>
    </row>
    <row r="169" spans="1:9" ht="94.5" outlineLevel="7">
      <c r="A169" s="149" t="s">
        <v>323</v>
      </c>
      <c r="B169" s="150" t="s">
        <v>15</v>
      </c>
      <c r="C169" s="150" t="s">
        <v>188</v>
      </c>
      <c r="D169" s="150" t="s">
        <v>205</v>
      </c>
      <c r="E169" s="150" t="s">
        <v>450</v>
      </c>
      <c r="F169" s="150" t="s">
        <v>54</v>
      </c>
      <c r="G169" s="151">
        <v>7012313.76</v>
      </c>
      <c r="H169" s="158">
        <v>7012313.76</v>
      </c>
      <c r="I169" s="158">
        <f t="shared" si="7"/>
        <v>100</v>
      </c>
    </row>
    <row r="170" spans="1:9" ht="31.5" outlineLevel="7">
      <c r="A170" s="149" t="s">
        <v>324</v>
      </c>
      <c r="B170" s="150" t="s">
        <v>15</v>
      </c>
      <c r="C170" s="150" t="s">
        <v>188</v>
      </c>
      <c r="D170" s="150" t="s">
        <v>205</v>
      </c>
      <c r="E170" s="150" t="s">
        <v>450</v>
      </c>
      <c r="F170" s="150" t="s">
        <v>325</v>
      </c>
      <c r="G170" s="151">
        <f>2636908.64-94.67-2294.7</f>
        <v>2634519.27</v>
      </c>
      <c r="H170" s="158">
        <v>2262481.71</v>
      </c>
      <c r="I170" s="158">
        <f t="shared" si="7"/>
        <v>85.8783511574011</v>
      </c>
    </row>
    <row r="171" spans="1:9" ht="15.75" outlineLevel="7">
      <c r="A171" s="149" t="s">
        <v>411</v>
      </c>
      <c r="B171" s="150" t="s">
        <v>15</v>
      </c>
      <c r="C171" s="150" t="s">
        <v>188</v>
      </c>
      <c r="D171" s="150" t="s">
        <v>205</v>
      </c>
      <c r="E171" s="150" t="s">
        <v>450</v>
      </c>
      <c r="F171" s="150" t="s">
        <v>293</v>
      </c>
      <c r="G171" s="151">
        <v>43799</v>
      </c>
      <c r="H171" s="158">
        <v>43799</v>
      </c>
      <c r="I171" s="158">
        <f t="shared" si="7"/>
        <v>100</v>
      </c>
    </row>
    <row r="172" spans="1:9" ht="78.75" outlineLevel="6">
      <c r="A172" s="149" t="s">
        <v>335</v>
      </c>
      <c r="B172" s="150" t="s">
        <v>15</v>
      </c>
      <c r="C172" s="150" t="s">
        <v>188</v>
      </c>
      <c r="D172" s="150" t="s">
        <v>205</v>
      </c>
      <c r="E172" s="150" t="s">
        <v>451</v>
      </c>
      <c r="F172" s="150" t="s">
        <v>25</v>
      </c>
      <c r="G172" s="151">
        <f>G173</f>
        <v>101501.17000000001</v>
      </c>
      <c r="H172" s="158">
        <f>H173</f>
        <v>101501.17000000001</v>
      </c>
      <c r="I172" s="158">
        <f t="shared" si="7"/>
        <v>100</v>
      </c>
    </row>
    <row r="173" spans="1:9" ht="94.5" outlineLevel="7">
      <c r="A173" s="149" t="s">
        <v>323</v>
      </c>
      <c r="B173" s="150" t="s">
        <v>15</v>
      </c>
      <c r="C173" s="150" t="s">
        <v>188</v>
      </c>
      <c r="D173" s="150" t="s">
        <v>205</v>
      </c>
      <c r="E173" s="150" t="s">
        <v>451</v>
      </c>
      <c r="F173" s="150" t="s">
        <v>54</v>
      </c>
      <c r="G173" s="151">
        <f>82500+38421.32-19420.15</f>
        <v>101501.17000000001</v>
      </c>
      <c r="H173" s="158">
        <f>82500+38421.32-19420.15</f>
        <v>101501.17000000001</v>
      </c>
      <c r="I173" s="158">
        <f t="shared" si="7"/>
        <v>100</v>
      </c>
    </row>
    <row r="174" spans="1:9" ht="60" customHeight="1" outlineLevel="5">
      <c r="A174" s="149" t="s">
        <v>452</v>
      </c>
      <c r="B174" s="150" t="s">
        <v>15</v>
      </c>
      <c r="C174" s="150" t="s">
        <v>188</v>
      </c>
      <c r="D174" s="150" t="s">
        <v>205</v>
      </c>
      <c r="E174" s="150" t="s">
        <v>453</v>
      </c>
      <c r="F174" s="150" t="s">
        <v>25</v>
      </c>
      <c r="G174" s="151">
        <f>G175+G179</f>
        <v>21340159.71</v>
      </c>
      <c r="H174" s="158">
        <f>H175+H179</f>
        <v>21031690.89</v>
      </c>
      <c r="I174" s="158">
        <f t="shared" si="7"/>
        <v>98.55451494181905</v>
      </c>
    </row>
    <row r="175" spans="1:9" ht="78.75" outlineLevel="6">
      <c r="A175" s="156" t="s">
        <v>431</v>
      </c>
      <c r="B175" s="157" t="s">
        <v>15</v>
      </c>
      <c r="C175" s="157" t="s">
        <v>188</v>
      </c>
      <c r="D175" s="157" t="s">
        <v>205</v>
      </c>
      <c r="E175" s="157" t="s">
        <v>454</v>
      </c>
      <c r="F175" s="157" t="s">
        <v>25</v>
      </c>
      <c r="G175" s="158">
        <f>G176+G177+G178</f>
        <v>21095740.68</v>
      </c>
      <c r="H175" s="158">
        <f>H176+H177+H178</f>
        <v>20787271.86</v>
      </c>
      <c r="I175" s="158">
        <f t="shared" si="7"/>
        <v>98.53776729303254</v>
      </c>
    </row>
    <row r="176" spans="1:9" ht="94.5" outlineLevel="7">
      <c r="A176" s="149" t="s">
        <v>323</v>
      </c>
      <c r="B176" s="150" t="s">
        <v>15</v>
      </c>
      <c r="C176" s="150" t="s">
        <v>188</v>
      </c>
      <c r="D176" s="150" t="s">
        <v>205</v>
      </c>
      <c r="E176" s="150" t="s">
        <v>454</v>
      </c>
      <c r="F176" s="150" t="s">
        <v>54</v>
      </c>
      <c r="G176" s="151">
        <f>11601322.55+6025+377144+113897+187295.19+230582.82</f>
        <v>12516266.56</v>
      </c>
      <c r="H176" s="158">
        <v>12515638.56</v>
      </c>
      <c r="I176" s="158">
        <f t="shared" si="7"/>
        <v>99.99498252935898</v>
      </c>
    </row>
    <row r="177" spans="1:9" ht="31.5" outlineLevel="7">
      <c r="A177" s="149" t="s">
        <v>324</v>
      </c>
      <c r="B177" s="150" t="s">
        <v>15</v>
      </c>
      <c r="C177" s="150" t="s">
        <v>188</v>
      </c>
      <c r="D177" s="150" t="s">
        <v>205</v>
      </c>
      <c r="E177" s="150" t="s">
        <v>454</v>
      </c>
      <c r="F177" s="150" t="s">
        <v>325</v>
      </c>
      <c r="G177" s="151">
        <f>8706362.96-6290-211400+191094.67-11210-117736.51</f>
        <v>8550821.120000001</v>
      </c>
      <c r="H177" s="158">
        <v>8249200.3</v>
      </c>
      <c r="I177" s="158">
        <f t="shared" si="7"/>
        <v>96.47260987258261</v>
      </c>
    </row>
    <row r="178" spans="1:9" ht="15.75" outlineLevel="7">
      <c r="A178" s="149" t="s">
        <v>411</v>
      </c>
      <c r="B178" s="150" t="s">
        <v>15</v>
      </c>
      <c r="C178" s="150" t="s">
        <v>188</v>
      </c>
      <c r="D178" s="150" t="s">
        <v>205</v>
      </c>
      <c r="E178" s="150" t="s">
        <v>454</v>
      </c>
      <c r="F178" s="150" t="s">
        <v>293</v>
      </c>
      <c r="G178" s="151">
        <f>28388-5423+800+4888</f>
        <v>28653</v>
      </c>
      <c r="H178" s="158">
        <v>22433</v>
      </c>
      <c r="I178" s="158">
        <f t="shared" si="7"/>
        <v>78.291976407357</v>
      </c>
    </row>
    <row r="179" spans="1:9" ht="78.75" outlineLevel="6">
      <c r="A179" s="149" t="s">
        <v>335</v>
      </c>
      <c r="B179" s="150" t="s">
        <v>15</v>
      </c>
      <c r="C179" s="150" t="s">
        <v>188</v>
      </c>
      <c r="D179" s="150" t="s">
        <v>205</v>
      </c>
      <c r="E179" s="150" t="s">
        <v>455</v>
      </c>
      <c r="F179" s="150" t="s">
        <v>25</v>
      </c>
      <c r="G179" s="151">
        <f>G180</f>
        <v>244419.03</v>
      </c>
      <c r="H179" s="158">
        <f>H180</f>
        <v>244419.03</v>
      </c>
      <c r="I179" s="158">
        <f t="shared" si="7"/>
        <v>100</v>
      </c>
    </row>
    <row r="180" spans="1:9" ht="94.5" outlineLevel="7">
      <c r="A180" s="149" t="s">
        <v>323</v>
      </c>
      <c r="B180" s="150" t="s">
        <v>15</v>
      </c>
      <c r="C180" s="150" t="s">
        <v>188</v>
      </c>
      <c r="D180" s="150" t="s">
        <v>205</v>
      </c>
      <c r="E180" s="150" t="s">
        <v>455</v>
      </c>
      <c r="F180" s="150" t="s">
        <v>54</v>
      </c>
      <c r="G180" s="151">
        <f>167500+112090.06-35171.03</f>
        <v>244419.03</v>
      </c>
      <c r="H180" s="158">
        <f>167500+112090.06-35171.03</f>
        <v>244419.03</v>
      </c>
      <c r="I180" s="158">
        <f t="shared" si="7"/>
        <v>100</v>
      </c>
    </row>
    <row r="181" spans="1:9" ht="31.5" outlineLevel="5">
      <c r="A181" s="149" t="s">
        <v>360</v>
      </c>
      <c r="B181" s="150" t="s">
        <v>15</v>
      </c>
      <c r="C181" s="150" t="s">
        <v>188</v>
      </c>
      <c r="D181" s="150" t="s">
        <v>205</v>
      </c>
      <c r="E181" s="150" t="s">
        <v>361</v>
      </c>
      <c r="F181" s="150" t="s">
        <v>25</v>
      </c>
      <c r="G181" s="151">
        <f>G182+G187+G185</f>
        <v>2216877.19</v>
      </c>
      <c r="H181" s="158">
        <f>H182+H187+H185</f>
        <v>2165398.8899999997</v>
      </c>
      <c r="I181" s="158">
        <f t="shared" si="7"/>
        <v>97.67789121417229</v>
      </c>
    </row>
    <row r="182" spans="1:9" ht="78.75" outlineLevel="6">
      <c r="A182" s="149" t="s">
        <v>431</v>
      </c>
      <c r="B182" s="150" t="s">
        <v>15</v>
      </c>
      <c r="C182" s="150" t="s">
        <v>188</v>
      </c>
      <c r="D182" s="150" t="s">
        <v>205</v>
      </c>
      <c r="E182" s="150" t="s">
        <v>456</v>
      </c>
      <c r="F182" s="150" t="s">
        <v>25</v>
      </c>
      <c r="G182" s="151">
        <f>G183+G184</f>
        <v>1785019.7</v>
      </c>
      <c r="H182" s="158">
        <f>H183+H184</f>
        <v>1749711.45</v>
      </c>
      <c r="I182" s="158">
        <f t="shared" si="7"/>
        <v>98.02196860908595</v>
      </c>
    </row>
    <row r="183" spans="1:9" ht="94.5" outlineLevel="7">
      <c r="A183" s="149" t="s">
        <v>323</v>
      </c>
      <c r="B183" s="150" t="s">
        <v>15</v>
      </c>
      <c r="C183" s="150" t="s">
        <v>188</v>
      </c>
      <c r="D183" s="150" t="s">
        <v>205</v>
      </c>
      <c r="E183" s="150" t="s">
        <v>456</v>
      </c>
      <c r="F183" s="150" t="s">
        <v>54</v>
      </c>
      <c r="G183" s="151">
        <f>1466478-377144-113897</f>
        <v>975437</v>
      </c>
      <c r="H183" s="158">
        <v>972290</v>
      </c>
      <c r="I183" s="158">
        <f t="shared" si="7"/>
        <v>99.67737537124385</v>
      </c>
    </row>
    <row r="184" spans="1:9" ht="31.5" outlineLevel="7">
      <c r="A184" s="156" t="s">
        <v>324</v>
      </c>
      <c r="B184" s="157" t="s">
        <v>15</v>
      </c>
      <c r="C184" s="157" t="s">
        <v>188</v>
      </c>
      <c r="D184" s="157" t="s">
        <v>205</v>
      </c>
      <c r="E184" s="157" t="s">
        <v>456</v>
      </c>
      <c r="F184" s="157" t="s">
        <v>325</v>
      </c>
      <c r="G184" s="158">
        <f>848530-13913.91+3829.82-53750+11282.66+13604.13</f>
        <v>809582.7</v>
      </c>
      <c r="H184" s="158">
        <v>777421.45</v>
      </c>
      <c r="I184" s="158">
        <f t="shared" si="7"/>
        <v>96.02742869876049</v>
      </c>
    </row>
    <row r="185" spans="1:9" ht="78.75" outlineLevel="7">
      <c r="A185" s="156" t="s">
        <v>335</v>
      </c>
      <c r="B185" s="157" t="s">
        <v>15</v>
      </c>
      <c r="C185" s="157" t="s">
        <v>188</v>
      </c>
      <c r="D185" s="157" t="s">
        <v>205</v>
      </c>
      <c r="E185" s="157" t="s">
        <v>457</v>
      </c>
      <c r="F185" s="157" t="s">
        <v>25</v>
      </c>
      <c r="G185" s="158">
        <f>G186</f>
        <v>40788.840000000004</v>
      </c>
      <c r="H185" s="158">
        <f>H186</f>
        <v>40788.840000000004</v>
      </c>
      <c r="I185" s="158">
        <f t="shared" si="7"/>
        <v>100</v>
      </c>
    </row>
    <row r="186" spans="1:9" ht="94.5" outlineLevel="7">
      <c r="A186" s="149" t="s">
        <v>323</v>
      </c>
      <c r="B186" s="157" t="s">
        <v>15</v>
      </c>
      <c r="C186" s="157" t="s">
        <v>188</v>
      </c>
      <c r="D186" s="157" t="s">
        <v>205</v>
      </c>
      <c r="E186" s="157" t="s">
        <v>457</v>
      </c>
      <c r="F186" s="157" t="s">
        <v>54</v>
      </c>
      <c r="G186" s="158">
        <f>45723.8-4934.96</f>
        <v>40788.840000000004</v>
      </c>
      <c r="H186" s="158">
        <f>45723.8-4934.96</f>
        <v>40788.840000000004</v>
      </c>
      <c r="I186" s="158">
        <f t="shared" si="7"/>
        <v>100</v>
      </c>
    </row>
    <row r="187" spans="1:9" ht="31.5" outlineLevel="6">
      <c r="A187" s="156" t="s">
        <v>353</v>
      </c>
      <c r="B187" s="157" t="s">
        <v>15</v>
      </c>
      <c r="C187" s="157" t="s">
        <v>188</v>
      </c>
      <c r="D187" s="157" t="s">
        <v>205</v>
      </c>
      <c r="E187" s="157" t="s">
        <v>362</v>
      </c>
      <c r="F187" s="157" t="s">
        <v>25</v>
      </c>
      <c r="G187" s="158">
        <f>G188</f>
        <v>391068.65</v>
      </c>
      <c r="H187" s="158">
        <f>H188</f>
        <v>374898.6</v>
      </c>
      <c r="I187" s="158">
        <f t="shared" si="7"/>
        <v>95.86516331595487</v>
      </c>
    </row>
    <row r="188" spans="1:9" ht="31.5" outlineLevel="7">
      <c r="A188" s="156" t="s">
        <v>324</v>
      </c>
      <c r="B188" s="157" t="s">
        <v>15</v>
      </c>
      <c r="C188" s="157" t="s">
        <v>188</v>
      </c>
      <c r="D188" s="157" t="s">
        <v>205</v>
      </c>
      <c r="E188" s="157" t="s">
        <v>362</v>
      </c>
      <c r="F188" s="157" t="s">
        <v>325</v>
      </c>
      <c r="G188" s="158">
        <v>391068.65</v>
      </c>
      <c r="H188" s="158">
        <v>374898.6</v>
      </c>
      <c r="I188" s="158">
        <f t="shared" si="7"/>
        <v>95.86516331595487</v>
      </c>
    </row>
    <row r="189" spans="1:10" s="148" customFormat="1" ht="15.75" outlineLevel="3">
      <c r="A189" s="159" t="s">
        <v>329</v>
      </c>
      <c r="B189" s="160" t="s">
        <v>15</v>
      </c>
      <c r="C189" s="160" t="s">
        <v>188</v>
      </c>
      <c r="D189" s="160" t="s">
        <v>205</v>
      </c>
      <c r="E189" s="160" t="s">
        <v>330</v>
      </c>
      <c r="F189" s="160" t="s">
        <v>25</v>
      </c>
      <c r="G189" s="161">
        <f>G190+G193</f>
        <v>695758.33</v>
      </c>
      <c r="H189" s="161">
        <f>H190+H193</f>
        <v>638707.76</v>
      </c>
      <c r="I189" s="161">
        <f t="shared" si="7"/>
        <v>91.80023184199607</v>
      </c>
      <c r="J189" s="147"/>
    </row>
    <row r="190" spans="1:9" ht="31.5" outlineLevel="6">
      <c r="A190" s="156" t="s">
        <v>458</v>
      </c>
      <c r="B190" s="157" t="s">
        <v>15</v>
      </c>
      <c r="C190" s="157" t="s">
        <v>188</v>
      </c>
      <c r="D190" s="157" t="s">
        <v>205</v>
      </c>
      <c r="E190" s="157" t="s">
        <v>459</v>
      </c>
      <c r="F190" s="157" t="s">
        <v>25</v>
      </c>
      <c r="G190" s="158">
        <f>G191+G192</f>
        <v>645754.4199999999</v>
      </c>
      <c r="H190" s="158">
        <f>H191+H192</f>
        <v>594423.85</v>
      </c>
      <c r="I190" s="158">
        <f t="shared" si="7"/>
        <v>92.0510695071975</v>
      </c>
    </row>
    <row r="191" spans="1:9" ht="31.5" outlineLevel="7">
      <c r="A191" s="156" t="s">
        <v>324</v>
      </c>
      <c r="B191" s="157" t="s">
        <v>15</v>
      </c>
      <c r="C191" s="157" t="s">
        <v>188</v>
      </c>
      <c r="D191" s="157" t="s">
        <v>205</v>
      </c>
      <c r="E191" s="157" t="s">
        <v>459</v>
      </c>
      <c r="F191" s="157" t="s">
        <v>325</v>
      </c>
      <c r="G191" s="158">
        <f>249000-51150</f>
        <v>197850</v>
      </c>
      <c r="H191" s="158">
        <f>249000-51150</f>
        <v>197850</v>
      </c>
      <c r="I191" s="158">
        <f aca="true" t="shared" si="8" ref="I191:I254">H191/G191*100</f>
        <v>100</v>
      </c>
    </row>
    <row r="192" spans="1:9" ht="15.75" outlineLevel="7">
      <c r="A192" s="156" t="s">
        <v>411</v>
      </c>
      <c r="B192" s="157" t="s">
        <v>15</v>
      </c>
      <c r="C192" s="157" t="s">
        <v>188</v>
      </c>
      <c r="D192" s="157" t="s">
        <v>205</v>
      </c>
      <c r="E192" s="157" t="s">
        <v>459</v>
      </c>
      <c r="F192" s="157" t="s">
        <v>293</v>
      </c>
      <c r="G192" s="158">
        <f>487764.42-39860</f>
        <v>447904.42</v>
      </c>
      <c r="H192" s="158">
        <v>396573.85</v>
      </c>
      <c r="I192" s="158">
        <f t="shared" si="8"/>
        <v>88.53983847714653</v>
      </c>
    </row>
    <row r="193" spans="1:9" ht="31.5" outlineLevel="7">
      <c r="A193" s="67" t="s">
        <v>460</v>
      </c>
      <c r="B193" s="68" t="s">
        <v>15</v>
      </c>
      <c r="C193" s="68" t="s">
        <v>188</v>
      </c>
      <c r="D193" s="68" t="s">
        <v>205</v>
      </c>
      <c r="E193" s="68" t="s">
        <v>461</v>
      </c>
      <c r="F193" s="68" t="s">
        <v>25</v>
      </c>
      <c r="G193" s="161">
        <f>G194+G196+G195</f>
        <v>50003.91</v>
      </c>
      <c r="H193" s="161">
        <f>H194+H196+H195</f>
        <v>44283.91</v>
      </c>
      <c r="I193" s="161">
        <f t="shared" si="8"/>
        <v>88.56089453804714</v>
      </c>
    </row>
    <row r="194" spans="1:9" ht="94.5" outlineLevel="7">
      <c r="A194" s="156" t="s">
        <v>323</v>
      </c>
      <c r="B194" s="73" t="s">
        <v>15</v>
      </c>
      <c r="C194" s="73" t="s">
        <v>188</v>
      </c>
      <c r="D194" s="73" t="s">
        <v>205</v>
      </c>
      <c r="E194" s="73" t="s">
        <v>461</v>
      </c>
      <c r="F194" s="162">
        <v>100</v>
      </c>
      <c r="G194" s="163">
        <f>13913.91-1082.11</f>
        <v>12831.8</v>
      </c>
      <c r="H194" s="163">
        <f>13913.91-1082.11</f>
        <v>12831.8</v>
      </c>
      <c r="I194" s="158">
        <f t="shared" si="8"/>
        <v>100</v>
      </c>
    </row>
    <row r="195" spans="1:9" ht="33.75" customHeight="1" outlineLevel="7">
      <c r="A195" s="156" t="s">
        <v>462</v>
      </c>
      <c r="B195" s="164" t="s">
        <v>15</v>
      </c>
      <c r="C195" s="165" t="s">
        <v>188</v>
      </c>
      <c r="D195" s="165" t="s">
        <v>205</v>
      </c>
      <c r="E195" s="73" t="s">
        <v>461</v>
      </c>
      <c r="F195" s="166">
        <v>300</v>
      </c>
      <c r="G195" s="163">
        <f>29090</f>
        <v>29090</v>
      </c>
      <c r="H195" s="163">
        <v>23370</v>
      </c>
      <c r="I195" s="158">
        <f t="shared" si="8"/>
        <v>80.33688552767273</v>
      </c>
    </row>
    <row r="196" spans="1:9" ht="15.75" outlineLevel="7">
      <c r="A196" s="156" t="s">
        <v>411</v>
      </c>
      <c r="B196" s="157" t="s">
        <v>15</v>
      </c>
      <c r="C196" s="157" t="s">
        <v>188</v>
      </c>
      <c r="D196" s="157" t="s">
        <v>205</v>
      </c>
      <c r="E196" s="73" t="s">
        <v>461</v>
      </c>
      <c r="F196" s="157" t="s">
        <v>293</v>
      </c>
      <c r="G196" s="163">
        <f>1082.11+7000</f>
        <v>8082.11</v>
      </c>
      <c r="H196" s="163">
        <f>1082.11+7000</f>
        <v>8082.11</v>
      </c>
      <c r="I196" s="158">
        <f t="shared" si="8"/>
        <v>100</v>
      </c>
    </row>
    <row r="197" spans="1:10" s="148" customFormat="1" ht="47.25" outlineLevel="1">
      <c r="A197" s="144" t="s">
        <v>463</v>
      </c>
      <c r="B197" s="145" t="s">
        <v>15</v>
      </c>
      <c r="C197" s="145" t="s">
        <v>193</v>
      </c>
      <c r="D197" s="145" t="s">
        <v>189</v>
      </c>
      <c r="E197" s="145" t="s">
        <v>313</v>
      </c>
      <c r="F197" s="145" t="s">
        <v>25</v>
      </c>
      <c r="G197" s="146">
        <f>G198+G205+G236</f>
        <v>40709828.73</v>
      </c>
      <c r="H197" s="161">
        <f>H198+H205+H236</f>
        <v>40019533.74</v>
      </c>
      <c r="I197" s="161">
        <f t="shared" si="8"/>
        <v>98.30435299893242</v>
      </c>
      <c r="J197" s="147"/>
    </row>
    <row r="198" spans="1:10" s="148" customFormat="1" ht="15.75" outlineLevel="2">
      <c r="A198" s="144" t="s">
        <v>207</v>
      </c>
      <c r="B198" s="145" t="s">
        <v>15</v>
      </c>
      <c r="C198" s="145" t="s">
        <v>193</v>
      </c>
      <c r="D198" s="145" t="s">
        <v>195</v>
      </c>
      <c r="E198" s="145" t="s">
        <v>313</v>
      </c>
      <c r="F198" s="145" t="s">
        <v>25</v>
      </c>
      <c r="G198" s="146">
        <f aca="true" t="shared" si="9" ref="G198:H201">G199</f>
        <v>2200200</v>
      </c>
      <c r="H198" s="161">
        <f t="shared" si="9"/>
        <v>2187548.44</v>
      </c>
      <c r="I198" s="161">
        <f t="shared" si="8"/>
        <v>99.42498136533042</v>
      </c>
      <c r="J198" s="147"/>
    </row>
    <row r="199" spans="1:10" s="148" customFormat="1" ht="63" outlineLevel="3">
      <c r="A199" s="144" t="s">
        <v>315</v>
      </c>
      <c r="B199" s="145" t="s">
        <v>15</v>
      </c>
      <c r="C199" s="145" t="s">
        <v>193</v>
      </c>
      <c r="D199" s="145" t="s">
        <v>195</v>
      </c>
      <c r="E199" s="145" t="s">
        <v>316</v>
      </c>
      <c r="F199" s="145" t="s">
        <v>25</v>
      </c>
      <c r="G199" s="146">
        <f t="shared" si="9"/>
        <v>2200200</v>
      </c>
      <c r="H199" s="161">
        <f t="shared" si="9"/>
        <v>2187548.44</v>
      </c>
      <c r="I199" s="161">
        <f t="shared" si="8"/>
        <v>99.42498136533042</v>
      </c>
      <c r="J199" s="147"/>
    </row>
    <row r="200" spans="1:10" s="148" customFormat="1" ht="31.5" outlineLevel="4">
      <c r="A200" s="144" t="s">
        <v>364</v>
      </c>
      <c r="B200" s="145" t="s">
        <v>15</v>
      </c>
      <c r="C200" s="145" t="s">
        <v>193</v>
      </c>
      <c r="D200" s="145" t="s">
        <v>195</v>
      </c>
      <c r="E200" s="145" t="s">
        <v>365</v>
      </c>
      <c r="F200" s="145" t="s">
        <v>25</v>
      </c>
      <c r="G200" s="146">
        <f t="shared" si="9"/>
        <v>2200200</v>
      </c>
      <c r="H200" s="161">
        <f t="shared" si="9"/>
        <v>2187548.44</v>
      </c>
      <c r="I200" s="161">
        <f t="shared" si="8"/>
        <v>99.42498136533042</v>
      </c>
      <c r="J200" s="147"/>
    </row>
    <row r="201" spans="1:9" ht="47.25" outlineLevel="5">
      <c r="A201" s="149" t="s">
        <v>464</v>
      </c>
      <c r="B201" s="150" t="s">
        <v>15</v>
      </c>
      <c r="C201" s="150" t="s">
        <v>193</v>
      </c>
      <c r="D201" s="150" t="s">
        <v>195</v>
      </c>
      <c r="E201" s="150" t="s">
        <v>465</v>
      </c>
      <c r="F201" s="150" t="s">
        <v>25</v>
      </c>
      <c r="G201" s="151">
        <f t="shared" si="9"/>
        <v>2200200</v>
      </c>
      <c r="H201" s="158">
        <f t="shared" si="9"/>
        <v>2187548.44</v>
      </c>
      <c r="I201" s="158">
        <f t="shared" si="8"/>
        <v>99.42498136533042</v>
      </c>
    </row>
    <row r="202" spans="1:9" ht="126" outlineLevel="6">
      <c r="A202" s="149" t="s">
        <v>466</v>
      </c>
      <c r="B202" s="150" t="s">
        <v>15</v>
      </c>
      <c r="C202" s="150" t="s">
        <v>193</v>
      </c>
      <c r="D202" s="150" t="s">
        <v>195</v>
      </c>
      <c r="E202" s="150" t="s">
        <v>467</v>
      </c>
      <c r="F202" s="150" t="s">
        <v>25</v>
      </c>
      <c r="G202" s="151">
        <f>G203+G204</f>
        <v>2200200</v>
      </c>
      <c r="H202" s="158">
        <f>H203+H204</f>
        <v>2187548.44</v>
      </c>
      <c r="I202" s="158">
        <f t="shared" si="8"/>
        <v>99.42498136533042</v>
      </c>
    </row>
    <row r="203" spans="1:9" ht="94.5" outlineLevel="7">
      <c r="A203" s="149" t="s">
        <v>323</v>
      </c>
      <c r="B203" s="150" t="s">
        <v>15</v>
      </c>
      <c r="C203" s="150" t="s">
        <v>193</v>
      </c>
      <c r="D203" s="150" t="s">
        <v>195</v>
      </c>
      <c r="E203" s="150" t="s">
        <v>467</v>
      </c>
      <c r="F203" s="150" t="s">
        <v>54</v>
      </c>
      <c r="G203" s="151">
        <f>1772478.95+214119.44+54572.48-138354.69-3510.4-35654.23</f>
        <v>1863651.55</v>
      </c>
      <c r="H203" s="158">
        <f>1772478.95+214119.44+54572.48-138354.69-3510.4-35654.23</f>
        <v>1863651.55</v>
      </c>
      <c r="I203" s="158">
        <f t="shared" si="8"/>
        <v>100</v>
      </c>
    </row>
    <row r="204" spans="1:9" ht="31.5" outlineLevel="7">
      <c r="A204" s="149" t="s">
        <v>324</v>
      </c>
      <c r="B204" s="150" t="s">
        <v>15</v>
      </c>
      <c r="C204" s="150" t="s">
        <v>193</v>
      </c>
      <c r="D204" s="150" t="s">
        <v>195</v>
      </c>
      <c r="E204" s="150" t="s">
        <v>467</v>
      </c>
      <c r="F204" s="150" t="s">
        <v>325</v>
      </c>
      <c r="G204" s="151">
        <f>358521.05+538800-268691.92-292080.68</f>
        <v>336548.4500000001</v>
      </c>
      <c r="H204" s="158">
        <v>323896.89</v>
      </c>
      <c r="I204" s="158">
        <f t="shared" si="8"/>
        <v>96.24079088761214</v>
      </c>
    </row>
    <row r="205" spans="1:10" s="148" customFormat="1" ht="63" outlineLevel="2">
      <c r="A205" s="144" t="s">
        <v>468</v>
      </c>
      <c r="B205" s="145" t="s">
        <v>15</v>
      </c>
      <c r="C205" s="145" t="s">
        <v>193</v>
      </c>
      <c r="D205" s="145" t="s">
        <v>209</v>
      </c>
      <c r="E205" s="145" t="s">
        <v>313</v>
      </c>
      <c r="F205" s="145" t="s">
        <v>25</v>
      </c>
      <c r="G205" s="146">
        <f>G206+G231</f>
        <v>38437688.73</v>
      </c>
      <c r="H205" s="161">
        <f>H206+H231</f>
        <v>37801585.7</v>
      </c>
      <c r="I205" s="161">
        <f t="shared" si="8"/>
        <v>98.34510593374068</v>
      </c>
      <c r="J205" s="147"/>
    </row>
    <row r="206" spans="1:10" s="148" customFormat="1" ht="47.25" outlineLevel="3">
      <c r="A206" s="144" t="s">
        <v>387</v>
      </c>
      <c r="B206" s="145" t="s">
        <v>15</v>
      </c>
      <c r="C206" s="145" t="s">
        <v>193</v>
      </c>
      <c r="D206" s="145" t="s">
        <v>209</v>
      </c>
      <c r="E206" s="145" t="s">
        <v>388</v>
      </c>
      <c r="F206" s="145" t="s">
        <v>25</v>
      </c>
      <c r="G206" s="146">
        <f>G207+G211</f>
        <v>38113441.68</v>
      </c>
      <c r="H206" s="161">
        <f>H207+H211</f>
        <v>37488862.300000004</v>
      </c>
      <c r="I206" s="161">
        <f t="shared" si="8"/>
        <v>98.36126218869458</v>
      </c>
      <c r="J206" s="147"/>
    </row>
    <row r="207" spans="1:10" s="148" customFormat="1" ht="47.25" hidden="1" outlineLevel="4">
      <c r="A207" s="144" t="s">
        <v>389</v>
      </c>
      <c r="B207" s="145" t="s">
        <v>15</v>
      </c>
      <c r="C207" s="145" t="s">
        <v>193</v>
      </c>
      <c r="D207" s="145" t="s">
        <v>209</v>
      </c>
      <c r="E207" s="145" t="s">
        <v>390</v>
      </c>
      <c r="F207" s="145" t="s">
        <v>25</v>
      </c>
      <c r="G207" s="146">
        <f aca="true" t="shared" si="10" ref="G207:H209">G208</f>
        <v>0</v>
      </c>
      <c r="H207" s="161">
        <f t="shared" si="10"/>
        <v>0</v>
      </c>
      <c r="I207" s="161" t="e">
        <f t="shared" si="8"/>
        <v>#DIV/0!</v>
      </c>
      <c r="J207" s="147"/>
    </row>
    <row r="208" spans="1:9" ht="94.5" hidden="1" outlineLevel="5">
      <c r="A208" s="149" t="s">
        <v>469</v>
      </c>
      <c r="B208" s="150" t="s">
        <v>15</v>
      </c>
      <c r="C208" s="150" t="s">
        <v>193</v>
      </c>
      <c r="D208" s="150" t="s">
        <v>209</v>
      </c>
      <c r="E208" s="150" t="s">
        <v>399</v>
      </c>
      <c r="F208" s="150" t="s">
        <v>25</v>
      </c>
      <c r="G208" s="151">
        <f t="shared" si="10"/>
        <v>0</v>
      </c>
      <c r="H208" s="158">
        <f t="shared" si="10"/>
        <v>0</v>
      </c>
      <c r="I208" s="161" t="e">
        <f t="shared" si="8"/>
        <v>#DIV/0!</v>
      </c>
    </row>
    <row r="209" spans="1:9" ht="31.5" hidden="1" outlineLevel="6">
      <c r="A209" s="149" t="s">
        <v>353</v>
      </c>
      <c r="B209" s="150" t="s">
        <v>15</v>
      </c>
      <c r="C209" s="150" t="s">
        <v>193</v>
      </c>
      <c r="D209" s="150" t="s">
        <v>209</v>
      </c>
      <c r="E209" s="150" t="s">
        <v>400</v>
      </c>
      <c r="F209" s="150" t="s">
        <v>25</v>
      </c>
      <c r="G209" s="151">
        <f t="shared" si="10"/>
        <v>0</v>
      </c>
      <c r="H209" s="158">
        <f t="shared" si="10"/>
        <v>0</v>
      </c>
      <c r="I209" s="161" t="e">
        <f t="shared" si="8"/>
        <v>#DIV/0!</v>
      </c>
    </row>
    <row r="210" spans="1:9" ht="31.5" hidden="1" outlineLevel="7">
      <c r="A210" s="149" t="s">
        <v>324</v>
      </c>
      <c r="B210" s="150" t="s">
        <v>15</v>
      </c>
      <c r="C210" s="150" t="s">
        <v>193</v>
      </c>
      <c r="D210" s="150" t="s">
        <v>209</v>
      </c>
      <c r="E210" s="150" t="s">
        <v>400</v>
      </c>
      <c r="F210" s="150" t="s">
        <v>325</v>
      </c>
      <c r="G210" s="151">
        <f>71940-71940</f>
        <v>0</v>
      </c>
      <c r="H210" s="158">
        <f>71940-71940</f>
        <v>0</v>
      </c>
      <c r="I210" s="161" t="e">
        <f t="shared" si="8"/>
        <v>#DIV/0!</v>
      </c>
    </row>
    <row r="211" spans="1:10" s="148" customFormat="1" ht="63" outlineLevel="4" collapsed="1">
      <c r="A211" s="144" t="s">
        <v>470</v>
      </c>
      <c r="B211" s="145" t="s">
        <v>15</v>
      </c>
      <c r="C211" s="145" t="s">
        <v>193</v>
      </c>
      <c r="D211" s="145" t="s">
        <v>209</v>
      </c>
      <c r="E211" s="145" t="s">
        <v>471</v>
      </c>
      <c r="F211" s="145" t="s">
        <v>25</v>
      </c>
      <c r="G211" s="146">
        <f>G212+G215+G222+G225+G228</f>
        <v>38113441.68</v>
      </c>
      <c r="H211" s="161">
        <f>H212+H215+H222+H225+H228</f>
        <v>37488862.300000004</v>
      </c>
      <c r="I211" s="161">
        <f t="shared" si="8"/>
        <v>98.36126218869458</v>
      </c>
      <c r="J211" s="147"/>
    </row>
    <row r="212" spans="1:9" ht="47.25" outlineLevel="5">
      <c r="A212" s="149" t="s">
        <v>472</v>
      </c>
      <c r="B212" s="150" t="s">
        <v>15</v>
      </c>
      <c r="C212" s="150" t="s">
        <v>193</v>
      </c>
      <c r="D212" s="150" t="s">
        <v>209</v>
      </c>
      <c r="E212" s="150" t="s">
        <v>473</v>
      </c>
      <c r="F212" s="150" t="s">
        <v>25</v>
      </c>
      <c r="G212" s="151">
        <f>G213</f>
        <v>201386</v>
      </c>
      <c r="H212" s="158">
        <f>H213</f>
        <v>194309.2</v>
      </c>
      <c r="I212" s="158">
        <f t="shared" si="8"/>
        <v>96.48595235021304</v>
      </c>
    </row>
    <row r="213" spans="1:9" ht="31.5" outlineLevel="6">
      <c r="A213" s="149" t="s">
        <v>353</v>
      </c>
      <c r="B213" s="150" t="s">
        <v>15</v>
      </c>
      <c r="C213" s="150" t="s">
        <v>193</v>
      </c>
      <c r="D213" s="150" t="s">
        <v>209</v>
      </c>
      <c r="E213" s="150" t="s">
        <v>474</v>
      </c>
      <c r="F213" s="150" t="s">
        <v>25</v>
      </c>
      <c r="G213" s="151">
        <f>G214</f>
        <v>201386</v>
      </c>
      <c r="H213" s="158">
        <f>H214</f>
        <v>194309.2</v>
      </c>
      <c r="I213" s="158">
        <f t="shared" si="8"/>
        <v>96.48595235021304</v>
      </c>
    </row>
    <row r="214" spans="1:9" ht="31.5" outlineLevel="7">
      <c r="A214" s="149" t="s">
        <v>324</v>
      </c>
      <c r="B214" s="150" t="s">
        <v>15</v>
      </c>
      <c r="C214" s="150" t="s">
        <v>193</v>
      </c>
      <c r="D214" s="150" t="s">
        <v>209</v>
      </c>
      <c r="E214" s="150" t="s">
        <v>474</v>
      </c>
      <c r="F214" s="150" t="s">
        <v>325</v>
      </c>
      <c r="G214" s="151">
        <f>190060.8+11325.2</f>
        <v>201386</v>
      </c>
      <c r="H214" s="158">
        <v>194309.2</v>
      </c>
      <c r="I214" s="158">
        <f t="shared" si="8"/>
        <v>96.48595235021304</v>
      </c>
    </row>
    <row r="215" spans="1:9" ht="63" outlineLevel="5">
      <c r="A215" s="149" t="s">
        <v>475</v>
      </c>
      <c r="B215" s="150" t="s">
        <v>15</v>
      </c>
      <c r="C215" s="150" t="s">
        <v>193</v>
      </c>
      <c r="D215" s="150" t="s">
        <v>209</v>
      </c>
      <c r="E215" s="150" t="s">
        <v>476</v>
      </c>
      <c r="F215" s="150" t="s">
        <v>25</v>
      </c>
      <c r="G215" s="151">
        <f>G216+G220</f>
        <v>36106399.13</v>
      </c>
      <c r="H215" s="158">
        <f>H216+H220</f>
        <v>35491493.86</v>
      </c>
      <c r="I215" s="158">
        <f t="shared" si="8"/>
        <v>98.29696318432072</v>
      </c>
    </row>
    <row r="216" spans="1:9" ht="78.75" outlineLevel="6">
      <c r="A216" s="149" t="s">
        <v>431</v>
      </c>
      <c r="B216" s="150" t="s">
        <v>15</v>
      </c>
      <c r="C216" s="150" t="s">
        <v>193</v>
      </c>
      <c r="D216" s="150" t="s">
        <v>209</v>
      </c>
      <c r="E216" s="150" t="s">
        <v>477</v>
      </c>
      <c r="F216" s="150" t="s">
        <v>25</v>
      </c>
      <c r="G216" s="151">
        <f>G217+G218+G219</f>
        <v>35741124.59</v>
      </c>
      <c r="H216" s="158">
        <f>H217+H218+H219</f>
        <v>35126219.32</v>
      </c>
      <c r="I216" s="158">
        <f t="shared" si="8"/>
        <v>98.27955813630989</v>
      </c>
    </row>
    <row r="217" spans="1:9" ht="94.5" outlineLevel="7">
      <c r="A217" s="149" t="s">
        <v>323</v>
      </c>
      <c r="B217" s="150" t="s">
        <v>15</v>
      </c>
      <c r="C217" s="150" t="s">
        <v>193</v>
      </c>
      <c r="D217" s="150" t="s">
        <v>209</v>
      </c>
      <c r="E217" s="150" t="s">
        <v>477</v>
      </c>
      <c r="F217" s="150" t="s">
        <v>54</v>
      </c>
      <c r="G217" s="151">
        <f>30196601.62+223235.46</f>
        <v>30419837.080000002</v>
      </c>
      <c r="H217" s="158">
        <v>30356742.83</v>
      </c>
      <c r="I217" s="158">
        <f t="shared" si="8"/>
        <v>99.79258846839294</v>
      </c>
    </row>
    <row r="218" spans="1:9" ht="31.5" outlineLevel="7">
      <c r="A218" s="149" t="s">
        <v>324</v>
      </c>
      <c r="B218" s="150" t="s">
        <v>15</v>
      </c>
      <c r="C218" s="150" t="s">
        <v>193</v>
      </c>
      <c r="D218" s="150" t="s">
        <v>209</v>
      </c>
      <c r="E218" s="150" t="s">
        <v>477</v>
      </c>
      <c r="F218" s="150" t="s">
        <v>325</v>
      </c>
      <c r="G218" s="151">
        <f>5255187.63+19435.3-28187.59+10606.67-100000</f>
        <v>5157042.01</v>
      </c>
      <c r="H218" s="158">
        <v>4608209.49</v>
      </c>
      <c r="I218" s="158">
        <f t="shared" si="8"/>
        <v>89.35761006143133</v>
      </c>
    </row>
    <row r="219" spans="1:9" ht="15.75" outlineLevel="7">
      <c r="A219" s="149" t="s">
        <v>411</v>
      </c>
      <c r="B219" s="150" t="s">
        <v>15</v>
      </c>
      <c r="C219" s="150" t="s">
        <v>193</v>
      </c>
      <c r="D219" s="150" t="s">
        <v>209</v>
      </c>
      <c r="E219" s="150" t="s">
        <v>477</v>
      </c>
      <c r="F219" s="150" t="s">
        <v>293</v>
      </c>
      <c r="G219" s="151">
        <v>164245.5</v>
      </c>
      <c r="H219" s="158">
        <v>161267</v>
      </c>
      <c r="I219" s="158">
        <f t="shared" si="8"/>
        <v>98.18655610047155</v>
      </c>
    </row>
    <row r="220" spans="1:9" ht="78.75" outlineLevel="6">
      <c r="A220" s="149" t="s">
        <v>335</v>
      </c>
      <c r="B220" s="150" t="s">
        <v>15</v>
      </c>
      <c r="C220" s="150" t="s">
        <v>193</v>
      </c>
      <c r="D220" s="150" t="s">
        <v>209</v>
      </c>
      <c r="E220" s="150" t="s">
        <v>478</v>
      </c>
      <c r="F220" s="150" t="s">
        <v>25</v>
      </c>
      <c r="G220" s="151">
        <f>G221</f>
        <v>365274.54000000004</v>
      </c>
      <c r="H220" s="158">
        <f>H221</f>
        <v>365274.54000000004</v>
      </c>
      <c r="I220" s="158">
        <f t="shared" si="8"/>
        <v>100</v>
      </c>
    </row>
    <row r="221" spans="1:9" ht="94.5" outlineLevel="7">
      <c r="A221" s="149" t="s">
        <v>323</v>
      </c>
      <c r="B221" s="150" t="s">
        <v>15</v>
      </c>
      <c r="C221" s="150" t="s">
        <v>193</v>
      </c>
      <c r="D221" s="150" t="s">
        <v>209</v>
      </c>
      <c r="E221" s="150" t="s">
        <v>478</v>
      </c>
      <c r="F221" s="150" t="s">
        <v>54</v>
      </c>
      <c r="G221" s="151">
        <f>588510-223235.46</f>
        <v>365274.54000000004</v>
      </c>
      <c r="H221" s="158">
        <f>588510-223235.46</f>
        <v>365274.54000000004</v>
      </c>
      <c r="I221" s="158">
        <f t="shared" si="8"/>
        <v>100</v>
      </c>
    </row>
    <row r="222" spans="1:9" ht="15.75" outlineLevel="5">
      <c r="A222" s="149" t="s">
        <v>479</v>
      </c>
      <c r="B222" s="150" t="s">
        <v>15</v>
      </c>
      <c r="C222" s="150" t="s">
        <v>193</v>
      </c>
      <c r="D222" s="150" t="s">
        <v>209</v>
      </c>
      <c r="E222" s="150" t="s">
        <v>480</v>
      </c>
      <c r="F222" s="150" t="s">
        <v>25</v>
      </c>
      <c r="G222" s="151">
        <f>G223</f>
        <v>1075656.55</v>
      </c>
      <c r="H222" s="158">
        <f>H223</f>
        <v>1073059.24</v>
      </c>
      <c r="I222" s="158">
        <f t="shared" si="8"/>
        <v>99.75853723941903</v>
      </c>
    </row>
    <row r="223" spans="1:9" ht="31.5" outlineLevel="6">
      <c r="A223" s="149" t="s">
        <v>353</v>
      </c>
      <c r="B223" s="150" t="s">
        <v>15</v>
      </c>
      <c r="C223" s="150" t="s">
        <v>193</v>
      </c>
      <c r="D223" s="150" t="s">
        <v>209</v>
      </c>
      <c r="E223" s="150" t="s">
        <v>481</v>
      </c>
      <c r="F223" s="150" t="s">
        <v>25</v>
      </c>
      <c r="G223" s="151">
        <f>G224</f>
        <v>1075656.55</v>
      </c>
      <c r="H223" s="158">
        <f>H224</f>
        <v>1073059.24</v>
      </c>
      <c r="I223" s="158">
        <f t="shared" si="8"/>
        <v>99.75853723941903</v>
      </c>
    </row>
    <row r="224" spans="1:9" ht="31.5" outlineLevel="7">
      <c r="A224" s="149" t="s">
        <v>324</v>
      </c>
      <c r="B224" s="150" t="s">
        <v>15</v>
      </c>
      <c r="C224" s="150" t="s">
        <v>193</v>
      </c>
      <c r="D224" s="150" t="s">
        <v>209</v>
      </c>
      <c r="E224" s="150" t="s">
        <v>481</v>
      </c>
      <c r="F224" s="150" t="s">
        <v>325</v>
      </c>
      <c r="G224" s="151">
        <f>1106417.05-30760.5</f>
        <v>1075656.55</v>
      </c>
      <c r="H224" s="158">
        <v>1073059.24</v>
      </c>
      <c r="I224" s="158">
        <f t="shared" si="8"/>
        <v>99.75853723941903</v>
      </c>
    </row>
    <row r="225" spans="1:9" ht="63" hidden="1" outlineLevel="5">
      <c r="A225" s="149" t="s">
        <v>482</v>
      </c>
      <c r="B225" s="150" t="s">
        <v>15</v>
      </c>
      <c r="C225" s="150" t="s">
        <v>193</v>
      </c>
      <c r="D225" s="150" t="s">
        <v>209</v>
      </c>
      <c r="E225" s="150" t="s">
        <v>483</v>
      </c>
      <c r="F225" s="150" t="s">
        <v>25</v>
      </c>
      <c r="G225" s="151">
        <f>G226</f>
        <v>0</v>
      </c>
      <c r="H225" s="158">
        <f>H226</f>
        <v>0</v>
      </c>
      <c r="I225" s="158" t="e">
        <f t="shared" si="8"/>
        <v>#DIV/0!</v>
      </c>
    </row>
    <row r="226" spans="1:9" ht="31.5" hidden="1" outlineLevel="6">
      <c r="A226" s="149" t="s">
        <v>353</v>
      </c>
      <c r="B226" s="150" t="s">
        <v>15</v>
      </c>
      <c r="C226" s="150" t="s">
        <v>193</v>
      </c>
      <c r="D226" s="150" t="s">
        <v>209</v>
      </c>
      <c r="E226" s="150" t="s">
        <v>484</v>
      </c>
      <c r="F226" s="150" t="s">
        <v>25</v>
      </c>
      <c r="G226" s="151">
        <f>G227</f>
        <v>0</v>
      </c>
      <c r="H226" s="158">
        <f>H227</f>
        <v>0</v>
      </c>
      <c r="I226" s="158" t="e">
        <f t="shared" si="8"/>
        <v>#DIV/0!</v>
      </c>
    </row>
    <row r="227" spans="1:9" ht="31.5" hidden="1" outlineLevel="7">
      <c r="A227" s="149" t="s">
        <v>324</v>
      </c>
      <c r="B227" s="150" t="s">
        <v>15</v>
      </c>
      <c r="C227" s="150" t="s">
        <v>193</v>
      </c>
      <c r="D227" s="150" t="s">
        <v>209</v>
      </c>
      <c r="E227" s="150" t="s">
        <v>484</v>
      </c>
      <c r="F227" s="150" t="s">
        <v>325</v>
      </c>
      <c r="G227" s="151">
        <f>3000000-3000000</f>
        <v>0</v>
      </c>
      <c r="H227" s="158">
        <f>3000000-3000000</f>
        <v>0</v>
      </c>
      <c r="I227" s="158" t="e">
        <f t="shared" si="8"/>
        <v>#DIV/0!</v>
      </c>
    </row>
    <row r="228" spans="1:9" ht="47.25" outlineLevel="7">
      <c r="A228" s="149" t="s">
        <v>485</v>
      </c>
      <c r="B228" s="150" t="s">
        <v>15</v>
      </c>
      <c r="C228" s="150" t="s">
        <v>193</v>
      </c>
      <c r="D228" s="150" t="s">
        <v>209</v>
      </c>
      <c r="E228" s="150" t="s">
        <v>486</v>
      </c>
      <c r="F228" s="150" t="s">
        <v>25</v>
      </c>
      <c r="G228" s="151">
        <f>G229</f>
        <v>730000</v>
      </c>
      <c r="H228" s="158">
        <f>H229</f>
        <v>730000</v>
      </c>
      <c r="I228" s="158">
        <f t="shared" si="8"/>
        <v>100</v>
      </c>
    </row>
    <row r="229" spans="1:9" ht="31.5" outlineLevel="7">
      <c r="A229" s="149" t="s">
        <v>353</v>
      </c>
      <c r="B229" s="150" t="s">
        <v>15</v>
      </c>
      <c r="C229" s="150" t="s">
        <v>193</v>
      </c>
      <c r="D229" s="150" t="s">
        <v>209</v>
      </c>
      <c r="E229" s="150" t="s">
        <v>487</v>
      </c>
      <c r="F229" s="150" t="s">
        <v>25</v>
      </c>
      <c r="G229" s="151">
        <f>G230</f>
        <v>730000</v>
      </c>
      <c r="H229" s="158">
        <f>H230</f>
        <v>730000</v>
      </c>
      <c r="I229" s="158">
        <f t="shared" si="8"/>
        <v>100</v>
      </c>
    </row>
    <row r="230" spans="1:9" ht="31.5" outlineLevel="7">
      <c r="A230" s="149" t="s">
        <v>324</v>
      </c>
      <c r="B230" s="150" t="s">
        <v>15</v>
      </c>
      <c r="C230" s="150" t="s">
        <v>193</v>
      </c>
      <c r="D230" s="150" t="s">
        <v>209</v>
      </c>
      <c r="E230" s="150" t="s">
        <v>487</v>
      </c>
      <c r="F230" s="150" t="s">
        <v>325</v>
      </c>
      <c r="G230" s="151">
        <f>730000</f>
        <v>730000</v>
      </c>
      <c r="H230" s="158">
        <f>730000</f>
        <v>730000</v>
      </c>
      <c r="I230" s="158">
        <f t="shared" si="8"/>
        <v>100</v>
      </c>
    </row>
    <row r="231" spans="1:10" s="148" customFormat="1" ht="47.25" outlineLevel="3">
      <c r="A231" s="144" t="s">
        <v>347</v>
      </c>
      <c r="B231" s="145" t="s">
        <v>15</v>
      </c>
      <c r="C231" s="145" t="s">
        <v>193</v>
      </c>
      <c r="D231" s="145" t="s">
        <v>209</v>
      </c>
      <c r="E231" s="145" t="s">
        <v>348</v>
      </c>
      <c r="F231" s="145" t="s">
        <v>25</v>
      </c>
      <c r="G231" s="146">
        <f aca="true" t="shared" si="11" ref="G231:H234">G232</f>
        <v>324247.05</v>
      </c>
      <c r="H231" s="161">
        <f t="shared" si="11"/>
        <v>312723.4</v>
      </c>
      <c r="I231" s="161">
        <f t="shared" si="8"/>
        <v>96.44602780503324</v>
      </c>
      <c r="J231" s="147"/>
    </row>
    <row r="232" spans="1:10" s="148" customFormat="1" ht="47.25" outlineLevel="4">
      <c r="A232" s="144" t="s">
        <v>349</v>
      </c>
      <c r="B232" s="145" t="s">
        <v>15</v>
      </c>
      <c r="C232" s="145" t="s">
        <v>193</v>
      </c>
      <c r="D232" s="145" t="s">
        <v>209</v>
      </c>
      <c r="E232" s="145" t="s">
        <v>350</v>
      </c>
      <c r="F232" s="145" t="s">
        <v>25</v>
      </c>
      <c r="G232" s="146">
        <f t="shared" si="11"/>
        <v>324247.05</v>
      </c>
      <c r="H232" s="161">
        <f t="shared" si="11"/>
        <v>312723.4</v>
      </c>
      <c r="I232" s="161">
        <f t="shared" si="8"/>
        <v>96.44602780503324</v>
      </c>
      <c r="J232" s="147"/>
    </row>
    <row r="233" spans="1:9" ht="31.5" outlineLevel="5">
      <c r="A233" s="149" t="s">
        <v>418</v>
      </c>
      <c r="B233" s="150" t="s">
        <v>15</v>
      </c>
      <c r="C233" s="150" t="s">
        <v>193</v>
      </c>
      <c r="D233" s="150" t="s">
        <v>209</v>
      </c>
      <c r="E233" s="150" t="s">
        <v>419</v>
      </c>
      <c r="F233" s="150" t="s">
        <v>25</v>
      </c>
      <c r="G233" s="151">
        <f t="shared" si="11"/>
        <v>324247.05</v>
      </c>
      <c r="H233" s="158">
        <f t="shared" si="11"/>
        <v>312723.4</v>
      </c>
      <c r="I233" s="158">
        <f t="shared" si="8"/>
        <v>96.44602780503324</v>
      </c>
    </row>
    <row r="234" spans="1:9" ht="31.5" outlineLevel="6">
      <c r="A234" s="149" t="s">
        <v>353</v>
      </c>
      <c r="B234" s="150" t="s">
        <v>15</v>
      </c>
      <c r="C234" s="150" t="s">
        <v>193</v>
      </c>
      <c r="D234" s="150" t="s">
        <v>209</v>
      </c>
      <c r="E234" s="150" t="s">
        <v>420</v>
      </c>
      <c r="F234" s="150" t="s">
        <v>25</v>
      </c>
      <c r="G234" s="151">
        <f t="shared" si="11"/>
        <v>324247.05</v>
      </c>
      <c r="H234" s="158">
        <f t="shared" si="11"/>
        <v>312723.4</v>
      </c>
      <c r="I234" s="158">
        <f t="shared" si="8"/>
        <v>96.44602780503324</v>
      </c>
    </row>
    <row r="235" spans="1:9" ht="31.5" outlineLevel="7">
      <c r="A235" s="149" t="s">
        <v>324</v>
      </c>
      <c r="B235" s="150" t="s">
        <v>15</v>
      </c>
      <c r="C235" s="150" t="s">
        <v>193</v>
      </c>
      <c r="D235" s="150" t="s">
        <v>209</v>
      </c>
      <c r="E235" s="150" t="s">
        <v>420</v>
      </c>
      <c r="F235" s="150" t="s">
        <v>325</v>
      </c>
      <c r="G235" s="151">
        <f>334853.72-10606.67</f>
        <v>324247.05</v>
      </c>
      <c r="H235" s="158">
        <v>312723.4</v>
      </c>
      <c r="I235" s="158">
        <f t="shared" si="8"/>
        <v>96.44602780503324</v>
      </c>
    </row>
    <row r="236" spans="1:10" s="148" customFormat="1" ht="47.25" outlineLevel="7">
      <c r="A236" s="144" t="s">
        <v>210</v>
      </c>
      <c r="B236" s="145" t="s">
        <v>15</v>
      </c>
      <c r="C236" s="145" t="s">
        <v>193</v>
      </c>
      <c r="D236" s="145" t="s">
        <v>211</v>
      </c>
      <c r="E236" s="145" t="s">
        <v>313</v>
      </c>
      <c r="F236" s="145" t="s">
        <v>25</v>
      </c>
      <c r="G236" s="146">
        <f aca="true" t="shared" si="12" ref="G236:H240">G237</f>
        <v>71940</v>
      </c>
      <c r="H236" s="161">
        <f t="shared" si="12"/>
        <v>30399.6</v>
      </c>
      <c r="I236" s="161">
        <f t="shared" si="8"/>
        <v>42.25688073394495</v>
      </c>
      <c r="J236" s="147"/>
    </row>
    <row r="237" spans="1:9" ht="47.25" outlineLevel="7">
      <c r="A237" s="144" t="s">
        <v>387</v>
      </c>
      <c r="B237" s="145" t="s">
        <v>15</v>
      </c>
      <c r="C237" s="145" t="s">
        <v>193</v>
      </c>
      <c r="D237" s="145" t="s">
        <v>211</v>
      </c>
      <c r="E237" s="145" t="s">
        <v>388</v>
      </c>
      <c r="F237" s="145" t="s">
        <v>25</v>
      </c>
      <c r="G237" s="151">
        <f t="shared" si="12"/>
        <v>71940</v>
      </c>
      <c r="H237" s="158">
        <f t="shared" si="12"/>
        <v>30399.6</v>
      </c>
      <c r="I237" s="158">
        <f t="shared" si="8"/>
        <v>42.25688073394495</v>
      </c>
    </row>
    <row r="238" spans="1:9" ht="47.25" outlineLevel="7">
      <c r="A238" s="144" t="s">
        <v>389</v>
      </c>
      <c r="B238" s="145" t="s">
        <v>15</v>
      </c>
      <c r="C238" s="145" t="s">
        <v>193</v>
      </c>
      <c r="D238" s="145" t="s">
        <v>211</v>
      </c>
      <c r="E238" s="145" t="s">
        <v>390</v>
      </c>
      <c r="F238" s="145" t="s">
        <v>25</v>
      </c>
      <c r="G238" s="151">
        <f t="shared" si="12"/>
        <v>71940</v>
      </c>
      <c r="H238" s="158">
        <f t="shared" si="12"/>
        <v>30399.6</v>
      </c>
      <c r="I238" s="158">
        <f t="shared" si="8"/>
        <v>42.25688073394495</v>
      </c>
    </row>
    <row r="239" spans="1:9" ht="94.5" outlineLevel="7">
      <c r="A239" s="149" t="s">
        <v>398</v>
      </c>
      <c r="B239" s="150" t="s">
        <v>15</v>
      </c>
      <c r="C239" s="150" t="s">
        <v>193</v>
      </c>
      <c r="D239" s="150" t="s">
        <v>211</v>
      </c>
      <c r="E239" s="150" t="s">
        <v>399</v>
      </c>
      <c r="F239" s="150" t="s">
        <v>25</v>
      </c>
      <c r="G239" s="151">
        <f t="shared" si="12"/>
        <v>71940</v>
      </c>
      <c r="H239" s="158">
        <f t="shared" si="12"/>
        <v>30399.6</v>
      </c>
      <c r="I239" s="158">
        <f t="shared" si="8"/>
        <v>42.25688073394495</v>
      </c>
    </row>
    <row r="240" spans="1:9" ht="31.5" outlineLevel="7">
      <c r="A240" s="149" t="s">
        <v>353</v>
      </c>
      <c r="B240" s="150" t="s">
        <v>15</v>
      </c>
      <c r="C240" s="150" t="s">
        <v>193</v>
      </c>
      <c r="D240" s="150" t="s">
        <v>211</v>
      </c>
      <c r="E240" s="150" t="s">
        <v>400</v>
      </c>
      <c r="F240" s="150" t="s">
        <v>25</v>
      </c>
      <c r="G240" s="151">
        <f t="shared" si="12"/>
        <v>71940</v>
      </c>
      <c r="H240" s="158">
        <f t="shared" si="12"/>
        <v>30399.6</v>
      </c>
      <c r="I240" s="158">
        <f t="shared" si="8"/>
        <v>42.25688073394495</v>
      </c>
    </row>
    <row r="241" spans="1:9" ht="31.5" outlineLevel="7">
      <c r="A241" s="149" t="s">
        <v>324</v>
      </c>
      <c r="B241" s="150" t="s">
        <v>15</v>
      </c>
      <c r="C241" s="150" t="s">
        <v>193</v>
      </c>
      <c r="D241" s="150" t="s">
        <v>211</v>
      </c>
      <c r="E241" s="150" t="s">
        <v>400</v>
      </c>
      <c r="F241" s="150" t="s">
        <v>325</v>
      </c>
      <c r="G241" s="151">
        <v>71940</v>
      </c>
      <c r="H241" s="158">
        <v>30399.6</v>
      </c>
      <c r="I241" s="158">
        <f t="shared" si="8"/>
        <v>42.25688073394495</v>
      </c>
    </row>
    <row r="242" spans="1:10" s="148" customFormat="1" ht="15.75" outlineLevel="1">
      <c r="A242" s="144" t="s">
        <v>488</v>
      </c>
      <c r="B242" s="145" t="s">
        <v>15</v>
      </c>
      <c r="C242" s="145" t="s">
        <v>195</v>
      </c>
      <c r="D242" s="145" t="s">
        <v>189</v>
      </c>
      <c r="E242" s="145" t="s">
        <v>313</v>
      </c>
      <c r="F242" s="145" t="s">
        <v>25</v>
      </c>
      <c r="G242" s="146">
        <f>G243+G256+G275</f>
        <v>34571201.95</v>
      </c>
      <c r="H242" s="161">
        <f>H243+H256+H275</f>
        <v>32813925.67</v>
      </c>
      <c r="I242" s="161">
        <f t="shared" si="8"/>
        <v>94.9169361176926</v>
      </c>
      <c r="J242" s="147"/>
    </row>
    <row r="243" spans="1:10" s="148" customFormat="1" ht="15.75" outlineLevel="2">
      <c r="A243" s="144" t="s">
        <v>214</v>
      </c>
      <c r="B243" s="145" t="s">
        <v>15</v>
      </c>
      <c r="C243" s="145" t="s">
        <v>195</v>
      </c>
      <c r="D243" s="145" t="s">
        <v>215</v>
      </c>
      <c r="E243" s="145" t="s">
        <v>313</v>
      </c>
      <c r="F243" s="145" t="s">
        <v>25</v>
      </c>
      <c r="G243" s="146">
        <f>G244</f>
        <v>23476473.28</v>
      </c>
      <c r="H243" s="161">
        <f>H244</f>
        <v>21779688.02</v>
      </c>
      <c r="I243" s="161">
        <f t="shared" si="8"/>
        <v>92.77240137493087</v>
      </c>
      <c r="J243" s="147"/>
    </row>
    <row r="244" spans="1:10" s="148" customFormat="1" ht="78.75" outlineLevel="3">
      <c r="A244" s="144" t="s">
        <v>489</v>
      </c>
      <c r="B244" s="145" t="s">
        <v>15</v>
      </c>
      <c r="C244" s="145" t="s">
        <v>195</v>
      </c>
      <c r="D244" s="145" t="s">
        <v>215</v>
      </c>
      <c r="E244" s="145" t="s">
        <v>490</v>
      </c>
      <c r="F244" s="145" t="s">
        <v>25</v>
      </c>
      <c r="G244" s="146">
        <f>G245</f>
        <v>23476473.28</v>
      </c>
      <c r="H244" s="161">
        <f>H245</f>
        <v>21779688.02</v>
      </c>
      <c r="I244" s="161">
        <f t="shared" si="8"/>
        <v>92.77240137493087</v>
      </c>
      <c r="J244" s="147"/>
    </row>
    <row r="245" spans="1:10" s="148" customFormat="1" ht="47.25" outlineLevel="4">
      <c r="A245" s="144" t="s">
        <v>491</v>
      </c>
      <c r="B245" s="145" t="s">
        <v>15</v>
      </c>
      <c r="C245" s="145" t="s">
        <v>195</v>
      </c>
      <c r="D245" s="145" t="s">
        <v>215</v>
      </c>
      <c r="E245" s="145" t="s">
        <v>492</v>
      </c>
      <c r="F245" s="145" t="s">
        <v>25</v>
      </c>
      <c r="G245" s="146">
        <f>G246+G249+G252</f>
        <v>23476473.28</v>
      </c>
      <c r="H245" s="161">
        <f>H246+H249+H252</f>
        <v>21779688.02</v>
      </c>
      <c r="I245" s="161">
        <f t="shared" si="8"/>
        <v>92.77240137493087</v>
      </c>
      <c r="J245" s="147"/>
    </row>
    <row r="246" spans="1:9" ht="63" outlineLevel="5">
      <c r="A246" s="149" t="s">
        <v>493</v>
      </c>
      <c r="B246" s="150" t="s">
        <v>15</v>
      </c>
      <c r="C246" s="150" t="s">
        <v>195</v>
      </c>
      <c r="D246" s="150" t="s">
        <v>215</v>
      </c>
      <c r="E246" s="150" t="s">
        <v>494</v>
      </c>
      <c r="F246" s="150" t="s">
        <v>25</v>
      </c>
      <c r="G246" s="151">
        <f>G247</f>
        <v>18893000</v>
      </c>
      <c r="H246" s="158">
        <f>H247</f>
        <v>17265960</v>
      </c>
      <c r="I246" s="158">
        <f t="shared" si="8"/>
        <v>91.38813317101572</v>
      </c>
    </row>
    <row r="247" spans="1:9" ht="47.25" outlineLevel="6">
      <c r="A247" s="149" t="s">
        <v>495</v>
      </c>
      <c r="B247" s="150" t="s">
        <v>15</v>
      </c>
      <c r="C247" s="150" t="s">
        <v>195</v>
      </c>
      <c r="D247" s="150" t="s">
        <v>215</v>
      </c>
      <c r="E247" s="150" t="s">
        <v>496</v>
      </c>
      <c r="F247" s="150" t="s">
        <v>25</v>
      </c>
      <c r="G247" s="151">
        <f>G248</f>
        <v>18893000</v>
      </c>
      <c r="H247" s="158">
        <f>H248</f>
        <v>17265960</v>
      </c>
      <c r="I247" s="158">
        <f t="shared" si="8"/>
        <v>91.38813317101572</v>
      </c>
    </row>
    <row r="248" spans="1:9" ht="15.75" outlineLevel="7">
      <c r="A248" s="149" t="s">
        <v>411</v>
      </c>
      <c r="B248" s="150" t="s">
        <v>15</v>
      </c>
      <c r="C248" s="150" t="s">
        <v>195</v>
      </c>
      <c r="D248" s="150" t="s">
        <v>215</v>
      </c>
      <c r="E248" s="150" t="s">
        <v>496</v>
      </c>
      <c r="F248" s="150" t="s">
        <v>293</v>
      </c>
      <c r="G248" s="151">
        <v>18893000</v>
      </c>
      <c r="H248" s="158">
        <v>17265960</v>
      </c>
      <c r="I248" s="158">
        <f t="shared" si="8"/>
        <v>91.38813317101572</v>
      </c>
    </row>
    <row r="249" spans="1:9" ht="78.75" outlineLevel="5">
      <c r="A249" s="149" t="s">
        <v>497</v>
      </c>
      <c r="B249" s="150" t="s">
        <v>15</v>
      </c>
      <c r="C249" s="150" t="s">
        <v>195</v>
      </c>
      <c r="D249" s="150" t="s">
        <v>215</v>
      </c>
      <c r="E249" s="150" t="s">
        <v>498</v>
      </c>
      <c r="F249" s="150" t="s">
        <v>25</v>
      </c>
      <c r="G249" s="151">
        <f>G250</f>
        <v>956899</v>
      </c>
      <c r="H249" s="158">
        <f>H250</f>
        <v>891554</v>
      </c>
      <c r="I249" s="158">
        <f t="shared" si="8"/>
        <v>93.17117062511299</v>
      </c>
    </row>
    <row r="250" spans="1:9" ht="110.25" outlineLevel="6">
      <c r="A250" s="149" t="s">
        <v>499</v>
      </c>
      <c r="B250" s="150" t="s">
        <v>15</v>
      </c>
      <c r="C250" s="150" t="s">
        <v>195</v>
      </c>
      <c r="D250" s="150" t="s">
        <v>215</v>
      </c>
      <c r="E250" s="150" t="s">
        <v>500</v>
      </c>
      <c r="F250" s="150" t="s">
        <v>25</v>
      </c>
      <c r="G250" s="151">
        <f>G251</f>
        <v>956899</v>
      </c>
      <c r="H250" s="158">
        <f>H251</f>
        <v>891554</v>
      </c>
      <c r="I250" s="158">
        <f t="shared" si="8"/>
        <v>93.17117062511299</v>
      </c>
    </row>
    <row r="251" spans="1:9" ht="15.75" outlineLevel="7">
      <c r="A251" s="149" t="s">
        <v>411</v>
      </c>
      <c r="B251" s="150" t="s">
        <v>15</v>
      </c>
      <c r="C251" s="150" t="s">
        <v>195</v>
      </c>
      <c r="D251" s="150" t="s">
        <v>215</v>
      </c>
      <c r="E251" s="150" t="s">
        <v>500</v>
      </c>
      <c r="F251" s="150" t="s">
        <v>293</v>
      </c>
      <c r="G251" s="151">
        <f>1038366.8-81467.8</f>
        <v>956899</v>
      </c>
      <c r="H251" s="158">
        <v>891554</v>
      </c>
      <c r="I251" s="158">
        <f t="shared" si="8"/>
        <v>93.17117062511299</v>
      </c>
    </row>
    <row r="252" spans="1:9" ht="15.75" outlineLevel="5">
      <c r="A252" s="149" t="s">
        <v>501</v>
      </c>
      <c r="B252" s="150" t="s">
        <v>15</v>
      </c>
      <c r="C252" s="150" t="s">
        <v>195</v>
      </c>
      <c r="D252" s="150" t="s">
        <v>215</v>
      </c>
      <c r="E252" s="150" t="s">
        <v>502</v>
      </c>
      <c r="F252" s="150" t="s">
        <v>25</v>
      </c>
      <c r="G252" s="151">
        <f>G253</f>
        <v>3626574.28</v>
      </c>
      <c r="H252" s="158">
        <f>H253</f>
        <v>3622174.02</v>
      </c>
      <c r="I252" s="158">
        <f t="shared" si="8"/>
        <v>99.87866621058153</v>
      </c>
    </row>
    <row r="253" spans="1:9" ht="31.5" outlineLevel="6">
      <c r="A253" s="149" t="s">
        <v>353</v>
      </c>
      <c r="B253" s="150" t="s">
        <v>15</v>
      </c>
      <c r="C253" s="150" t="s">
        <v>195</v>
      </c>
      <c r="D253" s="150" t="s">
        <v>215</v>
      </c>
      <c r="E253" s="150" t="s">
        <v>503</v>
      </c>
      <c r="F253" s="150" t="s">
        <v>25</v>
      </c>
      <c r="G253" s="151">
        <f>G254+G255</f>
        <v>3626574.28</v>
      </c>
      <c r="H253" s="158">
        <f>H254+H255</f>
        <v>3622174.02</v>
      </c>
      <c r="I253" s="158">
        <f t="shared" si="8"/>
        <v>99.87866621058153</v>
      </c>
    </row>
    <row r="254" spans="1:9" ht="31.5" outlineLevel="7">
      <c r="A254" s="149" t="s">
        <v>324</v>
      </c>
      <c r="B254" s="150" t="s">
        <v>15</v>
      </c>
      <c r="C254" s="150" t="s">
        <v>195</v>
      </c>
      <c r="D254" s="150" t="s">
        <v>215</v>
      </c>
      <c r="E254" s="150" t="s">
        <v>503</v>
      </c>
      <c r="F254" s="150" t="s">
        <v>325</v>
      </c>
      <c r="G254" s="151">
        <f>7531975-3531975-142583.7-233842.02</f>
        <v>3623574.28</v>
      </c>
      <c r="H254" s="158">
        <v>3619324.02</v>
      </c>
      <c r="I254" s="158">
        <f t="shared" si="8"/>
        <v>99.88270531603398</v>
      </c>
    </row>
    <row r="255" spans="1:9" ht="15.75" outlineLevel="7">
      <c r="A255" s="149" t="s">
        <v>411</v>
      </c>
      <c r="B255" s="150" t="s">
        <v>15</v>
      </c>
      <c r="C255" s="150" t="s">
        <v>195</v>
      </c>
      <c r="D255" s="150" t="s">
        <v>215</v>
      </c>
      <c r="E255" s="150" t="s">
        <v>503</v>
      </c>
      <c r="F255" s="150" t="s">
        <v>293</v>
      </c>
      <c r="G255" s="151">
        <f>10000-7000</f>
        <v>3000</v>
      </c>
      <c r="H255" s="158">
        <v>2850</v>
      </c>
      <c r="I255" s="158">
        <f aca="true" t="shared" si="13" ref="I255:I318">H255/G255*100</f>
        <v>95</v>
      </c>
    </row>
    <row r="256" spans="1:10" s="148" customFormat="1" ht="15.75" outlineLevel="2">
      <c r="A256" s="144" t="s">
        <v>217</v>
      </c>
      <c r="B256" s="145" t="s">
        <v>15</v>
      </c>
      <c r="C256" s="145" t="s">
        <v>195</v>
      </c>
      <c r="D256" s="145" t="s">
        <v>218</v>
      </c>
      <c r="E256" s="145" t="s">
        <v>313</v>
      </c>
      <c r="F256" s="145" t="s">
        <v>25</v>
      </c>
      <c r="G256" s="146">
        <f>G257</f>
        <v>11058528.67</v>
      </c>
      <c r="H256" s="161">
        <f>H257</f>
        <v>11003241.55</v>
      </c>
      <c r="I256" s="161">
        <f t="shared" si="13"/>
        <v>99.50004994651789</v>
      </c>
      <c r="J256" s="147"/>
    </row>
    <row r="257" spans="1:10" s="148" customFormat="1" ht="47.25" outlineLevel="3">
      <c r="A257" s="144" t="s">
        <v>347</v>
      </c>
      <c r="B257" s="145" t="s">
        <v>15</v>
      </c>
      <c r="C257" s="145" t="s">
        <v>195</v>
      </c>
      <c r="D257" s="145" t="s">
        <v>218</v>
      </c>
      <c r="E257" s="145" t="s">
        <v>348</v>
      </c>
      <c r="F257" s="145" t="s">
        <v>25</v>
      </c>
      <c r="G257" s="146">
        <f>G258+G265</f>
        <v>11058528.67</v>
      </c>
      <c r="H257" s="161">
        <f>H258+H265</f>
        <v>11003241.55</v>
      </c>
      <c r="I257" s="161">
        <f t="shared" si="13"/>
        <v>99.50004994651789</v>
      </c>
      <c r="J257" s="147"/>
    </row>
    <row r="258" spans="1:10" s="148" customFormat="1" ht="63" outlineLevel="4">
      <c r="A258" s="144" t="s">
        <v>504</v>
      </c>
      <c r="B258" s="145" t="s">
        <v>15</v>
      </c>
      <c r="C258" s="145" t="s">
        <v>195</v>
      </c>
      <c r="D258" s="145" t="s">
        <v>218</v>
      </c>
      <c r="E258" s="145" t="s">
        <v>505</v>
      </c>
      <c r="F258" s="145" t="s">
        <v>25</v>
      </c>
      <c r="G258" s="146">
        <f>G259</f>
        <v>10177543.87</v>
      </c>
      <c r="H258" s="161">
        <f>H259</f>
        <v>10139301.450000001</v>
      </c>
      <c r="I258" s="161">
        <f t="shared" si="13"/>
        <v>99.62424706305886</v>
      </c>
      <c r="J258" s="147"/>
    </row>
    <row r="259" spans="1:9" ht="94.5" outlineLevel="5">
      <c r="A259" s="149" t="s">
        <v>506</v>
      </c>
      <c r="B259" s="150" t="s">
        <v>15</v>
      </c>
      <c r="C259" s="150" t="s">
        <v>195</v>
      </c>
      <c r="D259" s="150" t="s">
        <v>218</v>
      </c>
      <c r="E259" s="150" t="s">
        <v>507</v>
      </c>
      <c r="F259" s="150" t="s">
        <v>25</v>
      </c>
      <c r="G259" s="151">
        <f>G260+G263</f>
        <v>10177543.87</v>
      </c>
      <c r="H259" s="158">
        <f>H260+H263</f>
        <v>10139301.450000001</v>
      </c>
      <c r="I259" s="158">
        <f t="shared" si="13"/>
        <v>99.62424706305886</v>
      </c>
    </row>
    <row r="260" spans="1:9" ht="78.75" outlineLevel="6">
      <c r="A260" s="149" t="s">
        <v>431</v>
      </c>
      <c r="B260" s="150" t="s">
        <v>15</v>
      </c>
      <c r="C260" s="150" t="s">
        <v>195</v>
      </c>
      <c r="D260" s="150" t="s">
        <v>218</v>
      </c>
      <c r="E260" s="150" t="s">
        <v>508</v>
      </c>
      <c r="F260" s="150" t="s">
        <v>25</v>
      </c>
      <c r="G260" s="151">
        <f>G261+G262</f>
        <v>9957543.87</v>
      </c>
      <c r="H260" s="158">
        <f>H261+H262</f>
        <v>9942731.57</v>
      </c>
      <c r="I260" s="158">
        <f t="shared" si="13"/>
        <v>99.8512454457306</v>
      </c>
    </row>
    <row r="261" spans="1:9" ht="94.5" outlineLevel="7">
      <c r="A261" s="149" t="s">
        <v>323</v>
      </c>
      <c r="B261" s="150" t="s">
        <v>15</v>
      </c>
      <c r="C261" s="150" t="s">
        <v>195</v>
      </c>
      <c r="D261" s="150" t="s">
        <v>218</v>
      </c>
      <c r="E261" s="150" t="s">
        <v>508</v>
      </c>
      <c r="F261" s="150" t="s">
        <v>54</v>
      </c>
      <c r="G261" s="151">
        <f>9885644.87-4600</f>
        <v>9881044.87</v>
      </c>
      <c r="H261" s="158">
        <v>9871927.91</v>
      </c>
      <c r="I261" s="158">
        <f t="shared" si="13"/>
        <v>99.90773283473614</v>
      </c>
    </row>
    <row r="262" spans="1:9" ht="31.5" outlineLevel="7">
      <c r="A262" s="149" t="s">
        <v>324</v>
      </c>
      <c r="B262" s="150" t="s">
        <v>15</v>
      </c>
      <c r="C262" s="150" t="s">
        <v>195</v>
      </c>
      <c r="D262" s="150" t="s">
        <v>218</v>
      </c>
      <c r="E262" s="150" t="s">
        <v>508</v>
      </c>
      <c r="F262" s="150" t="s">
        <v>325</v>
      </c>
      <c r="G262" s="151">
        <f>76499-4600+4600</f>
        <v>76499</v>
      </c>
      <c r="H262" s="158">
        <v>70803.66</v>
      </c>
      <c r="I262" s="158">
        <f t="shared" si="13"/>
        <v>92.55501379102995</v>
      </c>
    </row>
    <row r="263" spans="1:9" ht="78.75" outlineLevel="6">
      <c r="A263" s="149" t="s">
        <v>335</v>
      </c>
      <c r="B263" s="150" t="s">
        <v>15</v>
      </c>
      <c r="C263" s="150" t="s">
        <v>195</v>
      </c>
      <c r="D263" s="150" t="s">
        <v>218</v>
      </c>
      <c r="E263" s="150" t="s">
        <v>509</v>
      </c>
      <c r="F263" s="150" t="s">
        <v>25</v>
      </c>
      <c r="G263" s="151">
        <f>G264</f>
        <v>220000</v>
      </c>
      <c r="H263" s="158">
        <f>H264</f>
        <v>196569.88</v>
      </c>
      <c r="I263" s="158">
        <f t="shared" si="13"/>
        <v>89.34994545454545</v>
      </c>
    </row>
    <row r="264" spans="1:9" ht="94.5" outlineLevel="7">
      <c r="A264" s="149" t="s">
        <v>323</v>
      </c>
      <c r="B264" s="150" t="s">
        <v>15</v>
      </c>
      <c r="C264" s="150" t="s">
        <v>195</v>
      </c>
      <c r="D264" s="150" t="s">
        <v>218</v>
      </c>
      <c r="E264" s="150" t="s">
        <v>509</v>
      </c>
      <c r="F264" s="150" t="s">
        <v>54</v>
      </c>
      <c r="G264" s="151">
        <f>260000-40000</f>
        <v>220000</v>
      </c>
      <c r="H264" s="158">
        <v>196569.88</v>
      </c>
      <c r="I264" s="158">
        <f t="shared" si="13"/>
        <v>89.34994545454545</v>
      </c>
    </row>
    <row r="265" spans="1:10" s="148" customFormat="1" ht="47.25" outlineLevel="4">
      <c r="A265" s="144" t="s">
        <v>349</v>
      </c>
      <c r="B265" s="145" t="s">
        <v>15</v>
      </c>
      <c r="C265" s="145" t="s">
        <v>195</v>
      </c>
      <c r="D265" s="145" t="s">
        <v>218</v>
      </c>
      <c r="E265" s="145" t="s">
        <v>350</v>
      </c>
      <c r="F265" s="145" t="s">
        <v>25</v>
      </c>
      <c r="G265" s="146">
        <f>G266+G269+G272</f>
        <v>880984.8</v>
      </c>
      <c r="H265" s="161">
        <f>H266+H269+H272</f>
        <v>863940.1</v>
      </c>
      <c r="I265" s="161">
        <f t="shared" si="13"/>
        <v>98.06526741437536</v>
      </c>
      <c r="J265" s="147"/>
    </row>
    <row r="266" spans="1:9" ht="47.25" outlineLevel="5">
      <c r="A266" s="149" t="s">
        <v>351</v>
      </c>
      <c r="B266" s="150" t="s">
        <v>15</v>
      </c>
      <c r="C266" s="150" t="s">
        <v>195</v>
      </c>
      <c r="D266" s="150" t="s">
        <v>218</v>
      </c>
      <c r="E266" s="150" t="s">
        <v>352</v>
      </c>
      <c r="F266" s="150" t="s">
        <v>25</v>
      </c>
      <c r="G266" s="151">
        <f>G267</f>
        <v>16665</v>
      </c>
      <c r="H266" s="158">
        <f>H267</f>
        <v>16665</v>
      </c>
      <c r="I266" s="158">
        <f t="shared" si="13"/>
        <v>100</v>
      </c>
    </row>
    <row r="267" spans="1:9" ht="31.5" outlineLevel="6">
      <c r="A267" s="149" t="s">
        <v>353</v>
      </c>
      <c r="B267" s="150" t="s">
        <v>15</v>
      </c>
      <c r="C267" s="150" t="s">
        <v>195</v>
      </c>
      <c r="D267" s="150" t="s">
        <v>218</v>
      </c>
      <c r="E267" s="150" t="s">
        <v>354</v>
      </c>
      <c r="F267" s="150" t="s">
        <v>25</v>
      </c>
      <c r="G267" s="151">
        <f>G268</f>
        <v>16665</v>
      </c>
      <c r="H267" s="158">
        <f>H268</f>
        <v>16665</v>
      </c>
      <c r="I267" s="158">
        <f t="shared" si="13"/>
        <v>100</v>
      </c>
    </row>
    <row r="268" spans="1:9" ht="31.5" outlineLevel="7">
      <c r="A268" s="149" t="s">
        <v>324</v>
      </c>
      <c r="B268" s="150" t="s">
        <v>15</v>
      </c>
      <c r="C268" s="150" t="s">
        <v>195</v>
      </c>
      <c r="D268" s="150" t="s">
        <v>218</v>
      </c>
      <c r="E268" s="150" t="s">
        <v>354</v>
      </c>
      <c r="F268" s="150" t="s">
        <v>325</v>
      </c>
      <c r="G268" s="151">
        <f>23240-6575</f>
        <v>16665</v>
      </c>
      <c r="H268" s="158">
        <f>23240-6575</f>
        <v>16665</v>
      </c>
      <c r="I268" s="158">
        <f t="shared" si="13"/>
        <v>100</v>
      </c>
    </row>
    <row r="269" spans="1:9" ht="31.5" outlineLevel="5">
      <c r="A269" s="149" t="s">
        <v>418</v>
      </c>
      <c r="B269" s="150" t="s">
        <v>15</v>
      </c>
      <c r="C269" s="150" t="s">
        <v>195</v>
      </c>
      <c r="D269" s="150" t="s">
        <v>218</v>
      </c>
      <c r="E269" s="150" t="s">
        <v>419</v>
      </c>
      <c r="F269" s="150" t="s">
        <v>25</v>
      </c>
      <c r="G269" s="151">
        <f>G270</f>
        <v>728995.8</v>
      </c>
      <c r="H269" s="158">
        <f>H270</f>
        <v>711951.1</v>
      </c>
      <c r="I269" s="158">
        <f t="shared" si="13"/>
        <v>97.66189325096248</v>
      </c>
    </row>
    <row r="270" spans="1:9" ht="31.5" outlineLevel="6">
      <c r="A270" s="149" t="s">
        <v>353</v>
      </c>
      <c r="B270" s="150" t="s">
        <v>15</v>
      </c>
      <c r="C270" s="150" t="s">
        <v>195</v>
      </c>
      <c r="D270" s="150" t="s">
        <v>218</v>
      </c>
      <c r="E270" s="150" t="s">
        <v>420</v>
      </c>
      <c r="F270" s="150" t="s">
        <v>25</v>
      </c>
      <c r="G270" s="151">
        <f>G271</f>
        <v>728995.8</v>
      </c>
      <c r="H270" s="158">
        <f>H271</f>
        <v>711951.1</v>
      </c>
      <c r="I270" s="158">
        <f t="shared" si="13"/>
        <v>97.66189325096248</v>
      </c>
    </row>
    <row r="271" spans="1:9" ht="31.5" outlineLevel="7">
      <c r="A271" s="149" t="s">
        <v>324</v>
      </c>
      <c r="B271" s="150" t="s">
        <v>15</v>
      </c>
      <c r="C271" s="150" t="s">
        <v>195</v>
      </c>
      <c r="D271" s="150" t="s">
        <v>218</v>
      </c>
      <c r="E271" s="150" t="s">
        <v>420</v>
      </c>
      <c r="F271" s="150" t="s">
        <v>325</v>
      </c>
      <c r="G271" s="151">
        <f>675880.8+53115</f>
        <v>728995.8</v>
      </c>
      <c r="H271" s="158">
        <v>711951.1</v>
      </c>
      <c r="I271" s="158">
        <f t="shared" si="13"/>
        <v>97.66189325096248</v>
      </c>
    </row>
    <row r="272" spans="1:9" ht="15.75" outlineLevel="5">
      <c r="A272" s="149" t="s">
        <v>421</v>
      </c>
      <c r="B272" s="150" t="s">
        <v>15</v>
      </c>
      <c r="C272" s="150" t="s">
        <v>195</v>
      </c>
      <c r="D272" s="150" t="s">
        <v>218</v>
      </c>
      <c r="E272" s="150" t="s">
        <v>422</v>
      </c>
      <c r="F272" s="150" t="s">
        <v>25</v>
      </c>
      <c r="G272" s="151">
        <f>G273</f>
        <v>135324</v>
      </c>
      <c r="H272" s="158">
        <f>H273</f>
        <v>135324</v>
      </c>
      <c r="I272" s="158">
        <f t="shared" si="13"/>
        <v>100</v>
      </c>
    </row>
    <row r="273" spans="1:9" ht="31.5" outlineLevel="6">
      <c r="A273" s="149" t="s">
        <v>353</v>
      </c>
      <c r="B273" s="150" t="s">
        <v>15</v>
      </c>
      <c r="C273" s="150" t="s">
        <v>195</v>
      </c>
      <c r="D273" s="150" t="s">
        <v>218</v>
      </c>
      <c r="E273" s="150" t="s">
        <v>423</v>
      </c>
      <c r="F273" s="150" t="s">
        <v>25</v>
      </c>
      <c r="G273" s="151">
        <f>G274</f>
        <v>135324</v>
      </c>
      <c r="H273" s="158">
        <f>H274</f>
        <v>135324</v>
      </c>
      <c r="I273" s="158">
        <f t="shared" si="13"/>
        <v>100</v>
      </c>
    </row>
    <row r="274" spans="1:9" ht="31.5" outlineLevel="7">
      <c r="A274" s="149" t="s">
        <v>324</v>
      </c>
      <c r="B274" s="150" t="s">
        <v>15</v>
      </c>
      <c r="C274" s="150" t="s">
        <v>195</v>
      </c>
      <c r="D274" s="150" t="s">
        <v>218</v>
      </c>
      <c r="E274" s="150" t="s">
        <v>423</v>
      </c>
      <c r="F274" s="150" t="s">
        <v>325</v>
      </c>
      <c r="G274" s="151">
        <f>145140-9816</f>
        <v>135324</v>
      </c>
      <c r="H274" s="158">
        <f>145140-9816</f>
        <v>135324</v>
      </c>
      <c r="I274" s="158">
        <f t="shared" si="13"/>
        <v>100</v>
      </c>
    </row>
    <row r="275" spans="1:10" s="148" customFormat="1" ht="31.5" outlineLevel="2">
      <c r="A275" s="144" t="s">
        <v>219</v>
      </c>
      <c r="B275" s="145" t="s">
        <v>15</v>
      </c>
      <c r="C275" s="145" t="s">
        <v>195</v>
      </c>
      <c r="D275" s="145" t="s">
        <v>220</v>
      </c>
      <c r="E275" s="145" t="s">
        <v>313</v>
      </c>
      <c r="F275" s="145" t="s">
        <v>25</v>
      </c>
      <c r="G275" s="146">
        <f aca="true" t="shared" si="14" ref="G275:H278">G276</f>
        <v>36200</v>
      </c>
      <c r="H275" s="161">
        <f t="shared" si="14"/>
        <v>30996.100000000002</v>
      </c>
      <c r="I275" s="161">
        <f t="shared" si="13"/>
        <v>85.62458563535913</v>
      </c>
      <c r="J275" s="147"/>
    </row>
    <row r="276" spans="1:10" s="148" customFormat="1" ht="63" outlineLevel="3">
      <c r="A276" s="144" t="s">
        <v>315</v>
      </c>
      <c r="B276" s="145" t="s">
        <v>15</v>
      </c>
      <c r="C276" s="145" t="s">
        <v>195</v>
      </c>
      <c r="D276" s="145" t="s">
        <v>220</v>
      </c>
      <c r="E276" s="145" t="s">
        <v>316</v>
      </c>
      <c r="F276" s="145" t="s">
        <v>25</v>
      </c>
      <c r="G276" s="146">
        <f t="shared" si="14"/>
        <v>36200</v>
      </c>
      <c r="H276" s="161">
        <f t="shared" si="14"/>
        <v>30996.100000000002</v>
      </c>
      <c r="I276" s="161">
        <f t="shared" si="13"/>
        <v>85.62458563535913</v>
      </c>
      <c r="J276" s="147"/>
    </row>
    <row r="277" spans="1:10" s="148" customFormat="1" ht="31.5" outlineLevel="4">
      <c r="A277" s="144" t="s">
        <v>364</v>
      </c>
      <c r="B277" s="145" t="s">
        <v>15</v>
      </c>
      <c r="C277" s="145" t="s">
        <v>195</v>
      </c>
      <c r="D277" s="145" t="s">
        <v>220</v>
      </c>
      <c r="E277" s="145" t="s">
        <v>365</v>
      </c>
      <c r="F277" s="145" t="s">
        <v>25</v>
      </c>
      <c r="G277" s="146">
        <f t="shared" si="14"/>
        <v>36200</v>
      </c>
      <c r="H277" s="161">
        <f t="shared" si="14"/>
        <v>30996.100000000002</v>
      </c>
      <c r="I277" s="161">
        <f t="shared" si="13"/>
        <v>85.62458563535913</v>
      </c>
      <c r="J277" s="147"/>
    </row>
    <row r="278" spans="1:9" ht="63" outlineLevel="5">
      <c r="A278" s="149" t="s">
        <v>510</v>
      </c>
      <c r="B278" s="150" t="s">
        <v>15</v>
      </c>
      <c r="C278" s="150" t="s">
        <v>195</v>
      </c>
      <c r="D278" s="150" t="s">
        <v>220</v>
      </c>
      <c r="E278" s="150" t="s">
        <v>511</v>
      </c>
      <c r="F278" s="150" t="s">
        <v>25</v>
      </c>
      <c r="G278" s="151">
        <f t="shared" si="14"/>
        <v>36200</v>
      </c>
      <c r="H278" s="158">
        <f t="shared" si="14"/>
        <v>30996.100000000002</v>
      </c>
      <c r="I278" s="158">
        <f t="shared" si="13"/>
        <v>85.62458563535913</v>
      </c>
    </row>
    <row r="279" spans="1:9" ht="110.25" outlineLevel="6">
      <c r="A279" s="149" t="s">
        <v>512</v>
      </c>
      <c r="B279" s="150" t="s">
        <v>15</v>
      </c>
      <c r="C279" s="150" t="s">
        <v>195</v>
      </c>
      <c r="D279" s="150" t="s">
        <v>220</v>
      </c>
      <c r="E279" s="150" t="s">
        <v>513</v>
      </c>
      <c r="F279" s="150" t="s">
        <v>25</v>
      </c>
      <c r="G279" s="151">
        <f>G280+G281</f>
        <v>36200</v>
      </c>
      <c r="H279" s="158">
        <f>H280+H281</f>
        <v>30996.100000000002</v>
      </c>
      <c r="I279" s="158">
        <f t="shared" si="13"/>
        <v>85.62458563535913</v>
      </c>
    </row>
    <row r="280" spans="1:9" ht="94.5" outlineLevel="7">
      <c r="A280" s="149" t="s">
        <v>323</v>
      </c>
      <c r="B280" s="150" t="s">
        <v>15</v>
      </c>
      <c r="C280" s="150" t="s">
        <v>195</v>
      </c>
      <c r="D280" s="150" t="s">
        <v>220</v>
      </c>
      <c r="E280" s="150" t="s">
        <v>513</v>
      </c>
      <c r="F280" s="150" t="s">
        <v>54</v>
      </c>
      <c r="G280" s="151">
        <v>32122.44</v>
      </c>
      <c r="H280" s="158">
        <v>29822.7</v>
      </c>
      <c r="I280" s="158">
        <f t="shared" si="13"/>
        <v>92.8407057496255</v>
      </c>
    </row>
    <row r="281" spans="1:9" ht="31.5" outlineLevel="7">
      <c r="A281" s="149" t="s">
        <v>324</v>
      </c>
      <c r="B281" s="150" t="s">
        <v>15</v>
      </c>
      <c r="C281" s="150" t="s">
        <v>195</v>
      </c>
      <c r="D281" s="150" t="s">
        <v>220</v>
      </c>
      <c r="E281" s="150" t="s">
        <v>513</v>
      </c>
      <c r="F281" s="150" t="s">
        <v>325</v>
      </c>
      <c r="G281" s="151">
        <v>4077.56</v>
      </c>
      <c r="H281" s="158">
        <v>1173.4</v>
      </c>
      <c r="I281" s="158">
        <f t="shared" si="13"/>
        <v>28.77701370427413</v>
      </c>
    </row>
    <row r="282" spans="1:10" s="148" customFormat="1" ht="15.75" outlineLevel="1">
      <c r="A282" s="144" t="s">
        <v>514</v>
      </c>
      <c r="B282" s="145" t="s">
        <v>15</v>
      </c>
      <c r="C282" s="145" t="s">
        <v>218</v>
      </c>
      <c r="D282" s="145" t="s">
        <v>189</v>
      </c>
      <c r="E282" s="145" t="s">
        <v>313</v>
      </c>
      <c r="F282" s="145" t="s">
        <v>25</v>
      </c>
      <c r="G282" s="146">
        <f>G283+G287</f>
        <v>9704191.190000001</v>
      </c>
      <c r="H282" s="161">
        <f>H283+H287</f>
        <v>9608930.02</v>
      </c>
      <c r="I282" s="161">
        <f t="shared" si="13"/>
        <v>99.01835023512143</v>
      </c>
      <c r="J282" s="147"/>
    </row>
    <row r="283" spans="1:10" s="148" customFormat="1" ht="15.75" outlineLevel="2">
      <c r="A283" s="144" t="s">
        <v>234</v>
      </c>
      <c r="B283" s="145" t="s">
        <v>15</v>
      </c>
      <c r="C283" s="145" t="s">
        <v>218</v>
      </c>
      <c r="D283" s="145" t="s">
        <v>188</v>
      </c>
      <c r="E283" s="145" t="s">
        <v>313</v>
      </c>
      <c r="F283" s="145" t="s">
        <v>25</v>
      </c>
      <c r="G283" s="146">
        <f aca="true" t="shared" si="15" ref="G283:H285">G284</f>
        <v>8237491.19</v>
      </c>
      <c r="H283" s="161">
        <f t="shared" si="15"/>
        <v>8187866.76</v>
      </c>
      <c r="I283" s="161">
        <f t="shared" si="13"/>
        <v>99.39757835419304</v>
      </c>
      <c r="J283" s="147"/>
    </row>
    <row r="284" spans="1:10" s="148" customFormat="1" ht="15.75" outlineLevel="3">
      <c r="A284" s="144" t="s">
        <v>329</v>
      </c>
      <c r="B284" s="145" t="s">
        <v>15</v>
      </c>
      <c r="C284" s="145" t="s">
        <v>218</v>
      </c>
      <c r="D284" s="145" t="s">
        <v>188</v>
      </c>
      <c r="E284" s="145" t="s">
        <v>330</v>
      </c>
      <c r="F284" s="145" t="s">
        <v>25</v>
      </c>
      <c r="G284" s="146">
        <f t="shared" si="15"/>
        <v>8237491.19</v>
      </c>
      <c r="H284" s="161">
        <f t="shared" si="15"/>
        <v>8187866.76</v>
      </c>
      <c r="I284" s="161">
        <f t="shared" si="13"/>
        <v>99.39757835419304</v>
      </c>
      <c r="J284" s="147"/>
    </row>
    <row r="285" spans="1:9" ht="94.5" outlineLevel="6">
      <c r="A285" s="149" t="s">
        <v>515</v>
      </c>
      <c r="B285" s="150" t="s">
        <v>15</v>
      </c>
      <c r="C285" s="150" t="s">
        <v>218</v>
      </c>
      <c r="D285" s="150" t="s">
        <v>188</v>
      </c>
      <c r="E285" s="150" t="s">
        <v>516</v>
      </c>
      <c r="F285" s="150" t="s">
        <v>25</v>
      </c>
      <c r="G285" s="151">
        <f t="shared" si="15"/>
        <v>8237491.19</v>
      </c>
      <c r="H285" s="158">
        <f t="shared" si="15"/>
        <v>8187866.76</v>
      </c>
      <c r="I285" s="161">
        <f t="shared" si="13"/>
        <v>99.39757835419304</v>
      </c>
    </row>
    <row r="286" spans="1:9" ht="31.5" outlineLevel="7">
      <c r="A286" s="149" t="s">
        <v>371</v>
      </c>
      <c r="B286" s="150" t="s">
        <v>15</v>
      </c>
      <c r="C286" s="150" t="s">
        <v>218</v>
      </c>
      <c r="D286" s="150" t="s">
        <v>188</v>
      </c>
      <c r="E286" s="150" t="s">
        <v>516</v>
      </c>
      <c r="F286" s="150" t="s">
        <v>372</v>
      </c>
      <c r="G286" s="151">
        <f>8284864.61-47373.42</f>
        <v>8237491.19</v>
      </c>
      <c r="H286" s="158">
        <v>8187866.76</v>
      </c>
      <c r="I286" s="158">
        <f t="shared" si="13"/>
        <v>99.39757835419304</v>
      </c>
    </row>
    <row r="287" spans="1:10" s="148" customFormat="1" ht="15.75" outlineLevel="2">
      <c r="A287" s="144" t="s">
        <v>236</v>
      </c>
      <c r="B287" s="145" t="s">
        <v>15</v>
      </c>
      <c r="C287" s="145" t="s">
        <v>218</v>
      </c>
      <c r="D287" s="145" t="s">
        <v>195</v>
      </c>
      <c r="E287" s="145" t="s">
        <v>313</v>
      </c>
      <c r="F287" s="145" t="s">
        <v>25</v>
      </c>
      <c r="G287" s="146">
        <f>G288</f>
        <v>1466700</v>
      </c>
      <c r="H287" s="161">
        <f>H288</f>
        <v>1421063.26</v>
      </c>
      <c r="I287" s="161">
        <f t="shared" si="13"/>
        <v>96.88847480739075</v>
      </c>
      <c r="J287" s="147"/>
    </row>
    <row r="288" spans="1:10" s="148" customFormat="1" ht="63" outlineLevel="3">
      <c r="A288" s="144" t="s">
        <v>315</v>
      </c>
      <c r="B288" s="145" t="s">
        <v>15</v>
      </c>
      <c r="C288" s="145" t="s">
        <v>218</v>
      </c>
      <c r="D288" s="145" t="s">
        <v>195</v>
      </c>
      <c r="E288" s="145" t="s">
        <v>316</v>
      </c>
      <c r="F288" s="145" t="s">
        <v>25</v>
      </c>
      <c r="G288" s="146">
        <f>G289</f>
        <v>1466700</v>
      </c>
      <c r="H288" s="161">
        <f>H289</f>
        <v>1421063.26</v>
      </c>
      <c r="I288" s="161">
        <f t="shared" si="13"/>
        <v>96.88847480739075</v>
      </c>
      <c r="J288" s="147"/>
    </row>
    <row r="289" spans="1:10" s="148" customFormat="1" ht="31.5" outlineLevel="4">
      <c r="A289" s="144" t="s">
        <v>364</v>
      </c>
      <c r="B289" s="145" t="s">
        <v>15</v>
      </c>
      <c r="C289" s="145" t="s">
        <v>218</v>
      </c>
      <c r="D289" s="145" t="s">
        <v>195</v>
      </c>
      <c r="E289" s="145" t="s">
        <v>365</v>
      </c>
      <c r="F289" s="145" t="s">
        <v>25</v>
      </c>
      <c r="G289" s="146">
        <f>G290+G294</f>
        <v>1466700</v>
      </c>
      <c r="H289" s="161">
        <f>H290+H294</f>
        <v>1421063.26</v>
      </c>
      <c r="I289" s="161">
        <f t="shared" si="13"/>
        <v>96.88847480739075</v>
      </c>
      <c r="J289" s="147"/>
    </row>
    <row r="290" spans="1:9" ht="47.25" outlineLevel="5">
      <c r="A290" s="149" t="s">
        <v>517</v>
      </c>
      <c r="B290" s="150" t="s">
        <v>15</v>
      </c>
      <c r="C290" s="150" t="s">
        <v>218</v>
      </c>
      <c r="D290" s="150" t="s">
        <v>195</v>
      </c>
      <c r="E290" s="150" t="s">
        <v>518</v>
      </c>
      <c r="F290" s="150" t="s">
        <v>25</v>
      </c>
      <c r="G290" s="151">
        <f>G291</f>
        <v>1321500</v>
      </c>
      <c r="H290" s="158">
        <f>H291</f>
        <v>1290442.9</v>
      </c>
      <c r="I290" s="158">
        <f t="shared" si="13"/>
        <v>97.64986000756714</v>
      </c>
    </row>
    <row r="291" spans="1:9" ht="63" outlineLevel="6">
      <c r="A291" s="149" t="s">
        <v>519</v>
      </c>
      <c r="B291" s="150" t="s">
        <v>15</v>
      </c>
      <c r="C291" s="150" t="s">
        <v>218</v>
      </c>
      <c r="D291" s="150" t="s">
        <v>195</v>
      </c>
      <c r="E291" s="150" t="s">
        <v>520</v>
      </c>
      <c r="F291" s="150" t="s">
        <v>25</v>
      </c>
      <c r="G291" s="151">
        <f>G292+G293</f>
        <v>1321500</v>
      </c>
      <c r="H291" s="158">
        <f>H292+H293</f>
        <v>1290442.9</v>
      </c>
      <c r="I291" s="158">
        <f t="shared" si="13"/>
        <v>97.64986000756714</v>
      </c>
    </row>
    <row r="292" spans="1:9" ht="94.5" outlineLevel="7">
      <c r="A292" s="149" t="s">
        <v>323</v>
      </c>
      <c r="B292" s="150" t="s">
        <v>15</v>
      </c>
      <c r="C292" s="150" t="s">
        <v>218</v>
      </c>
      <c r="D292" s="150" t="s">
        <v>195</v>
      </c>
      <c r="E292" s="150" t="s">
        <v>520</v>
      </c>
      <c r="F292" s="150" t="s">
        <v>54</v>
      </c>
      <c r="G292" s="151">
        <f>1185628.17+19000+21807.48</f>
        <v>1226435.65</v>
      </c>
      <c r="H292" s="158">
        <v>1209301.63</v>
      </c>
      <c r="I292" s="158">
        <f t="shared" si="13"/>
        <v>98.60294178500111</v>
      </c>
    </row>
    <row r="293" spans="1:9" ht="31.5" outlineLevel="7">
      <c r="A293" s="149" t="s">
        <v>324</v>
      </c>
      <c r="B293" s="150" t="s">
        <v>15</v>
      </c>
      <c r="C293" s="150" t="s">
        <v>218</v>
      </c>
      <c r="D293" s="150" t="s">
        <v>195</v>
      </c>
      <c r="E293" s="150" t="s">
        <v>520</v>
      </c>
      <c r="F293" s="150" t="s">
        <v>325</v>
      </c>
      <c r="G293" s="151">
        <f>135871.83-19000-21807.48</f>
        <v>95064.34999999999</v>
      </c>
      <c r="H293" s="158">
        <v>81141.27</v>
      </c>
      <c r="I293" s="158">
        <f t="shared" si="13"/>
        <v>85.35404702183311</v>
      </c>
    </row>
    <row r="294" spans="1:9" ht="110.25" outlineLevel="5">
      <c r="A294" s="149" t="s">
        <v>521</v>
      </c>
      <c r="B294" s="150" t="s">
        <v>15</v>
      </c>
      <c r="C294" s="150" t="s">
        <v>218</v>
      </c>
      <c r="D294" s="150" t="s">
        <v>195</v>
      </c>
      <c r="E294" s="150" t="s">
        <v>522</v>
      </c>
      <c r="F294" s="150" t="s">
        <v>25</v>
      </c>
      <c r="G294" s="151">
        <f>G295</f>
        <v>145200</v>
      </c>
      <c r="H294" s="158">
        <f>H295</f>
        <v>130620.36</v>
      </c>
      <c r="I294" s="158">
        <f t="shared" si="13"/>
        <v>89.9589256198347</v>
      </c>
    </row>
    <row r="295" spans="1:9" ht="126" outlineLevel="6">
      <c r="A295" s="149" t="s">
        <v>523</v>
      </c>
      <c r="B295" s="150" t="s">
        <v>15</v>
      </c>
      <c r="C295" s="150" t="s">
        <v>218</v>
      </c>
      <c r="D295" s="150" t="s">
        <v>195</v>
      </c>
      <c r="E295" s="150" t="s">
        <v>524</v>
      </c>
      <c r="F295" s="150" t="s">
        <v>25</v>
      </c>
      <c r="G295" s="151">
        <f>G296+G297</f>
        <v>145200</v>
      </c>
      <c r="H295" s="158">
        <f>H296+H297</f>
        <v>130620.36</v>
      </c>
      <c r="I295" s="158">
        <f t="shared" si="13"/>
        <v>89.9589256198347</v>
      </c>
    </row>
    <row r="296" spans="1:9" ht="94.5" outlineLevel="7">
      <c r="A296" s="149" t="s">
        <v>323</v>
      </c>
      <c r="B296" s="150" t="s">
        <v>15</v>
      </c>
      <c r="C296" s="150" t="s">
        <v>218</v>
      </c>
      <c r="D296" s="150" t="s">
        <v>195</v>
      </c>
      <c r="E296" s="150" t="s">
        <v>524</v>
      </c>
      <c r="F296" s="150" t="s">
        <v>54</v>
      </c>
      <c r="G296" s="151">
        <v>128488.7</v>
      </c>
      <c r="H296" s="158">
        <v>114140.36</v>
      </c>
      <c r="I296" s="158">
        <f t="shared" si="13"/>
        <v>88.83299465244804</v>
      </c>
    </row>
    <row r="297" spans="1:9" ht="31.5" outlineLevel="7">
      <c r="A297" s="149" t="s">
        <v>324</v>
      </c>
      <c r="B297" s="150" t="s">
        <v>15</v>
      </c>
      <c r="C297" s="150" t="s">
        <v>218</v>
      </c>
      <c r="D297" s="150" t="s">
        <v>195</v>
      </c>
      <c r="E297" s="150" t="s">
        <v>524</v>
      </c>
      <c r="F297" s="150" t="s">
        <v>325</v>
      </c>
      <c r="G297" s="151">
        <v>16711.3</v>
      </c>
      <c r="H297" s="158">
        <v>16480</v>
      </c>
      <c r="I297" s="158">
        <f t="shared" si="13"/>
        <v>98.61590660211952</v>
      </c>
    </row>
    <row r="298" spans="1:10" s="148" customFormat="1" ht="15.75" outlineLevel="1">
      <c r="A298" s="144" t="s">
        <v>239</v>
      </c>
      <c r="B298" s="145" t="s">
        <v>15</v>
      </c>
      <c r="C298" s="145" t="s">
        <v>220</v>
      </c>
      <c r="D298" s="145" t="s">
        <v>189</v>
      </c>
      <c r="E298" s="145" t="s">
        <v>313</v>
      </c>
      <c r="F298" s="145" t="s">
        <v>25</v>
      </c>
      <c r="G298" s="146">
        <f aca="true" t="shared" si="16" ref="G298:H303">G299</f>
        <v>419025.5</v>
      </c>
      <c r="H298" s="161">
        <f t="shared" si="16"/>
        <v>116681.5</v>
      </c>
      <c r="I298" s="161">
        <f t="shared" si="13"/>
        <v>27.845918685139686</v>
      </c>
      <c r="J298" s="147"/>
    </row>
    <row r="299" spans="1:10" s="148" customFormat="1" ht="15.75" outlineLevel="2">
      <c r="A299" s="144" t="s">
        <v>240</v>
      </c>
      <c r="B299" s="145" t="s">
        <v>15</v>
      </c>
      <c r="C299" s="145" t="s">
        <v>220</v>
      </c>
      <c r="D299" s="145" t="s">
        <v>191</v>
      </c>
      <c r="E299" s="145" t="s">
        <v>313</v>
      </c>
      <c r="F299" s="145" t="s">
        <v>25</v>
      </c>
      <c r="G299" s="146">
        <f t="shared" si="16"/>
        <v>419025.5</v>
      </c>
      <c r="H299" s="161">
        <f t="shared" si="16"/>
        <v>116681.5</v>
      </c>
      <c r="I299" s="161">
        <f t="shared" si="13"/>
        <v>27.845918685139686</v>
      </c>
      <c r="J299" s="147"/>
    </row>
    <row r="300" spans="1:10" s="148" customFormat="1" ht="47.25" outlineLevel="3">
      <c r="A300" s="144" t="s">
        <v>347</v>
      </c>
      <c r="B300" s="145" t="s">
        <v>15</v>
      </c>
      <c r="C300" s="145" t="s">
        <v>220</v>
      </c>
      <c r="D300" s="145" t="s">
        <v>191</v>
      </c>
      <c r="E300" s="145" t="s">
        <v>348</v>
      </c>
      <c r="F300" s="145" t="s">
        <v>25</v>
      </c>
      <c r="G300" s="146">
        <f t="shared" si="16"/>
        <v>419025.5</v>
      </c>
      <c r="H300" s="161">
        <f t="shared" si="16"/>
        <v>116681.5</v>
      </c>
      <c r="I300" s="161">
        <f t="shared" si="13"/>
        <v>27.845918685139686</v>
      </c>
      <c r="J300" s="147"/>
    </row>
    <row r="301" spans="1:10" s="148" customFormat="1" ht="78.75" outlineLevel="4">
      <c r="A301" s="144" t="s">
        <v>525</v>
      </c>
      <c r="B301" s="145" t="s">
        <v>15</v>
      </c>
      <c r="C301" s="145" t="s">
        <v>220</v>
      </c>
      <c r="D301" s="145" t="s">
        <v>191</v>
      </c>
      <c r="E301" s="145" t="s">
        <v>526</v>
      </c>
      <c r="F301" s="145" t="s">
        <v>25</v>
      </c>
      <c r="G301" s="146">
        <f t="shared" si="16"/>
        <v>419025.5</v>
      </c>
      <c r="H301" s="161">
        <f t="shared" si="16"/>
        <v>116681.5</v>
      </c>
      <c r="I301" s="161">
        <f t="shared" si="13"/>
        <v>27.845918685139686</v>
      </c>
      <c r="J301" s="147"/>
    </row>
    <row r="302" spans="1:9" ht="63" outlineLevel="5">
      <c r="A302" s="149" t="s">
        <v>527</v>
      </c>
      <c r="B302" s="150" t="s">
        <v>15</v>
      </c>
      <c r="C302" s="150" t="s">
        <v>220</v>
      </c>
      <c r="D302" s="150" t="s">
        <v>191</v>
      </c>
      <c r="E302" s="150" t="s">
        <v>528</v>
      </c>
      <c r="F302" s="150" t="s">
        <v>25</v>
      </c>
      <c r="G302" s="151">
        <f t="shared" si="16"/>
        <v>419025.5</v>
      </c>
      <c r="H302" s="158">
        <f t="shared" si="16"/>
        <v>116681.5</v>
      </c>
      <c r="I302" s="158">
        <f t="shared" si="13"/>
        <v>27.845918685139686</v>
      </c>
    </row>
    <row r="303" spans="1:9" ht="31.5" outlineLevel="6">
      <c r="A303" s="149" t="s">
        <v>353</v>
      </c>
      <c r="B303" s="150" t="s">
        <v>15</v>
      </c>
      <c r="C303" s="150" t="s">
        <v>220</v>
      </c>
      <c r="D303" s="150" t="s">
        <v>191</v>
      </c>
      <c r="E303" s="150" t="s">
        <v>529</v>
      </c>
      <c r="F303" s="150" t="s">
        <v>25</v>
      </c>
      <c r="G303" s="151">
        <f t="shared" si="16"/>
        <v>419025.5</v>
      </c>
      <c r="H303" s="158">
        <f t="shared" si="16"/>
        <v>116681.5</v>
      </c>
      <c r="I303" s="158">
        <f t="shared" si="13"/>
        <v>27.845918685139686</v>
      </c>
    </row>
    <row r="304" spans="1:9" ht="31.5" outlineLevel="7">
      <c r="A304" s="149" t="s">
        <v>324</v>
      </c>
      <c r="B304" s="150" t="s">
        <v>15</v>
      </c>
      <c r="C304" s="150" t="s">
        <v>220</v>
      </c>
      <c r="D304" s="150" t="s">
        <v>191</v>
      </c>
      <c r="E304" s="150" t="s">
        <v>529</v>
      </c>
      <c r="F304" s="150" t="s">
        <v>325</v>
      </c>
      <c r="G304" s="151">
        <f>1425000-1005974.5</f>
        <v>419025.5</v>
      </c>
      <c r="H304" s="158">
        <v>116681.5</v>
      </c>
      <c r="I304" s="158">
        <f t="shared" si="13"/>
        <v>27.845918685139686</v>
      </c>
    </row>
    <row r="305" spans="1:10" s="148" customFormat="1" ht="31.5">
      <c r="A305" s="144" t="s">
        <v>123</v>
      </c>
      <c r="B305" s="145" t="s">
        <v>18</v>
      </c>
      <c r="C305" s="145" t="s">
        <v>189</v>
      </c>
      <c r="D305" s="145" t="s">
        <v>189</v>
      </c>
      <c r="E305" s="145" t="s">
        <v>313</v>
      </c>
      <c r="F305" s="145" t="s">
        <v>25</v>
      </c>
      <c r="G305" s="146">
        <f>G306+G394+G470+G579+G573</f>
        <v>373737017.26000005</v>
      </c>
      <c r="H305" s="161">
        <f>H306+H394+H470+H579+H573</f>
        <v>361570594.8030001</v>
      </c>
      <c r="I305" s="161">
        <f t="shared" si="13"/>
        <v>96.74465683217672</v>
      </c>
      <c r="J305" s="147">
        <v>361570594.8</v>
      </c>
    </row>
    <row r="306" spans="1:10" s="148" customFormat="1" ht="15.75" outlineLevel="1">
      <c r="A306" s="144" t="s">
        <v>314</v>
      </c>
      <c r="B306" s="145" t="s">
        <v>18</v>
      </c>
      <c r="C306" s="145" t="s">
        <v>188</v>
      </c>
      <c r="D306" s="145" t="s">
        <v>189</v>
      </c>
      <c r="E306" s="145" t="s">
        <v>313</v>
      </c>
      <c r="F306" s="145" t="s">
        <v>25</v>
      </c>
      <c r="G306" s="146">
        <f>G307+G332</f>
        <v>53298232.56</v>
      </c>
      <c r="H306" s="161">
        <f>H307+H332</f>
        <v>52648533.580000006</v>
      </c>
      <c r="I306" s="161">
        <f t="shared" si="13"/>
        <v>98.78101214844489</v>
      </c>
      <c r="J306" s="147">
        <f>H305-J305</f>
        <v>0.0030000805854797363</v>
      </c>
    </row>
    <row r="307" spans="1:10" s="148" customFormat="1" ht="78.75" outlineLevel="2">
      <c r="A307" s="144" t="s">
        <v>194</v>
      </c>
      <c r="B307" s="145" t="s">
        <v>18</v>
      </c>
      <c r="C307" s="145" t="s">
        <v>188</v>
      </c>
      <c r="D307" s="145" t="s">
        <v>195</v>
      </c>
      <c r="E307" s="145" t="s">
        <v>313</v>
      </c>
      <c r="F307" s="145" t="s">
        <v>25</v>
      </c>
      <c r="G307" s="146">
        <f>G308</f>
        <v>12641917.28</v>
      </c>
      <c r="H307" s="161">
        <f>H308</f>
        <v>12416628.78</v>
      </c>
      <c r="I307" s="161">
        <f t="shared" si="13"/>
        <v>98.21792458366725</v>
      </c>
      <c r="J307" s="147"/>
    </row>
    <row r="308" spans="1:10" s="148" customFormat="1" ht="63" outlineLevel="3">
      <c r="A308" s="144" t="s">
        <v>315</v>
      </c>
      <c r="B308" s="145" t="s">
        <v>18</v>
      </c>
      <c r="C308" s="145" t="s">
        <v>188</v>
      </c>
      <c r="D308" s="145" t="s">
        <v>195</v>
      </c>
      <c r="E308" s="145" t="s">
        <v>316</v>
      </c>
      <c r="F308" s="145" t="s">
        <v>25</v>
      </c>
      <c r="G308" s="146">
        <f>G309+G320</f>
        <v>12641917.28</v>
      </c>
      <c r="H308" s="161">
        <f>H309+H320</f>
        <v>12416628.78</v>
      </c>
      <c r="I308" s="161">
        <f t="shared" si="13"/>
        <v>98.21792458366725</v>
      </c>
      <c r="J308" s="147"/>
    </row>
    <row r="309" spans="1:10" s="148" customFormat="1" ht="47.25" outlineLevel="4">
      <c r="A309" s="144" t="s">
        <v>530</v>
      </c>
      <c r="B309" s="145" t="s">
        <v>18</v>
      </c>
      <c r="C309" s="145" t="s">
        <v>188</v>
      </c>
      <c r="D309" s="145" t="s">
        <v>195</v>
      </c>
      <c r="E309" s="145" t="s">
        <v>531</v>
      </c>
      <c r="F309" s="145" t="s">
        <v>25</v>
      </c>
      <c r="G309" s="146">
        <f>G310</f>
        <v>12567017.28</v>
      </c>
      <c r="H309" s="161">
        <f>H310</f>
        <v>12347411.78</v>
      </c>
      <c r="I309" s="161">
        <f t="shared" si="13"/>
        <v>98.25252488234027</v>
      </c>
      <c r="J309" s="147"/>
    </row>
    <row r="310" spans="1:9" ht="31.5" outlineLevel="5">
      <c r="A310" s="149" t="s">
        <v>532</v>
      </c>
      <c r="B310" s="150" t="s">
        <v>18</v>
      </c>
      <c r="C310" s="150" t="s">
        <v>188</v>
      </c>
      <c r="D310" s="150" t="s">
        <v>195</v>
      </c>
      <c r="E310" s="150" t="s">
        <v>533</v>
      </c>
      <c r="F310" s="150" t="s">
        <v>25</v>
      </c>
      <c r="G310" s="151">
        <f>G311+G313+G318+G316</f>
        <v>12567017.28</v>
      </c>
      <c r="H310" s="158">
        <f>H311+H313+H318+H316</f>
        <v>12347411.78</v>
      </c>
      <c r="I310" s="158">
        <f t="shared" si="13"/>
        <v>98.25252488234027</v>
      </c>
    </row>
    <row r="311" spans="1:9" ht="31.5" outlineLevel="6">
      <c r="A311" s="149" t="s">
        <v>343</v>
      </c>
      <c r="B311" s="150" t="s">
        <v>18</v>
      </c>
      <c r="C311" s="150" t="s">
        <v>188</v>
      </c>
      <c r="D311" s="150" t="s">
        <v>195</v>
      </c>
      <c r="E311" s="150" t="s">
        <v>534</v>
      </c>
      <c r="F311" s="150" t="s">
        <v>25</v>
      </c>
      <c r="G311" s="151">
        <f>G312</f>
        <v>11918864.52</v>
      </c>
      <c r="H311" s="158">
        <f>H312</f>
        <v>11803701.75</v>
      </c>
      <c r="I311" s="158">
        <f t="shared" si="13"/>
        <v>99.03377733838022</v>
      </c>
    </row>
    <row r="312" spans="1:9" ht="94.5" outlineLevel="7">
      <c r="A312" s="149" t="s">
        <v>323</v>
      </c>
      <c r="B312" s="150" t="s">
        <v>18</v>
      </c>
      <c r="C312" s="150" t="s">
        <v>188</v>
      </c>
      <c r="D312" s="150" t="s">
        <v>195</v>
      </c>
      <c r="E312" s="150" t="s">
        <v>534</v>
      </c>
      <c r="F312" s="150" t="s">
        <v>54</v>
      </c>
      <c r="G312" s="151">
        <f>11794269.84+521257.44-28780.32-367882.44</f>
        <v>11918864.52</v>
      </c>
      <c r="H312" s="158">
        <v>11803701.75</v>
      </c>
      <c r="I312" s="158">
        <f t="shared" si="13"/>
        <v>99.03377733838022</v>
      </c>
    </row>
    <row r="313" spans="1:9" ht="31.5" outlineLevel="6">
      <c r="A313" s="149" t="s">
        <v>321</v>
      </c>
      <c r="B313" s="150" t="s">
        <v>18</v>
      </c>
      <c r="C313" s="150" t="s">
        <v>188</v>
      </c>
      <c r="D313" s="150" t="s">
        <v>195</v>
      </c>
      <c r="E313" s="150" t="s">
        <v>535</v>
      </c>
      <c r="F313" s="150" t="s">
        <v>25</v>
      </c>
      <c r="G313" s="151">
        <f>G314+G315</f>
        <v>2525</v>
      </c>
      <c r="H313" s="158">
        <f>H314+H315</f>
        <v>2450</v>
      </c>
      <c r="I313" s="158">
        <f t="shared" si="13"/>
        <v>97.02970297029702</v>
      </c>
    </row>
    <row r="314" spans="1:9" ht="94.5" outlineLevel="7">
      <c r="A314" s="149" t="s">
        <v>323</v>
      </c>
      <c r="B314" s="150" t="s">
        <v>18</v>
      </c>
      <c r="C314" s="150" t="s">
        <v>188</v>
      </c>
      <c r="D314" s="150" t="s">
        <v>195</v>
      </c>
      <c r="E314" s="150" t="s">
        <v>535</v>
      </c>
      <c r="F314" s="150" t="s">
        <v>54</v>
      </c>
      <c r="G314" s="151">
        <f>900-375</f>
        <v>525</v>
      </c>
      <c r="H314" s="158">
        <v>450</v>
      </c>
      <c r="I314" s="158">
        <f t="shared" si="13"/>
        <v>85.71428571428571</v>
      </c>
    </row>
    <row r="315" spans="1:9" ht="31.5" outlineLevel="7">
      <c r="A315" s="149" t="s">
        <v>324</v>
      </c>
      <c r="B315" s="150" t="s">
        <v>18</v>
      </c>
      <c r="C315" s="150" t="s">
        <v>188</v>
      </c>
      <c r="D315" s="150" t="s">
        <v>195</v>
      </c>
      <c r="E315" s="150" t="s">
        <v>535</v>
      </c>
      <c r="F315" s="150" t="s">
        <v>325</v>
      </c>
      <c r="G315" s="151">
        <f>2000</f>
        <v>2000</v>
      </c>
      <c r="H315" s="158">
        <f>2000</f>
        <v>2000</v>
      </c>
      <c r="I315" s="158">
        <f t="shared" si="13"/>
        <v>100</v>
      </c>
    </row>
    <row r="316" spans="1:9" ht="141.75" outlineLevel="7">
      <c r="A316" s="149" t="s">
        <v>536</v>
      </c>
      <c r="B316" s="150" t="s">
        <v>18</v>
      </c>
      <c r="C316" s="150" t="s">
        <v>188</v>
      </c>
      <c r="D316" s="150" t="s">
        <v>195</v>
      </c>
      <c r="E316" s="150" t="s">
        <v>537</v>
      </c>
      <c r="F316" s="150" t="s">
        <v>25</v>
      </c>
      <c r="G316" s="151">
        <f>G317</f>
        <v>396662.76</v>
      </c>
      <c r="H316" s="158">
        <f>H317</f>
        <v>390091.95</v>
      </c>
      <c r="I316" s="158">
        <f t="shared" si="13"/>
        <v>98.34347696264706</v>
      </c>
    </row>
    <row r="317" spans="1:9" ht="94.5" outlineLevel="7">
      <c r="A317" s="149" t="s">
        <v>323</v>
      </c>
      <c r="B317" s="150" t="s">
        <v>18</v>
      </c>
      <c r="C317" s="150" t="s">
        <v>188</v>
      </c>
      <c r="D317" s="150" t="s">
        <v>195</v>
      </c>
      <c r="E317" s="150" t="s">
        <v>537</v>
      </c>
      <c r="F317" s="150" t="s">
        <v>54</v>
      </c>
      <c r="G317" s="151">
        <f>304656.5+92006.26</f>
        <v>396662.76</v>
      </c>
      <c r="H317" s="158">
        <v>390091.95</v>
      </c>
      <c r="I317" s="158">
        <f t="shared" si="13"/>
        <v>98.34347696264706</v>
      </c>
    </row>
    <row r="318" spans="1:9" ht="78.75" outlineLevel="6">
      <c r="A318" s="149" t="s">
        <v>335</v>
      </c>
      <c r="B318" s="150" t="s">
        <v>18</v>
      </c>
      <c r="C318" s="150" t="s">
        <v>188</v>
      </c>
      <c r="D318" s="150" t="s">
        <v>195</v>
      </c>
      <c r="E318" s="150" t="s">
        <v>538</v>
      </c>
      <c r="F318" s="150" t="s">
        <v>25</v>
      </c>
      <c r="G318" s="151">
        <f>G319</f>
        <v>248965</v>
      </c>
      <c r="H318" s="158">
        <f>H319</f>
        <v>151168.08</v>
      </c>
      <c r="I318" s="158">
        <f t="shared" si="13"/>
        <v>60.7186070331171</v>
      </c>
    </row>
    <row r="319" spans="1:9" ht="94.5" outlineLevel="7">
      <c r="A319" s="149" t="s">
        <v>323</v>
      </c>
      <c r="B319" s="150" t="s">
        <v>18</v>
      </c>
      <c r="C319" s="150" t="s">
        <v>188</v>
      </c>
      <c r="D319" s="150" t="s">
        <v>195</v>
      </c>
      <c r="E319" s="150" t="s">
        <v>538</v>
      </c>
      <c r="F319" s="150" t="s">
        <v>54</v>
      </c>
      <c r="G319" s="151">
        <v>248965</v>
      </c>
      <c r="H319" s="158">
        <v>151168.08</v>
      </c>
      <c r="I319" s="158">
        <f aca="true" t="shared" si="17" ref="I319:I382">H319/G319*100</f>
        <v>60.7186070331171</v>
      </c>
    </row>
    <row r="320" spans="1:10" s="148" customFormat="1" ht="31.5" outlineLevel="4">
      <c r="A320" s="144" t="s">
        <v>317</v>
      </c>
      <c r="B320" s="145" t="s">
        <v>18</v>
      </c>
      <c r="C320" s="145" t="s">
        <v>188</v>
      </c>
      <c r="D320" s="145" t="s">
        <v>195</v>
      </c>
      <c r="E320" s="145" t="s">
        <v>318</v>
      </c>
      <c r="F320" s="145" t="s">
        <v>25</v>
      </c>
      <c r="G320" s="146">
        <f>G321+G325+G328</f>
        <v>74900</v>
      </c>
      <c r="H320" s="161">
        <f>H321+H325+H328</f>
        <v>69217</v>
      </c>
      <c r="I320" s="161">
        <f t="shared" si="17"/>
        <v>92.41255006675567</v>
      </c>
      <c r="J320" s="147"/>
    </row>
    <row r="321" spans="1:9" ht="63" outlineLevel="5">
      <c r="A321" s="149" t="s">
        <v>337</v>
      </c>
      <c r="B321" s="150" t="s">
        <v>18</v>
      </c>
      <c r="C321" s="150" t="s">
        <v>188</v>
      </c>
      <c r="D321" s="150" t="s">
        <v>195</v>
      </c>
      <c r="E321" s="150" t="s">
        <v>320</v>
      </c>
      <c r="F321" s="150" t="s">
        <v>25</v>
      </c>
      <c r="G321" s="151">
        <f>G322</f>
        <v>9899.999999999993</v>
      </c>
      <c r="H321" s="158">
        <f>H322</f>
        <v>9899.999999999993</v>
      </c>
      <c r="I321" s="158">
        <f t="shared" si="17"/>
        <v>100</v>
      </c>
    </row>
    <row r="322" spans="1:9" ht="31.5" outlineLevel="6">
      <c r="A322" s="149" t="s">
        <v>321</v>
      </c>
      <c r="B322" s="150" t="s">
        <v>18</v>
      </c>
      <c r="C322" s="150" t="s">
        <v>188</v>
      </c>
      <c r="D322" s="150" t="s">
        <v>195</v>
      </c>
      <c r="E322" s="150" t="s">
        <v>322</v>
      </c>
      <c r="F322" s="150" t="s">
        <v>25</v>
      </c>
      <c r="G322" s="151">
        <f>G324+G323</f>
        <v>9899.999999999993</v>
      </c>
      <c r="H322" s="158">
        <f>H324+H323</f>
        <v>9899.999999999993</v>
      </c>
      <c r="I322" s="158">
        <f t="shared" si="17"/>
        <v>100</v>
      </c>
    </row>
    <row r="323" spans="1:9" ht="94.5" hidden="1" outlineLevel="7">
      <c r="A323" s="149" t="s">
        <v>323</v>
      </c>
      <c r="B323" s="150" t="s">
        <v>18</v>
      </c>
      <c r="C323" s="150" t="s">
        <v>188</v>
      </c>
      <c r="D323" s="150" t="s">
        <v>195</v>
      </c>
      <c r="E323" s="150" t="s">
        <v>322</v>
      </c>
      <c r="F323" s="150" t="s">
        <v>54</v>
      </c>
      <c r="G323" s="151">
        <f>13200-13200</f>
        <v>0</v>
      </c>
      <c r="H323" s="158">
        <f>13200-13200</f>
        <v>0</v>
      </c>
      <c r="I323" s="158" t="e">
        <f t="shared" si="17"/>
        <v>#DIV/0!</v>
      </c>
    </row>
    <row r="324" spans="1:9" ht="31.5" outlineLevel="7">
      <c r="A324" s="149" t="s">
        <v>324</v>
      </c>
      <c r="B324" s="150" t="s">
        <v>18</v>
      </c>
      <c r="C324" s="150" t="s">
        <v>188</v>
      </c>
      <c r="D324" s="150" t="s">
        <v>195</v>
      </c>
      <c r="E324" s="150" t="s">
        <v>322</v>
      </c>
      <c r="F324" s="150" t="s">
        <v>325</v>
      </c>
      <c r="G324" s="151">
        <f>70001.4-2000-58101.4</f>
        <v>9899.999999999993</v>
      </c>
      <c r="H324" s="158">
        <f>70001.4-2000-58101.4</f>
        <v>9899.999999999993</v>
      </c>
      <c r="I324" s="158">
        <f t="shared" si="17"/>
        <v>100</v>
      </c>
    </row>
    <row r="325" spans="1:9" ht="15.75" outlineLevel="5">
      <c r="A325" s="149" t="s">
        <v>338</v>
      </c>
      <c r="B325" s="150" t="s">
        <v>18</v>
      </c>
      <c r="C325" s="150" t="s">
        <v>188</v>
      </c>
      <c r="D325" s="150" t="s">
        <v>195</v>
      </c>
      <c r="E325" s="150" t="s">
        <v>339</v>
      </c>
      <c r="F325" s="150" t="s">
        <v>25</v>
      </c>
      <c r="G325" s="151">
        <f>G326</f>
        <v>65000</v>
      </c>
      <c r="H325" s="158">
        <f>H326</f>
        <v>59317</v>
      </c>
      <c r="I325" s="158">
        <f t="shared" si="17"/>
        <v>91.25692307692307</v>
      </c>
    </row>
    <row r="326" spans="1:9" ht="31.5" outlineLevel="6">
      <c r="A326" s="149" t="s">
        <v>321</v>
      </c>
      <c r="B326" s="150" t="s">
        <v>18</v>
      </c>
      <c r="C326" s="150" t="s">
        <v>188</v>
      </c>
      <c r="D326" s="150" t="s">
        <v>195</v>
      </c>
      <c r="E326" s="150" t="s">
        <v>340</v>
      </c>
      <c r="F326" s="150" t="s">
        <v>25</v>
      </c>
      <c r="G326" s="151">
        <f>G327</f>
        <v>65000</v>
      </c>
      <c r="H326" s="158">
        <f>H327</f>
        <v>59317</v>
      </c>
      <c r="I326" s="158">
        <f t="shared" si="17"/>
        <v>91.25692307692307</v>
      </c>
    </row>
    <row r="327" spans="1:9" ht="31.5" outlineLevel="7">
      <c r="A327" s="149" t="s">
        <v>324</v>
      </c>
      <c r="B327" s="150" t="s">
        <v>18</v>
      </c>
      <c r="C327" s="150" t="s">
        <v>188</v>
      </c>
      <c r="D327" s="150" t="s">
        <v>195</v>
      </c>
      <c r="E327" s="150" t="s">
        <v>340</v>
      </c>
      <c r="F327" s="150" t="s">
        <v>325</v>
      </c>
      <c r="G327" s="151">
        <f>78000-13000</f>
        <v>65000</v>
      </c>
      <c r="H327" s="158">
        <v>59317</v>
      </c>
      <c r="I327" s="158">
        <f t="shared" si="17"/>
        <v>91.25692307692307</v>
      </c>
    </row>
    <row r="328" spans="1:9" ht="47.25" hidden="1" outlineLevel="5">
      <c r="A328" s="149" t="s">
        <v>326</v>
      </c>
      <c r="B328" s="150" t="s">
        <v>18</v>
      </c>
      <c r="C328" s="150" t="s">
        <v>188</v>
      </c>
      <c r="D328" s="150" t="s">
        <v>195</v>
      </c>
      <c r="E328" s="150" t="s">
        <v>327</v>
      </c>
      <c r="F328" s="150" t="s">
        <v>25</v>
      </c>
      <c r="G328" s="151">
        <f>G329</f>
        <v>0</v>
      </c>
      <c r="H328" s="158">
        <f>H329</f>
        <v>0</v>
      </c>
      <c r="I328" s="161" t="e">
        <f t="shared" si="17"/>
        <v>#DIV/0!</v>
      </c>
    </row>
    <row r="329" spans="1:9" ht="31.5" hidden="1" outlineLevel="6">
      <c r="A329" s="149" t="s">
        <v>321</v>
      </c>
      <c r="B329" s="150" t="s">
        <v>18</v>
      </c>
      <c r="C329" s="150" t="s">
        <v>188</v>
      </c>
      <c r="D329" s="150" t="s">
        <v>195</v>
      </c>
      <c r="E329" s="150" t="s">
        <v>328</v>
      </c>
      <c r="F329" s="150" t="s">
        <v>25</v>
      </c>
      <c r="G329" s="151">
        <f>G330+G331</f>
        <v>0</v>
      </c>
      <c r="H329" s="158">
        <f>H330+H331</f>
        <v>0</v>
      </c>
      <c r="I329" s="161" t="e">
        <f t="shared" si="17"/>
        <v>#DIV/0!</v>
      </c>
    </row>
    <row r="330" spans="1:9" ht="94.5" hidden="1" outlineLevel="7">
      <c r="A330" s="149" t="s">
        <v>323</v>
      </c>
      <c r="B330" s="150" t="s">
        <v>18</v>
      </c>
      <c r="C330" s="150" t="s">
        <v>188</v>
      </c>
      <c r="D330" s="150" t="s">
        <v>195</v>
      </c>
      <c r="E330" s="150" t="s">
        <v>328</v>
      </c>
      <c r="F330" s="150" t="s">
        <v>54</v>
      </c>
      <c r="G330" s="151">
        <f>48910.04-48910.04</f>
        <v>0</v>
      </c>
      <c r="H330" s="158">
        <f>48910.04-48910.04</f>
        <v>0</v>
      </c>
      <c r="I330" s="161" t="e">
        <f t="shared" si="17"/>
        <v>#DIV/0!</v>
      </c>
    </row>
    <row r="331" spans="1:9" ht="31.5" hidden="1" outlineLevel="7">
      <c r="A331" s="149" t="s">
        <v>324</v>
      </c>
      <c r="B331" s="150" t="s">
        <v>18</v>
      </c>
      <c r="C331" s="150" t="s">
        <v>188</v>
      </c>
      <c r="D331" s="150" t="s">
        <v>195</v>
      </c>
      <c r="E331" s="150" t="s">
        <v>328</v>
      </c>
      <c r="F331" s="150" t="s">
        <v>325</v>
      </c>
      <c r="G331" s="151">
        <f>45000-45000</f>
        <v>0</v>
      </c>
      <c r="H331" s="158">
        <f>45000-45000</f>
        <v>0</v>
      </c>
      <c r="I331" s="161" t="e">
        <f t="shared" si="17"/>
        <v>#DIV/0!</v>
      </c>
    </row>
    <row r="332" spans="1:10" s="148" customFormat="1" ht="15.75" outlineLevel="2" collapsed="1">
      <c r="A332" s="144" t="s">
        <v>204</v>
      </c>
      <c r="B332" s="145" t="s">
        <v>18</v>
      </c>
      <c r="C332" s="145" t="s">
        <v>188</v>
      </c>
      <c r="D332" s="145" t="s">
        <v>205</v>
      </c>
      <c r="E332" s="145" t="s">
        <v>313</v>
      </c>
      <c r="F332" s="145" t="s">
        <v>25</v>
      </c>
      <c r="G332" s="146">
        <f>G333+G342+G349+G357+G388</f>
        <v>40656315.28</v>
      </c>
      <c r="H332" s="161">
        <f>H333+H342+H349+H357+H388</f>
        <v>40231904.800000004</v>
      </c>
      <c r="I332" s="161">
        <f t="shared" si="17"/>
        <v>98.9561019559272</v>
      </c>
      <c r="J332" s="147"/>
    </row>
    <row r="333" spans="1:10" s="148" customFormat="1" ht="47.25" outlineLevel="3">
      <c r="A333" s="144" t="s">
        <v>387</v>
      </c>
      <c r="B333" s="145" t="s">
        <v>18</v>
      </c>
      <c r="C333" s="145" t="s">
        <v>188</v>
      </c>
      <c r="D333" s="145" t="s">
        <v>205</v>
      </c>
      <c r="E333" s="145" t="s">
        <v>388</v>
      </c>
      <c r="F333" s="145" t="s">
        <v>25</v>
      </c>
      <c r="G333" s="146">
        <f>G338+G334</f>
        <v>287000</v>
      </c>
      <c r="H333" s="161">
        <f>H338+H334</f>
        <v>286800</v>
      </c>
      <c r="I333" s="161">
        <f t="shared" si="17"/>
        <v>99.93031358885017</v>
      </c>
      <c r="J333" s="147"/>
    </row>
    <row r="334" spans="1:10" s="148" customFormat="1" ht="47.25" hidden="1" outlineLevel="3">
      <c r="A334" s="144" t="s">
        <v>389</v>
      </c>
      <c r="B334" s="145" t="s">
        <v>18</v>
      </c>
      <c r="C334" s="145" t="s">
        <v>188</v>
      </c>
      <c r="D334" s="145" t="s">
        <v>205</v>
      </c>
      <c r="E334" s="145" t="s">
        <v>390</v>
      </c>
      <c r="F334" s="145" t="s">
        <v>25</v>
      </c>
      <c r="G334" s="146">
        <f aca="true" t="shared" si="18" ref="G334:H336">G335</f>
        <v>0</v>
      </c>
      <c r="H334" s="161">
        <f t="shared" si="18"/>
        <v>0</v>
      </c>
      <c r="I334" s="161" t="e">
        <f t="shared" si="17"/>
        <v>#DIV/0!</v>
      </c>
      <c r="J334" s="147"/>
    </row>
    <row r="335" spans="1:10" s="148" customFormat="1" ht="63" hidden="1" outlineLevel="3">
      <c r="A335" s="149" t="s">
        <v>539</v>
      </c>
      <c r="B335" s="150" t="s">
        <v>18</v>
      </c>
      <c r="C335" s="150" t="s">
        <v>188</v>
      </c>
      <c r="D335" s="150" t="s">
        <v>205</v>
      </c>
      <c r="E335" s="150" t="s">
        <v>540</v>
      </c>
      <c r="F335" s="150" t="s">
        <v>25</v>
      </c>
      <c r="G335" s="151">
        <f t="shared" si="18"/>
        <v>0</v>
      </c>
      <c r="H335" s="158">
        <f t="shared" si="18"/>
        <v>0</v>
      </c>
      <c r="I335" s="161" t="e">
        <f t="shared" si="17"/>
        <v>#DIV/0!</v>
      </c>
      <c r="J335" s="147"/>
    </row>
    <row r="336" spans="1:10" s="148" customFormat="1" ht="31.5" hidden="1" outlineLevel="3">
      <c r="A336" s="149" t="s">
        <v>353</v>
      </c>
      <c r="B336" s="150" t="s">
        <v>18</v>
      </c>
      <c r="C336" s="150" t="s">
        <v>188</v>
      </c>
      <c r="D336" s="150" t="s">
        <v>205</v>
      </c>
      <c r="E336" s="150" t="s">
        <v>541</v>
      </c>
      <c r="F336" s="150" t="s">
        <v>25</v>
      </c>
      <c r="G336" s="151">
        <f t="shared" si="18"/>
        <v>0</v>
      </c>
      <c r="H336" s="158">
        <f t="shared" si="18"/>
        <v>0</v>
      </c>
      <c r="I336" s="161" t="e">
        <f t="shared" si="17"/>
        <v>#DIV/0!</v>
      </c>
      <c r="J336" s="147"/>
    </row>
    <row r="337" spans="1:10" s="148" customFormat="1" ht="31.5" hidden="1" outlineLevel="3">
      <c r="A337" s="149" t="s">
        <v>324</v>
      </c>
      <c r="B337" s="150" t="s">
        <v>18</v>
      </c>
      <c r="C337" s="150" t="s">
        <v>188</v>
      </c>
      <c r="D337" s="150" t="s">
        <v>205</v>
      </c>
      <c r="E337" s="150" t="s">
        <v>541</v>
      </c>
      <c r="F337" s="150" t="s">
        <v>325</v>
      </c>
      <c r="G337" s="151">
        <f>1455247.98-1455247.98</f>
        <v>0</v>
      </c>
      <c r="H337" s="158">
        <f>1455247.98-1455247.98</f>
        <v>0</v>
      </c>
      <c r="I337" s="161" t="e">
        <f t="shared" si="17"/>
        <v>#DIV/0!</v>
      </c>
      <c r="J337" s="147"/>
    </row>
    <row r="338" spans="1:10" s="148" customFormat="1" ht="47.25" outlineLevel="4">
      <c r="A338" s="144" t="s">
        <v>542</v>
      </c>
      <c r="B338" s="145" t="s">
        <v>18</v>
      </c>
      <c r="C338" s="145" t="s">
        <v>188</v>
      </c>
      <c r="D338" s="145" t="s">
        <v>205</v>
      </c>
      <c r="E338" s="145" t="s">
        <v>543</v>
      </c>
      <c r="F338" s="145" t="s">
        <v>25</v>
      </c>
      <c r="G338" s="146">
        <f aca="true" t="shared" si="19" ref="G338:H340">G339</f>
        <v>287000</v>
      </c>
      <c r="H338" s="161">
        <f t="shared" si="19"/>
        <v>286800</v>
      </c>
      <c r="I338" s="161">
        <f t="shared" si="17"/>
        <v>99.93031358885017</v>
      </c>
      <c r="J338" s="147"/>
    </row>
    <row r="339" spans="1:9" ht="63" outlineLevel="5">
      <c r="A339" s="149" t="s">
        <v>544</v>
      </c>
      <c r="B339" s="150" t="s">
        <v>18</v>
      </c>
      <c r="C339" s="150" t="s">
        <v>188</v>
      </c>
      <c r="D339" s="150" t="s">
        <v>205</v>
      </c>
      <c r="E339" s="150" t="s">
        <v>545</v>
      </c>
      <c r="F339" s="150" t="s">
        <v>25</v>
      </c>
      <c r="G339" s="151">
        <f t="shared" si="19"/>
        <v>287000</v>
      </c>
      <c r="H339" s="158">
        <f t="shared" si="19"/>
        <v>286800</v>
      </c>
      <c r="I339" s="158">
        <f t="shared" si="17"/>
        <v>99.93031358885017</v>
      </c>
    </row>
    <row r="340" spans="1:9" ht="31.5" outlineLevel="6">
      <c r="A340" s="149" t="s">
        <v>353</v>
      </c>
      <c r="B340" s="150" t="s">
        <v>18</v>
      </c>
      <c r="C340" s="150" t="s">
        <v>188</v>
      </c>
      <c r="D340" s="150" t="s">
        <v>205</v>
      </c>
      <c r="E340" s="150" t="s">
        <v>546</v>
      </c>
      <c r="F340" s="150" t="s">
        <v>25</v>
      </c>
      <c r="G340" s="151">
        <f t="shared" si="19"/>
        <v>287000</v>
      </c>
      <c r="H340" s="158">
        <f t="shared" si="19"/>
        <v>286800</v>
      </c>
      <c r="I340" s="158">
        <f t="shared" si="17"/>
        <v>99.93031358885017</v>
      </c>
    </row>
    <row r="341" spans="1:9" ht="31.5" outlineLevel="7">
      <c r="A341" s="149" t="s">
        <v>324</v>
      </c>
      <c r="B341" s="150" t="s">
        <v>18</v>
      </c>
      <c r="C341" s="150" t="s">
        <v>188</v>
      </c>
      <c r="D341" s="150" t="s">
        <v>205</v>
      </c>
      <c r="E341" s="150" t="s">
        <v>546</v>
      </c>
      <c r="F341" s="150" t="s">
        <v>325</v>
      </c>
      <c r="G341" s="151">
        <v>287000</v>
      </c>
      <c r="H341" s="158">
        <v>286800</v>
      </c>
      <c r="I341" s="158">
        <f t="shared" si="17"/>
        <v>99.93031358885017</v>
      </c>
    </row>
    <row r="342" spans="1:10" s="148" customFormat="1" ht="63" outlineLevel="4">
      <c r="A342" s="144" t="s">
        <v>406</v>
      </c>
      <c r="B342" s="145" t="s">
        <v>18</v>
      </c>
      <c r="C342" s="145" t="s">
        <v>188</v>
      </c>
      <c r="D342" s="145" t="s">
        <v>205</v>
      </c>
      <c r="E342" s="145" t="s">
        <v>407</v>
      </c>
      <c r="F342" s="145" t="s">
        <v>25</v>
      </c>
      <c r="G342" s="146">
        <f>G343+G346</f>
        <v>150500</v>
      </c>
      <c r="H342" s="161">
        <f>H343+H346</f>
        <v>150499</v>
      </c>
      <c r="I342" s="161">
        <f t="shared" si="17"/>
        <v>99.99933554817275</v>
      </c>
      <c r="J342" s="147"/>
    </row>
    <row r="343" spans="1:9" ht="47.25" outlineLevel="5">
      <c r="A343" s="149" t="s">
        <v>547</v>
      </c>
      <c r="B343" s="150" t="s">
        <v>18</v>
      </c>
      <c r="C343" s="150" t="s">
        <v>188</v>
      </c>
      <c r="D343" s="150" t="s">
        <v>205</v>
      </c>
      <c r="E343" s="150" t="s">
        <v>548</v>
      </c>
      <c r="F343" s="150" t="s">
        <v>25</v>
      </c>
      <c r="G343" s="151">
        <f>G344</f>
        <v>50500</v>
      </c>
      <c r="H343" s="158">
        <f>H344</f>
        <v>50500</v>
      </c>
      <c r="I343" s="158">
        <f t="shared" si="17"/>
        <v>100</v>
      </c>
    </row>
    <row r="344" spans="1:9" ht="31.5" outlineLevel="6">
      <c r="A344" s="149" t="s">
        <v>353</v>
      </c>
      <c r="B344" s="150" t="s">
        <v>18</v>
      </c>
      <c r="C344" s="150" t="s">
        <v>188</v>
      </c>
      <c r="D344" s="150" t="s">
        <v>205</v>
      </c>
      <c r="E344" s="150" t="s">
        <v>549</v>
      </c>
      <c r="F344" s="150" t="s">
        <v>25</v>
      </c>
      <c r="G344" s="151">
        <f>G345</f>
        <v>50500</v>
      </c>
      <c r="H344" s="158">
        <f>H345</f>
        <v>50500</v>
      </c>
      <c r="I344" s="158">
        <f t="shared" si="17"/>
        <v>100</v>
      </c>
    </row>
    <row r="345" spans="1:9" ht="31.5" outlineLevel="7">
      <c r="A345" s="149" t="s">
        <v>324</v>
      </c>
      <c r="B345" s="150" t="s">
        <v>18</v>
      </c>
      <c r="C345" s="150" t="s">
        <v>188</v>
      </c>
      <c r="D345" s="150" t="s">
        <v>205</v>
      </c>
      <c r="E345" s="150" t="s">
        <v>549</v>
      </c>
      <c r="F345" s="150" t="s">
        <v>325</v>
      </c>
      <c r="G345" s="151">
        <v>50500</v>
      </c>
      <c r="H345" s="158">
        <v>50500</v>
      </c>
      <c r="I345" s="158">
        <f t="shared" si="17"/>
        <v>100</v>
      </c>
    </row>
    <row r="346" spans="1:9" ht="31.5" outlineLevel="5">
      <c r="A346" s="149" t="s">
        <v>550</v>
      </c>
      <c r="B346" s="150" t="s">
        <v>18</v>
      </c>
      <c r="C346" s="150" t="s">
        <v>188</v>
      </c>
      <c r="D346" s="150" t="s">
        <v>205</v>
      </c>
      <c r="E346" s="150" t="s">
        <v>551</v>
      </c>
      <c r="F346" s="150" t="s">
        <v>25</v>
      </c>
      <c r="G346" s="151">
        <f>G347</f>
        <v>100000</v>
      </c>
      <c r="H346" s="158">
        <f>H347</f>
        <v>99999</v>
      </c>
      <c r="I346" s="158">
        <f t="shared" si="17"/>
        <v>99.99900000000001</v>
      </c>
    </row>
    <row r="347" spans="1:9" ht="31.5" outlineLevel="6">
      <c r="A347" s="149" t="s">
        <v>353</v>
      </c>
      <c r="B347" s="150" t="s">
        <v>18</v>
      </c>
      <c r="C347" s="150" t="s">
        <v>188</v>
      </c>
      <c r="D347" s="150" t="s">
        <v>205</v>
      </c>
      <c r="E347" s="150" t="s">
        <v>552</v>
      </c>
      <c r="F347" s="150" t="s">
        <v>25</v>
      </c>
      <c r="G347" s="151">
        <f>G348</f>
        <v>100000</v>
      </c>
      <c r="H347" s="158">
        <f>H348</f>
        <v>99999</v>
      </c>
      <c r="I347" s="158">
        <f t="shared" si="17"/>
        <v>99.99900000000001</v>
      </c>
    </row>
    <row r="348" spans="1:9" ht="31.5" outlineLevel="7">
      <c r="A348" s="149" t="s">
        <v>324</v>
      </c>
      <c r="B348" s="150" t="s">
        <v>18</v>
      </c>
      <c r="C348" s="150" t="s">
        <v>188</v>
      </c>
      <c r="D348" s="150" t="s">
        <v>205</v>
      </c>
      <c r="E348" s="150" t="s">
        <v>552</v>
      </c>
      <c r="F348" s="150" t="s">
        <v>325</v>
      </c>
      <c r="G348" s="151">
        <v>100000</v>
      </c>
      <c r="H348" s="158">
        <v>99999</v>
      </c>
      <c r="I348" s="158">
        <f t="shared" si="17"/>
        <v>99.99900000000001</v>
      </c>
    </row>
    <row r="349" spans="1:10" s="148" customFormat="1" ht="47.25" outlineLevel="3">
      <c r="A349" s="144" t="s">
        <v>347</v>
      </c>
      <c r="B349" s="145" t="s">
        <v>18</v>
      </c>
      <c r="C349" s="145" t="s">
        <v>188</v>
      </c>
      <c r="D349" s="145" t="s">
        <v>205</v>
      </c>
      <c r="E349" s="145" t="s">
        <v>348</v>
      </c>
      <c r="F349" s="145" t="s">
        <v>25</v>
      </c>
      <c r="G349" s="146">
        <f>G350</f>
        <v>1266094.32</v>
      </c>
      <c r="H349" s="161">
        <f>H350</f>
        <v>1134059.94</v>
      </c>
      <c r="I349" s="161">
        <f t="shared" si="17"/>
        <v>89.57152102222526</v>
      </c>
      <c r="J349" s="147"/>
    </row>
    <row r="350" spans="1:10" s="148" customFormat="1" ht="47.25" outlineLevel="4">
      <c r="A350" s="144" t="s">
        <v>349</v>
      </c>
      <c r="B350" s="145" t="s">
        <v>18</v>
      </c>
      <c r="C350" s="145" t="s">
        <v>188</v>
      </c>
      <c r="D350" s="145" t="s">
        <v>205</v>
      </c>
      <c r="E350" s="145" t="s">
        <v>350</v>
      </c>
      <c r="F350" s="145" t="s">
        <v>25</v>
      </c>
      <c r="G350" s="146">
        <f>G351+G354</f>
        <v>1266094.32</v>
      </c>
      <c r="H350" s="161">
        <f>H351+H354</f>
        <v>1134059.94</v>
      </c>
      <c r="I350" s="161">
        <f t="shared" si="17"/>
        <v>89.57152102222526</v>
      </c>
      <c r="J350" s="147"/>
    </row>
    <row r="351" spans="1:9" ht="47.25" outlineLevel="5">
      <c r="A351" s="149" t="s">
        <v>355</v>
      </c>
      <c r="B351" s="150" t="s">
        <v>18</v>
      </c>
      <c r="C351" s="150" t="s">
        <v>188</v>
      </c>
      <c r="D351" s="150" t="s">
        <v>205</v>
      </c>
      <c r="E351" s="150" t="s">
        <v>356</v>
      </c>
      <c r="F351" s="150" t="s">
        <v>25</v>
      </c>
      <c r="G351" s="151">
        <f>G352</f>
        <v>439304.4</v>
      </c>
      <c r="H351" s="158">
        <f>H352</f>
        <v>307270.36</v>
      </c>
      <c r="I351" s="158">
        <f t="shared" si="17"/>
        <v>69.94474901685483</v>
      </c>
    </row>
    <row r="352" spans="1:9" ht="31.5" outlineLevel="6">
      <c r="A352" s="149" t="s">
        <v>353</v>
      </c>
      <c r="B352" s="150" t="s">
        <v>18</v>
      </c>
      <c r="C352" s="150" t="s">
        <v>188</v>
      </c>
      <c r="D352" s="150" t="s">
        <v>205</v>
      </c>
      <c r="E352" s="150" t="s">
        <v>357</v>
      </c>
      <c r="F352" s="150" t="s">
        <v>25</v>
      </c>
      <c r="G352" s="151">
        <f>G353</f>
        <v>439304.4</v>
      </c>
      <c r="H352" s="158">
        <f>H353</f>
        <v>307270.36</v>
      </c>
      <c r="I352" s="158">
        <f t="shared" si="17"/>
        <v>69.94474901685483</v>
      </c>
    </row>
    <row r="353" spans="1:9" ht="31.5" outlineLevel="7">
      <c r="A353" s="149" t="s">
        <v>324</v>
      </c>
      <c r="B353" s="150" t="s">
        <v>18</v>
      </c>
      <c r="C353" s="150" t="s">
        <v>188</v>
      </c>
      <c r="D353" s="150" t="s">
        <v>205</v>
      </c>
      <c r="E353" s="150" t="s">
        <v>357</v>
      </c>
      <c r="F353" s="150" t="s">
        <v>325</v>
      </c>
      <c r="G353" s="151">
        <f>728975.4-289671</f>
        <v>439304.4</v>
      </c>
      <c r="H353" s="158">
        <v>307270.36</v>
      </c>
      <c r="I353" s="158">
        <f t="shared" si="17"/>
        <v>69.94474901685483</v>
      </c>
    </row>
    <row r="354" spans="1:9" ht="31.5" outlineLevel="5">
      <c r="A354" s="149" t="s">
        <v>418</v>
      </c>
      <c r="B354" s="150" t="s">
        <v>18</v>
      </c>
      <c r="C354" s="150" t="s">
        <v>188</v>
      </c>
      <c r="D354" s="150" t="s">
        <v>205</v>
      </c>
      <c r="E354" s="150" t="s">
        <v>419</v>
      </c>
      <c r="F354" s="150" t="s">
        <v>25</v>
      </c>
      <c r="G354" s="151">
        <f>G355</f>
        <v>826789.92</v>
      </c>
      <c r="H354" s="158">
        <f>H355</f>
        <v>826789.58</v>
      </c>
      <c r="I354" s="158">
        <f t="shared" si="17"/>
        <v>99.99995887709903</v>
      </c>
    </row>
    <row r="355" spans="1:9" ht="31.5" outlineLevel="6">
      <c r="A355" s="149" t="s">
        <v>353</v>
      </c>
      <c r="B355" s="150" t="s">
        <v>18</v>
      </c>
      <c r="C355" s="150" t="s">
        <v>188</v>
      </c>
      <c r="D355" s="150" t="s">
        <v>205</v>
      </c>
      <c r="E355" s="150" t="s">
        <v>420</v>
      </c>
      <c r="F355" s="150" t="s">
        <v>25</v>
      </c>
      <c r="G355" s="151">
        <f>G356</f>
        <v>826789.92</v>
      </c>
      <c r="H355" s="158">
        <f>H356</f>
        <v>826789.58</v>
      </c>
      <c r="I355" s="158">
        <f t="shared" si="17"/>
        <v>99.99995887709903</v>
      </c>
    </row>
    <row r="356" spans="1:9" ht="31.5" outlineLevel="7">
      <c r="A356" s="149" t="s">
        <v>324</v>
      </c>
      <c r="B356" s="150" t="s">
        <v>18</v>
      </c>
      <c r="C356" s="150" t="s">
        <v>188</v>
      </c>
      <c r="D356" s="150" t="s">
        <v>205</v>
      </c>
      <c r="E356" s="150" t="s">
        <v>420</v>
      </c>
      <c r="F356" s="150" t="s">
        <v>325</v>
      </c>
      <c r="G356" s="151">
        <f>715189.92+111600</f>
        <v>826789.92</v>
      </c>
      <c r="H356" s="158">
        <v>826789.58</v>
      </c>
      <c r="I356" s="158">
        <f t="shared" si="17"/>
        <v>99.99995887709903</v>
      </c>
    </row>
    <row r="357" spans="1:10" s="148" customFormat="1" ht="63" outlineLevel="3">
      <c r="A357" s="144" t="s">
        <v>315</v>
      </c>
      <c r="B357" s="145" t="s">
        <v>18</v>
      </c>
      <c r="C357" s="145" t="s">
        <v>188</v>
      </c>
      <c r="D357" s="145" t="s">
        <v>205</v>
      </c>
      <c r="E357" s="145" t="s">
        <v>316</v>
      </c>
      <c r="F357" s="145" t="s">
        <v>25</v>
      </c>
      <c r="G357" s="146">
        <f>G358+G362+G384</f>
        <v>28505062.51</v>
      </c>
      <c r="H357" s="161">
        <f>H358+H362+H384</f>
        <v>28212887.41</v>
      </c>
      <c r="I357" s="161">
        <f t="shared" si="17"/>
        <v>98.97500628213848</v>
      </c>
      <c r="J357" s="147"/>
    </row>
    <row r="358" spans="1:10" s="148" customFormat="1" ht="47.25" outlineLevel="4">
      <c r="A358" s="144" t="s">
        <v>530</v>
      </c>
      <c r="B358" s="145" t="s">
        <v>18</v>
      </c>
      <c r="C358" s="145" t="s">
        <v>188</v>
      </c>
      <c r="D358" s="145" t="s">
        <v>205</v>
      </c>
      <c r="E358" s="145" t="s">
        <v>531</v>
      </c>
      <c r="F358" s="145" t="s">
        <v>25</v>
      </c>
      <c r="G358" s="146">
        <f aca="true" t="shared" si="20" ref="G358:H360">G359</f>
        <v>181941.02000000002</v>
      </c>
      <c r="H358" s="161">
        <f t="shared" si="20"/>
        <v>181671.02</v>
      </c>
      <c r="I358" s="161">
        <f t="shared" si="17"/>
        <v>99.85160026034809</v>
      </c>
      <c r="J358" s="147"/>
    </row>
    <row r="359" spans="1:9" ht="78.75" outlineLevel="5">
      <c r="A359" s="149" t="s">
        <v>553</v>
      </c>
      <c r="B359" s="150" t="s">
        <v>18</v>
      </c>
      <c r="C359" s="150" t="s">
        <v>188</v>
      </c>
      <c r="D359" s="150" t="s">
        <v>205</v>
      </c>
      <c r="E359" s="150" t="s">
        <v>554</v>
      </c>
      <c r="F359" s="150" t="s">
        <v>25</v>
      </c>
      <c r="G359" s="151">
        <f t="shared" si="20"/>
        <v>181941.02000000002</v>
      </c>
      <c r="H359" s="158">
        <f t="shared" si="20"/>
        <v>181671.02</v>
      </c>
      <c r="I359" s="158">
        <f t="shared" si="17"/>
        <v>99.85160026034809</v>
      </c>
    </row>
    <row r="360" spans="1:9" ht="47.25" outlineLevel="6">
      <c r="A360" s="149" t="s">
        <v>555</v>
      </c>
      <c r="B360" s="150" t="s">
        <v>18</v>
      </c>
      <c r="C360" s="150" t="s">
        <v>188</v>
      </c>
      <c r="D360" s="150" t="s">
        <v>205</v>
      </c>
      <c r="E360" s="150" t="s">
        <v>556</v>
      </c>
      <c r="F360" s="150" t="s">
        <v>25</v>
      </c>
      <c r="G360" s="151">
        <f t="shared" si="20"/>
        <v>181941.02000000002</v>
      </c>
      <c r="H360" s="158">
        <f t="shared" si="20"/>
        <v>181671.02</v>
      </c>
      <c r="I360" s="158">
        <f t="shared" si="17"/>
        <v>99.85160026034809</v>
      </c>
    </row>
    <row r="361" spans="1:9" ht="31.5" outlineLevel="7">
      <c r="A361" s="149" t="s">
        <v>324</v>
      </c>
      <c r="B361" s="150" t="s">
        <v>18</v>
      </c>
      <c r="C361" s="150" t="s">
        <v>188</v>
      </c>
      <c r="D361" s="150" t="s">
        <v>205</v>
      </c>
      <c r="E361" s="150" t="s">
        <v>556</v>
      </c>
      <c r="F361" s="150" t="s">
        <v>325</v>
      </c>
      <c r="G361" s="151">
        <f>415525.02-280000+46416</f>
        <v>181941.02000000002</v>
      </c>
      <c r="H361" s="158">
        <v>181671.02</v>
      </c>
      <c r="I361" s="158">
        <f t="shared" si="17"/>
        <v>99.85160026034809</v>
      </c>
    </row>
    <row r="362" spans="1:10" s="148" customFormat="1" ht="63" outlineLevel="4">
      <c r="A362" s="144" t="s">
        <v>557</v>
      </c>
      <c r="B362" s="145" t="s">
        <v>18</v>
      </c>
      <c r="C362" s="145" t="s">
        <v>188</v>
      </c>
      <c r="D362" s="145" t="s">
        <v>205</v>
      </c>
      <c r="E362" s="145" t="s">
        <v>558</v>
      </c>
      <c r="F362" s="145" t="s">
        <v>25</v>
      </c>
      <c r="G362" s="146">
        <f>G363+G370+G373+G377+G381</f>
        <v>28277365.490000002</v>
      </c>
      <c r="H362" s="161">
        <f>H363+H370+H373+H377+H381</f>
        <v>27985460.39</v>
      </c>
      <c r="I362" s="161">
        <f t="shared" si="17"/>
        <v>98.96770758187063</v>
      </c>
      <c r="J362" s="147"/>
    </row>
    <row r="363" spans="1:9" ht="110.25" outlineLevel="5">
      <c r="A363" s="149" t="s">
        <v>559</v>
      </c>
      <c r="B363" s="150" t="s">
        <v>18</v>
      </c>
      <c r="C363" s="150" t="s">
        <v>188</v>
      </c>
      <c r="D363" s="150" t="s">
        <v>205</v>
      </c>
      <c r="E363" s="150" t="s">
        <v>560</v>
      </c>
      <c r="F363" s="150" t="s">
        <v>25</v>
      </c>
      <c r="G363" s="151">
        <f>G364+G368</f>
        <v>20301796.090000004</v>
      </c>
      <c r="H363" s="158">
        <f>H364+H368</f>
        <v>20147832.87</v>
      </c>
      <c r="I363" s="158">
        <f t="shared" si="17"/>
        <v>99.2416275913842</v>
      </c>
    </row>
    <row r="364" spans="1:9" ht="78.75" outlineLevel="6">
      <c r="A364" s="149" t="s">
        <v>431</v>
      </c>
      <c r="B364" s="150" t="s">
        <v>18</v>
      </c>
      <c r="C364" s="150" t="s">
        <v>188</v>
      </c>
      <c r="D364" s="150" t="s">
        <v>205</v>
      </c>
      <c r="E364" s="150" t="s">
        <v>561</v>
      </c>
      <c r="F364" s="150" t="s">
        <v>25</v>
      </c>
      <c r="G364" s="151">
        <f>G365+G366+G367</f>
        <v>19751490.51</v>
      </c>
      <c r="H364" s="158">
        <f>H365+H366+H367</f>
        <v>19601542.040000003</v>
      </c>
      <c r="I364" s="158">
        <f t="shared" si="17"/>
        <v>99.24082453461382</v>
      </c>
    </row>
    <row r="365" spans="1:9" ht="94.5" outlineLevel="7">
      <c r="A365" s="149" t="s">
        <v>323</v>
      </c>
      <c r="B365" s="150" t="s">
        <v>18</v>
      </c>
      <c r="C365" s="150" t="s">
        <v>188</v>
      </c>
      <c r="D365" s="150" t="s">
        <v>205</v>
      </c>
      <c r="E365" s="150" t="s">
        <v>561</v>
      </c>
      <c r="F365" s="150" t="s">
        <v>54</v>
      </c>
      <c r="G365" s="151">
        <f>17709740.98+644722.26+194706.12+17000+4554.34</f>
        <v>18570723.700000003</v>
      </c>
      <c r="H365" s="158">
        <f>17709740.98+644722.26+194706.12+17000+4554.34</f>
        <v>18570723.700000003</v>
      </c>
      <c r="I365" s="158">
        <f t="shared" si="17"/>
        <v>100</v>
      </c>
    </row>
    <row r="366" spans="1:9" ht="31.5" outlineLevel="7">
      <c r="A366" s="149" t="s">
        <v>324</v>
      </c>
      <c r="B366" s="150" t="s">
        <v>18</v>
      </c>
      <c r="C366" s="150" t="s">
        <v>188</v>
      </c>
      <c r="D366" s="150" t="s">
        <v>205</v>
      </c>
      <c r="E366" s="150" t="s">
        <v>561</v>
      </c>
      <c r="F366" s="150" t="s">
        <v>325</v>
      </c>
      <c r="G366" s="151">
        <f>1029349.53-2000-800+172971.62-17000-4554.34</f>
        <v>1177966.8099999998</v>
      </c>
      <c r="H366" s="158">
        <v>1028818.34</v>
      </c>
      <c r="I366" s="158">
        <f t="shared" si="17"/>
        <v>87.33848282193962</v>
      </c>
    </row>
    <row r="367" spans="1:9" ht="15.75" outlineLevel="7">
      <c r="A367" s="167" t="s">
        <v>411</v>
      </c>
      <c r="B367" s="150" t="s">
        <v>18</v>
      </c>
      <c r="C367" s="150" t="s">
        <v>188</v>
      </c>
      <c r="D367" s="150" t="s">
        <v>205</v>
      </c>
      <c r="E367" s="150" t="s">
        <v>561</v>
      </c>
      <c r="F367" s="150" t="s">
        <v>293</v>
      </c>
      <c r="G367" s="151">
        <f>2000+800</f>
        <v>2800</v>
      </c>
      <c r="H367" s="158">
        <v>2000</v>
      </c>
      <c r="I367" s="158">
        <f t="shared" si="17"/>
        <v>71.42857142857143</v>
      </c>
    </row>
    <row r="368" spans="1:9" ht="78.75" outlineLevel="6">
      <c r="A368" s="149" t="s">
        <v>335</v>
      </c>
      <c r="B368" s="150" t="s">
        <v>18</v>
      </c>
      <c r="C368" s="150" t="s">
        <v>188</v>
      </c>
      <c r="D368" s="150" t="s">
        <v>205</v>
      </c>
      <c r="E368" s="150" t="s">
        <v>562</v>
      </c>
      <c r="F368" s="150" t="s">
        <v>25</v>
      </c>
      <c r="G368" s="151">
        <f>G369</f>
        <v>550305.5800000001</v>
      </c>
      <c r="H368" s="158">
        <f>H369</f>
        <v>546290.83</v>
      </c>
      <c r="I368" s="158">
        <f t="shared" si="17"/>
        <v>99.27045079208536</v>
      </c>
    </row>
    <row r="369" spans="1:9" ht="94.5" outlineLevel="7">
      <c r="A369" s="149" t="s">
        <v>323</v>
      </c>
      <c r="B369" s="150" t="s">
        <v>18</v>
      </c>
      <c r="C369" s="150" t="s">
        <v>188</v>
      </c>
      <c r="D369" s="150" t="s">
        <v>205</v>
      </c>
      <c r="E369" s="150" t="s">
        <v>562</v>
      </c>
      <c r="F369" s="150" t="s">
        <v>54</v>
      </c>
      <c r="G369" s="151">
        <f>445305.58+105000</f>
        <v>550305.5800000001</v>
      </c>
      <c r="H369" s="158">
        <v>546290.83</v>
      </c>
      <c r="I369" s="158">
        <f t="shared" si="17"/>
        <v>99.27045079208536</v>
      </c>
    </row>
    <row r="370" spans="1:9" ht="63" outlineLevel="5">
      <c r="A370" s="149" t="s">
        <v>563</v>
      </c>
      <c r="B370" s="150" t="s">
        <v>18</v>
      </c>
      <c r="C370" s="150" t="s">
        <v>188</v>
      </c>
      <c r="D370" s="150" t="s">
        <v>205</v>
      </c>
      <c r="E370" s="150" t="s">
        <v>564</v>
      </c>
      <c r="F370" s="150" t="s">
        <v>25</v>
      </c>
      <c r="G370" s="151">
        <f>G371</f>
        <v>35908</v>
      </c>
      <c r="H370" s="158">
        <f>H371</f>
        <v>35894</v>
      </c>
      <c r="I370" s="158">
        <f t="shared" si="17"/>
        <v>99.96101147376629</v>
      </c>
    </row>
    <row r="371" spans="1:9" ht="78.75" outlineLevel="6">
      <c r="A371" s="149" t="s">
        <v>431</v>
      </c>
      <c r="B371" s="150" t="s">
        <v>18</v>
      </c>
      <c r="C371" s="150" t="s">
        <v>188</v>
      </c>
      <c r="D371" s="150" t="s">
        <v>205</v>
      </c>
      <c r="E371" s="150" t="s">
        <v>565</v>
      </c>
      <c r="F371" s="150" t="s">
        <v>25</v>
      </c>
      <c r="G371" s="151">
        <f>G372</f>
        <v>35908</v>
      </c>
      <c r="H371" s="158">
        <f>H372</f>
        <v>35894</v>
      </c>
      <c r="I371" s="158">
        <f t="shared" si="17"/>
        <v>99.96101147376629</v>
      </c>
    </row>
    <row r="372" spans="1:9" ht="31.5" outlineLevel="7">
      <c r="A372" s="149" t="s">
        <v>324</v>
      </c>
      <c r="B372" s="150" t="s">
        <v>18</v>
      </c>
      <c r="C372" s="150" t="s">
        <v>188</v>
      </c>
      <c r="D372" s="150" t="s">
        <v>205</v>
      </c>
      <c r="E372" s="150" t="s">
        <v>565</v>
      </c>
      <c r="F372" s="150" t="s">
        <v>325</v>
      </c>
      <c r="G372" s="151">
        <v>35908</v>
      </c>
      <c r="H372" s="158">
        <v>35894</v>
      </c>
      <c r="I372" s="158">
        <f t="shared" si="17"/>
        <v>99.96101147376629</v>
      </c>
    </row>
    <row r="373" spans="1:9" ht="47.25" outlineLevel="5">
      <c r="A373" s="149" t="s">
        <v>566</v>
      </c>
      <c r="B373" s="150" t="s">
        <v>18</v>
      </c>
      <c r="C373" s="150" t="s">
        <v>188</v>
      </c>
      <c r="D373" s="150" t="s">
        <v>205</v>
      </c>
      <c r="E373" s="150" t="s">
        <v>567</v>
      </c>
      <c r="F373" s="150" t="s">
        <v>25</v>
      </c>
      <c r="G373" s="151">
        <f>G374</f>
        <v>5588721.359999999</v>
      </c>
      <c r="H373" s="158">
        <f>H374</f>
        <v>5514934.449999999</v>
      </c>
      <c r="I373" s="158">
        <f t="shared" si="17"/>
        <v>98.67971750160756</v>
      </c>
    </row>
    <row r="374" spans="1:9" ht="78.75" outlineLevel="6">
      <c r="A374" s="149" t="s">
        <v>431</v>
      </c>
      <c r="B374" s="150" t="s">
        <v>18</v>
      </c>
      <c r="C374" s="150" t="s">
        <v>188</v>
      </c>
      <c r="D374" s="150" t="s">
        <v>205</v>
      </c>
      <c r="E374" s="150" t="s">
        <v>568</v>
      </c>
      <c r="F374" s="150" t="s">
        <v>25</v>
      </c>
      <c r="G374" s="151">
        <f>G375+G376</f>
        <v>5588721.359999999</v>
      </c>
      <c r="H374" s="158">
        <f>H375+H376</f>
        <v>5514934.449999999</v>
      </c>
      <c r="I374" s="158">
        <f t="shared" si="17"/>
        <v>98.67971750160756</v>
      </c>
    </row>
    <row r="375" spans="1:9" ht="94.5" outlineLevel="7">
      <c r="A375" s="149" t="s">
        <v>323</v>
      </c>
      <c r="B375" s="150" t="s">
        <v>18</v>
      </c>
      <c r="C375" s="150" t="s">
        <v>188</v>
      </c>
      <c r="D375" s="150" t="s">
        <v>205</v>
      </c>
      <c r="E375" s="150" t="s">
        <v>568</v>
      </c>
      <c r="F375" s="150" t="s">
        <v>54</v>
      </c>
      <c r="G375" s="151">
        <v>5040338.6</v>
      </c>
      <c r="H375" s="158">
        <v>5040338.6</v>
      </c>
      <c r="I375" s="158">
        <f t="shared" si="17"/>
        <v>100</v>
      </c>
    </row>
    <row r="376" spans="1:9" ht="31.5" outlineLevel="7">
      <c r="A376" s="149" t="s">
        <v>324</v>
      </c>
      <c r="B376" s="150" t="s">
        <v>18</v>
      </c>
      <c r="C376" s="150" t="s">
        <v>188</v>
      </c>
      <c r="D376" s="150" t="s">
        <v>205</v>
      </c>
      <c r="E376" s="150" t="s">
        <v>568</v>
      </c>
      <c r="F376" s="150" t="s">
        <v>325</v>
      </c>
      <c r="G376" s="151">
        <v>548382.76</v>
      </c>
      <c r="H376" s="158">
        <v>474595.85</v>
      </c>
      <c r="I376" s="158">
        <f t="shared" si="17"/>
        <v>86.54463353297247</v>
      </c>
    </row>
    <row r="377" spans="1:9" ht="63" outlineLevel="5">
      <c r="A377" s="149" t="s">
        <v>569</v>
      </c>
      <c r="B377" s="150" t="s">
        <v>18</v>
      </c>
      <c r="C377" s="150" t="s">
        <v>188</v>
      </c>
      <c r="D377" s="150" t="s">
        <v>205</v>
      </c>
      <c r="E377" s="150" t="s">
        <v>570</v>
      </c>
      <c r="F377" s="150" t="s">
        <v>25</v>
      </c>
      <c r="G377" s="151">
        <f>G378</f>
        <v>235380</v>
      </c>
      <c r="H377" s="158">
        <f>H378</f>
        <v>171239.03</v>
      </c>
      <c r="I377" s="158">
        <f t="shared" si="17"/>
        <v>72.75003398759453</v>
      </c>
    </row>
    <row r="378" spans="1:9" ht="31.5" outlineLevel="6">
      <c r="A378" s="149" t="s">
        <v>353</v>
      </c>
      <c r="B378" s="150" t="s">
        <v>18</v>
      </c>
      <c r="C378" s="150" t="s">
        <v>188</v>
      </c>
      <c r="D378" s="150" t="s">
        <v>205</v>
      </c>
      <c r="E378" s="150" t="s">
        <v>571</v>
      </c>
      <c r="F378" s="150" t="s">
        <v>25</v>
      </c>
      <c r="G378" s="151">
        <f>G379+G380</f>
        <v>235380</v>
      </c>
      <c r="H378" s="158">
        <f>H379+H380</f>
        <v>171239.03</v>
      </c>
      <c r="I378" s="158">
        <f t="shared" si="17"/>
        <v>72.75003398759453</v>
      </c>
    </row>
    <row r="379" spans="1:9" ht="31.5" outlineLevel="7">
      <c r="A379" s="149" t="s">
        <v>371</v>
      </c>
      <c r="B379" s="150" t="s">
        <v>18</v>
      </c>
      <c r="C379" s="150" t="s">
        <v>188</v>
      </c>
      <c r="D379" s="150" t="s">
        <v>205</v>
      </c>
      <c r="E379" s="150" t="s">
        <v>571</v>
      </c>
      <c r="F379" s="150" t="s">
        <v>372</v>
      </c>
      <c r="G379" s="151">
        <f>340380-105000</f>
        <v>235380</v>
      </c>
      <c r="H379" s="158">
        <v>171239.03</v>
      </c>
      <c r="I379" s="158">
        <f t="shared" si="17"/>
        <v>72.75003398759453</v>
      </c>
    </row>
    <row r="380" spans="1:9" ht="15.75" hidden="1" outlineLevel="7">
      <c r="A380" s="149" t="s">
        <v>411</v>
      </c>
      <c r="B380" s="150" t="s">
        <v>18</v>
      </c>
      <c r="C380" s="150" t="s">
        <v>188</v>
      </c>
      <c r="D380" s="150" t="s">
        <v>205</v>
      </c>
      <c r="E380" s="150" t="s">
        <v>571</v>
      </c>
      <c r="F380" s="150" t="s">
        <v>293</v>
      </c>
      <c r="G380" s="151">
        <f>132000-132000</f>
        <v>0</v>
      </c>
      <c r="H380" s="158">
        <f>132000-132000</f>
        <v>0</v>
      </c>
      <c r="I380" s="158" t="e">
        <f t="shared" si="17"/>
        <v>#DIV/0!</v>
      </c>
    </row>
    <row r="381" spans="1:9" ht="63" outlineLevel="5" collapsed="1">
      <c r="A381" s="149" t="s">
        <v>572</v>
      </c>
      <c r="B381" s="150" t="s">
        <v>18</v>
      </c>
      <c r="C381" s="150" t="s">
        <v>188</v>
      </c>
      <c r="D381" s="150" t="s">
        <v>205</v>
      </c>
      <c r="E381" s="150" t="s">
        <v>573</v>
      </c>
      <c r="F381" s="150" t="s">
        <v>25</v>
      </c>
      <c r="G381" s="151">
        <f>G382</f>
        <v>2115560.04</v>
      </c>
      <c r="H381" s="158">
        <f>H382</f>
        <v>2115560.04</v>
      </c>
      <c r="I381" s="158">
        <f t="shared" si="17"/>
        <v>100</v>
      </c>
    </row>
    <row r="382" spans="1:9" ht="78.75" outlineLevel="6">
      <c r="A382" s="149" t="s">
        <v>431</v>
      </c>
      <c r="B382" s="150" t="s">
        <v>18</v>
      </c>
      <c r="C382" s="150" t="s">
        <v>188</v>
      </c>
      <c r="D382" s="150" t="s">
        <v>205</v>
      </c>
      <c r="E382" s="150" t="s">
        <v>574</v>
      </c>
      <c r="F382" s="150" t="s">
        <v>25</v>
      </c>
      <c r="G382" s="151">
        <f>G383</f>
        <v>2115560.04</v>
      </c>
      <c r="H382" s="158">
        <f>H383</f>
        <v>2115560.04</v>
      </c>
      <c r="I382" s="158">
        <f t="shared" si="17"/>
        <v>100</v>
      </c>
    </row>
    <row r="383" spans="1:9" ht="94.5" outlineLevel="7">
      <c r="A383" s="149" t="s">
        <v>323</v>
      </c>
      <c r="B383" s="150" t="s">
        <v>18</v>
      </c>
      <c r="C383" s="150" t="s">
        <v>188</v>
      </c>
      <c r="D383" s="150" t="s">
        <v>205</v>
      </c>
      <c r="E383" s="150" t="s">
        <v>574</v>
      </c>
      <c r="F383" s="150" t="s">
        <v>54</v>
      </c>
      <c r="G383" s="151">
        <v>2115560.04</v>
      </c>
      <c r="H383" s="158">
        <v>2115560.04</v>
      </c>
      <c r="I383" s="158">
        <f aca="true" t="shared" si="21" ref="I383:I446">H383/G383*100</f>
        <v>100</v>
      </c>
    </row>
    <row r="384" spans="1:10" s="148" customFormat="1" ht="47.25" outlineLevel="4">
      <c r="A384" s="144" t="s">
        <v>358</v>
      </c>
      <c r="B384" s="145" t="s">
        <v>18</v>
      </c>
      <c r="C384" s="145" t="s">
        <v>188</v>
      </c>
      <c r="D384" s="145" t="s">
        <v>205</v>
      </c>
      <c r="E384" s="145" t="s">
        <v>359</v>
      </c>
      <c r="F384" s="145" t="s">
        <v>25</v>
      </c>
      <c r="G384" s="146">
        <f aca="true" t="shared" si="22" ref="G384:H386">G385</f>
        <v>45756</v>
      </c>
      <c r="H384" s="161">
        <f t="shared" si="22"/>
        <v>45756</v>
      </c>
      <c r="I384" s="161">
        <f t="shared" si="21"/>
        <v>100</v>
      </c>
      <c r="J384" s="147"/>
    </row>
    <row r="385" spans="1:9" ht="31.5" outlineLevel="5">
      <c r="A385" s="149" t="s">
        <v>360</v>
      </c>
      <c r="B385" s="150" t="s">
        <v>18</v>
      </c>
      <c r="C385" s="150" t="s">
        <v>188</v>
      </c>
      <c r="D385" s="150" t="s">
        <v>205</v>
      </c>
      <c r="E385" s="150" t="s">
        <v>361</v>
      </c>
      <c r="F385" s="150" t="s">
        <v>25</v>
      </c>
      <c r="G385" s="151">
        <f t="shared" si="22"/>
        <v>45756</v>
      </c>
      <c r="H385" s="158">
        <f t="shared" si="22"/>
        <v>45756</v>
      </c>
      <c r="I385" s="158">
        <f t="shared" si="21"/>
        <v>100</v>
      </c>
    </row>
    <row r="386" spans="1:9" ht="31.5" outlineLevel="6">
      <c r="A386" s="149" t="s">
        <v>353</v>
      </c>
      <c r="B386" s="150" t="s">
        <v>18</v>
      </c>
      <c r="C386" s="150" t="s">
        <v>188</v>
      </c>
      <c r="D386" s="150" t="s">
        <v>205</v>
      </c>
      <c r="E386" s="150" t="s">
        <v>362</v>
      </c>
      <c r="F386" s="150" t="s">
        <v>25</v>
      </c>
      <c r="G386" s="151">
        <f t="shared" si="22"/>
        <v>45756</v>
      </c>
      <c r="H386" s="158">
        <f t="shared" si="22"/>
        <v>45756</v>
      </c>
      <c r="I386" s="158">
        <f t="shared" si="21"/>
        <v>100</v>
      </c>
    </row>
    <row r="387" spans="1:9" ht="31.5" outlineLevel="7">
      <c r="A387" s="149" t="s">
        <v>324</v>
      </c>
      <c r="B387" s="150" t="s">
        <v>18</v>
      </c>
      <c r="C387" s="150" t="s">
        <v>188</v>
      </c>
      <c r="D387" s="150" t="s">
        <v>205</v>
      </c>
      <c r="E387" s="150" t="s">
        <v>362</v>
      </c>
      <c r="F387" s="150" t="s">
        <v>325</v>
      </c>
      <c r="G387" s="151">
        <f>98756-53000</f>
        <v>45756</v>
      </c>
      <c r="H387" s="158">
        <f>98756-53000</f>
        <v>45756</v>
      </c>
      <c r="I387" s="158">
        <f t="shared" si="21"/>
        <v>100</v>
      </c>
    </row>
    <row r="388" spans="1:10" s="148" customFormat="1" ht="15.75" outlineLevel="3">
      <c r="A388" s="144" t="s">
        <v>329</v>
      </c>
      <c r="B388" s="145" t="s">
        <v>18</v>
      </c>
      <c r="C388" s="145" t="s">
        <v>188</v>
      </c>
      <c r="D388" s="145" t="s">
        <v>205</v>
      </c>
      <c r="E388" s="145" t="s">
        <v>330</v>
      </c>
      <c r="F388" s="145" t="s">
        <v>25</v>
      </c>
      <c r="G388" s="146">
        <f>G391+G389</f>
        <v>10447658.450000001</v>
      </c>
      <c r="H388" s="161">
        <f>H391+H389</f>
        <v>10447658.450000001</v>
      </c>
      <c r="I388" s="161">
        <f t="shared" si="21"/>
        <v>100</v>
      </c>
      <c r="J388" s="147"/>
    </row>
    <row r="389" spans="1:10" s="148" customFormat="1" ht="15.75" outlineLevel="3">
      <c r="A389" s="149" t="s">
        <v>575</v>
      </c>
      <c r="B389" s="150" t="s">
        <v>18</v>
      </c>
      <c r="C389" s="150" t="s">
        <v>188</v>
      </c>
      <c r="D389" s="150" t="s">
        <v>205</v>
      </c>
      <c r="E389" s="150" t="s">
        <v>576</v>
      </c>
      <c r="F389" s="150" t="s">
        <v>25</v>
      </c>
      <c r="G389" s="151">
        <f>G390</f>
        <v>920000</v>
      </c>
      <c r="H389" s="158">
        <f>H390</f>
        <v>920000</v>
      </c>
      <c r="I389" s="158">
        <f t="shared" si="21"/>
        <v>100</v>
      </c>
      <c r="J389" s="147"/>
    </row>
    <row r="390" spans="1:10" s="148" customFormat="1" ht="15.75" outlineLevel="3">
      <c r="A390" s="149" t="s">
        <v>411</v>
      </c>
      <c r="B390" s="150" t="s">
        <v>18</v>
      </c>
      <c r="C390" s="150" t="s">
        <v>188</v>
      </c>
      <c r="D390" s="150" t="s">
        <v>205</v>
      </c>
      <c r="E390" s="150" t="s">
        <v>576</v>
      </c>
      <c r="F390" s="150" t="s">
        <v>293</v>
      </c>
      <c r="G390" s="151">
        <f>300000+10000+410000+200000</f>
        <v>920000</v>
      </c>
      <c r="H390" s="158">
        <f>300000+10000+410000+200000</f>
        <v>920000</v>
      </c>
      <c r="I390" s="158">
        <f t="shared" si="21"/>
        <v>100</v>
      </c>
      <c r="J390" s="147"/>
    </row>
    <row r="391" spans="1:9" ht="31.5" outlineLevel="6">
      <c r="A391" s="149" t="s">
        <v>577</v>
      </c>
      <c r="B391" s="150" t="s">
        <v>18</v>
      </c>
      <c r="C391" s="150" t="s">
        <v>188</v>
      </c>
      <c r="D391" s="150" t="s">
        <v>205</v>
      </c>
      <c r="E391" s="150" t="s">
        <v>461</v>
      </c>
      <c r="F391" s="150" t="s">
        <v>25</v>
      </c>
      <c r="G391" s="151">
        <f>G392+G393</f>
        <v>9527658.450000001</v>
      </c>
      <c r="H391" s="158">
        <f>H392+H393</f>
        <v>9527658.450000001</v>
      </c>
      <c r="I391" s="158">
        <f t="shared" si="21"/>
        <v>100</v>
      </c>
    </row>
    <row r="392" spans="1:9" ht="47.25" outlineLevel="7">
      <c r="A392" s="149" t="s">
        <v>578</v>
      </c>
      <c r="B392" s="150" t="s">
        <v>18</v>
      </c>
      <c r="C392" s="150" t="s">
        <v>188</v>
      </c>
      <c r="D392" s="150" t="s">
        <v>205</v>
      </c>
      <c r="E392" s="150" t="s">
        <v>461</v>
      </c>
      <c r="F392" s="150" t="s">
        <v>579</v>
      </c>
      <c r="G392" s="151">
        <f>8500008.46+789141.17</f>
        <v>9289149.63</v>
      </c>
      <c r="H392" s="158">
        <f>8500008.46+789141.17</f>
        <v>9289149.63</v>
      </c>
      <c r="I392" s="158">
        <f t="shared" si="21"/>
        <v>100</v>
      </c>
    </row>
    <row r="393" spans="1:9" ht="15.75" outlineLevel="7">
      <c r="A393" s="149" t="s">
        <v>411</v>
      </c>
      <c r="B393" s="150" t="s">
        <v>18</v>
      </c>
      <c r="C393" s="150" t="s">
        <v>188</v>
      </c>
      <c r="D393" s="150" t="s">
        <v>205</v>
      </c>
      <c r="E393" s="150" t="s">
        <v>461</v>
      </c>
      <c r="F393" s="150" t="s">
        <v>293</v>
      </c>
      <c r="G393" s="151">
        <f>114194.99+78578.89+18783+26951.94</f>
        <v>238508.82</v>
      </c>
      <c r="H393" s="158">
        <f>114194.99+78578.89+18783+26951.94</f>
        <v>238508.82</v>
      </c>
      <c r="I393" s="158">
        <f t="shared" si="21"/>
        <v>100</v>
      </c>
    </row>
    <row r="394" spans="1:10" s="148" customFormat="1" ht="15.75" outlineLevel="1">
      <c r="A394" s="144" t="s">
        <v>488</v>
      </c>
      <c r="B394" s="145" t="s">
        <v>18</v>
      </c>
      <c r="C394" s="145" t="s">
        <v>195</v>
      </c>
      <c r="D394" s="145" t="s">
        <v>189</v>
      </c>
      <c r="E394" s="145" t="s">
        <v>313</v>
      </c>
      <c r="F394" s="145" t="s">
        <v>25</v>
      </c>
      <c r="G394" s="146">
        <f>G395+G403+G436</f>
        <v>154483632.88</v>
      </c>
      <c r="H394" s="161">
        <f>H395+H403+H436</f>
        <v>154166102.81</v>
      </c>
      <c r="I394" s="161">
        <f t="shared" si="21"/>
        <v>99.79445714469529</v>
      </c>
      <c r="J394" s="147"/>
    </row>
    <row r="395" spans="1:10" s="148" customFormat="1" ht="15.75" outlineLevel="2">
      <c r="A395" s="144" t="s">
        <v>213</v>
      </c>
      <c r="B395" s="145" t="s">
        <v>18</v>
      </c>
      <c r="C395" s="145" t="s">
        <v>195</v>
      </c>
      <c r="D395" s="145" t="s">
        <v>197</v>
      </c>
      <c r="E395" s="145" t="s">
        <v>313</v>
      </c>
      <c r="F395" s="145" t="s">
        <v>25</v>
      </c>
      <c r="G395" s="146">
        <f aca="true" t="shared" si="23" ref="G395:H397">G396</f>
        <v>3608380</v>
      </c>
      <c r="H395" s="161">
        <f t="shared" si="23"/>
        <v>3590591.2</v>
      </c>
      <c r="I395" s="161">
        <f t="shared" si="21"/>
        <v>99.50701422799152</v>
      </c>
      <c r="J395" s="147"/>
    </row>
    <row r="396" spans="1:10" s="148" customFormat="1" ht="78.75" outlineLevel="3">
      <c r="A396" s="144" t="s">
        <v>489</v>
      </c>
      <c r="B396" s="145" t="s">
        <v>18</v>
      </c>
      <c r="C396" s="145" t="s">
        <v>195</v>
      </c>
      <c r="D396" s="145" t="s">
        <v>197</v>
      </c>
      <c r="E396" s="145" t="s">
        <v>490</v>
      </c>
      <c r="F396" s="145" t="s">
        <v>25</v>
      </c>
      <c r="G396" s="146">
        <f t="shared" si="23"/>
        <v>3608380</v>
      </c>
      <c r="H396" s="161">
        <f t="shared" si="23"/>
        <v>3590591.2</v>
      </c>
      <c r="I396" s="161">
        <f t="shared" si="21"/>
        <v>99.50701422799152</v>
      </c>
      <c r="J396" s="147"/>
    </row>
    <row r="397" spans="1:10" s="148" customFormat="1" ht="47.25" outlineLevel="4">
      <c r="A397" s="144" t="s">
        <v>580</v>
      </c>
      <c r="B397" s="145" t="s">
        <v>18</v>
      </c>
      <c r="C397" s="145" t="s">
        <v>195</v>
      </c>
      <c r="D397" s="145" t="s">
        <v>197</v>
      </c>
      <c r="E397" s="145" t="s">
        <v>581</v>
      </c>
      <c r="F397" s="145" t="s">
        <v>25</v>
      </c>
      <c r="G397" s="146">
        <f t="shared" si="23"/>
        <v>3608380</v>
      </c>
      <c r="H397" s="161">
        <f t="shared" si="23"/>
        <v>3590591.2</v>
      </c>
      <c r="I397" s="161">
        <f t="shared" si="21"/>
        <v>99.50701422799152</v>
      </c>
      <c r="J397" s="147"/>
    </row>
    <row r="398" spans="1:9" ht="31.5" outlineLevel="5">
      <c r="A398" s="149" t="s">
        <v>582</v>
      </c>
      <c r="B398" s="150" t="s">
        <v>18</v>
      </c>
      <c r="C398" s="150" t="s">
        <v>195</v>
      </c>
      <c r="D398" s="150" t="s">
        <v>197</v>
      </c>
      <c r="E398" s="150" t="s">
        <v>583</v>
      </c>
      <c r="F398" s="150" t="s">
        <v>25</v>
      </c>
      <c r="G398" s="151">
        <f>G399+G401</f>
        <v>3608380</v>
      </c>
      <c r="H398" s="158">
        <f>H399+H401</f>
        <v>3590591.2</v>
      </c>
      <c r="I398" s="158">
        <f t="shared" si="21"/>
        <v>99.50701422799152</v>
      </c>
    </row>
    <row r="399" spans="1:9" ht="31.5" outlineLevel="6">
      <c r="A399" s="149" t="s">
        <v>584</v>
      </c>
      <c r="B399" s="150" t="s">
        <v>18</v>
      </c>
      <c r="C399" s="150" t="s">
        <v>195</v>
      </c>
      <c r="D399" s="150" t="s">
        <v>197</v>
      </c>
      <c r="E399" s="150" t="s">
        <v>585</v>
      </c>
      <c r="F399" s="150" t="s">
        <v>25</v>
      </c>
      <c r="G399" s="151">
        <f>G400</f>
        <v>3590760</v>
      </c>
      <c r="H399" s="158">
        <f>H400</f>
        <v>3590591.2</v>
      </c>
      <c r="I399" s="158">
        <f t="shared" si="21"/>
        <v>99.99529904532746</v>
      </c>
    </row>
    <row r="400" spans="1:9" ht="31.5" outlineLevel="7">
      <c r="A400" s="149" t="s">
        <v>324</v>
      </c>
      <c r="B400" s="150" t="s">
        <v>18</v>
      </c>
      <c r="C400" s="150" t="s">
        <v>195</v>
      </c>
      <c r="D400" s="150" t="s">
        <v>197</v>
      </c>
      <c r="E400" s="150" t="s">
        <v>585</v>
      </c>
      <c r="F400" s="150" t="s">
        <v>325</v>
      </c>
      <c r="G400" s="151">
        <v>3590760</v>
      </c>
      <c r="H400" s="158">
        <v>3590591.2</v>
      </c>
      <c r="I400" s="158">
        <f t="shared" si="21"/>
        <v>99.99529904532746</v>
      </c>
    </row>
    <row r="401" spans="1:9" ht="63" outlineLevel="6">
      <c r="A401" s="149" t="s">
        <v>586</v>
      </c>
      <c r="B401" s="150" t="s">
        <v>18</v>
      </c>
      <c r="C401" s="150" t="s">
        <v>195</v>
      </c>
      <c r="D401" s="150" t="s">
        <v>197</v>
      </c>
      <c r="E401" s="150" t="s">
        <v>587</v>
      </c>
      <c r="F401" s="150" t="s">
        <v>25</v>
      </c>
      <c r="G401" s="151">
        <f>G402</f>
        <v>17620</v>
      </c>
      <c r="H401" s="158">
        <f>H402</f>
        <v>0</v>
      </c>
      <c r="I401" s="158">
        <f t="shared" si="21"/>
        <v>0</v>
      </c>
    </row>
    <row r="402" spans="1:9" ht="31.5" outlineLevel="7">
      <c r="A402" s="149" t="s">
        <v>324</v>
      </c>
      <c r="B402" s="150" t="s">
        <v>18</v>
      </c>
      <c r="C402" s="150" t="s">
        <v>195</v>
      </c>
      <c r="D402" s="150" t="s">
        <v>197</v>
      </c>
      <c r="E402" s="150" t="s">
        <v>587</v>
      </c>
      <c r="F402" s="150" t="s">
        <v>325</v>
      </c>
      <c r="G402" s="151">
        <v>17620</v>
      </c>
      <c r="H402" s="158">
        <v>0</v>
      </c>
      <c r="I402" s="158">
        <f t="shared" si="21"/>
        <v>0</v>
      </c>
    </row>
    <row r="403" spans="1:10" s="148" customFormat="1" ht="15.75" outlineLevel="2">
      <c r="A403" s="144" t="s">
        <v>216</v>
      </c>
      <c r="B403" s="145" t="s">
        <v>18</v>
      </c>
      <c r="C403" s="145" t="s">
        <v>195</v>
      </c>
      <c r="D403" s="145" t="s">
        <v>209</v>
      </c>
      <c r="E403" s="145" t="s">
        <v>313</v>
      </c>
      <c r="F403" s="145" t="s">
        <v>25</v>
      </c>
      <c r="G403" s="146">
        <f>G404+G412+G433</f>
        <v>124497561.99</v>
      </c>
      <c r="H403" s="161">
        <f>H404+H412+H433</f>
        <v>124269590</v>
      </c>
      <c r="I403" s="161">
        <f t="shared" si="21"/>
        <v>99.81688638206562</v>
      </c>
      <c r="J403" s="147"/>
    </row>
    <row r="404" spans="1:10" s="148" customFormat="1" ht="47.25" outlineLevel="3">
      <c r="A404" s="144" t="s">
        <v>387</v>
      </c>
      <c r="B404" s="145" t="s">
        <v>18</v>
      </c>
      <c r="C404" s="145" t="s">
        <v>195</v>
      </c>
      <c r="D404" s="145" t="s">
        <v>209</v>
      </c>
      <c r="E404" s="145" t="s">
        <v>388</v>
      </c>
      <c r="F404" s="145" t="s">
        <v>25</v>
      </c>
      <c r="G404" s="146">
        <f>G405</f>
        <v>10362.94999999984</v>
      </c>
      <c r="H404" s="161">
        <f>H405</f>
        <v>0</v>
      </c>
      <c r="I404" s="161">
        <f t="shared" si="21"/>
        <v>0</v>
      </c>
      <c r="J404" s="147"/>
    </row>
    <row r="405" spans="1:10" s="148" customFormat="1" ht="63" outlineLevel="4">
      <c r="A405" s="144" t="s">
        <v>588</v>
      </c>
      <c r="B405" s="145" t="s">
        <v>18</v>
      </c>
      <c r="C405" s="145" t="s">
        <v>195</v>
      </c>
      <c r="D405" s="145" t="s">
        <v>209</v>
      </c>
      <c r="E405" s="145" t="s">
        <v>589</v>
      </c>
      <c r="F405" s="145" t="s">
        <v>25</v>
      </c>
      <c r="G405" s="146">
        <f>G406+G409</f>
        <v>10362.94999999984</v>
      </c>
      <c r="H405" s="161">
        <f>H406+H409</f>
        <v>0</v>
      </c>
      <c r="I405" s="161">
        <f t="shared" si="21"/>
        <v>0</v>
      </c>
      <c r="J405" s="147"/>
    </row>
    <row r="406" spans="1:9" ht="63" outlineLevel="5">
      <c r="A406" s="149" t="s">
        <v>590</v>
      </c>
      <c r="B406" s="150" t="s">
        <v>18</v>
      </c>
      <c r="C406" s="150" t="s">
        <v>195</v>
      </c>
      <c r="D406" s="150" t="s">
        <v>209</v>
      </c>
      <c r="E406" s="150" t="s">
        <v>591</v>
      </c>
      <c r="F406" s="150" t="s">
        <v>25</v>
      </c>
      <c r="G406" s="151">
        <f>G407</f>
        <v>10362.94999999984</v>
      </c>
      <c r="H406" s="158">
        <f>H407</f>
        <v>0</v>
      </c>
      <c r="I406" s="158">
        <f t="shared" si="21"/>
        <v>0</v>
      </c>
    </row>
    <row r="407" spans="1:9" ht="31.5" outlineLevel="6">
      <c r="A407" s="149" t="s">
        <v>353</v>
      </c>
      <c r="B407" s="150" t="s">
        <v>18</v>
      </c>
      <c r="C407" s="150" t="s">
        <v>195</v>
      </c>
      <c r="D407" s="150" t="s">
        <v>209</v>
      </c>
      <c r="E407" s="150" t="s">
        <v>592</v>
      </c>
      <c r="F407" s="150" t="s">
        <v>25</v>
      </c>
      <c r="G407" s="151">
        <f>G408</f>
        <v>10362.94999999984</v>
      </c>
      <c r="H407" s="158">
        <f>H408</f>
        <v>0</v>
      </c>
      <c r="I407" s="158">
        <f t="shared" si="21"/>
        <v>0</v>
      </c>
    </row>
    <row r="408" spans="1:9" ht="31.5" outlineLevel="7">
      <c r="A408" s="149" t="s">
        <v>324</v>
      </c>
      <c r="B408" s="150" t="s">
        <v>18</v>
      </c>
      <c r="C408" s="150" t="s">
        <v>195</v>
      </c>
      <c r="D408" s="150" t="s">
        <v>209</v>
      </c>
      <c r="E408" s="150" t="s">
        <v>592</v>
      </c>
      <c r="F408" s="150" t="s">
        <v>325</v>
      </c>
      <c r="G408" s="151">
        <f>4053741-3811145.18-199885.74-32347.13</f>
        <v>10362.94999999984</v>
      </c>
      <c r="H408" s="158">
        <v>0</v>
      </c>
      <c r="I408" s="158">
        <f t="shared" si="21"/>
        <v>0</v>
      </c>
    </row>
    <row r="409" spans="1:9" ht="265.5" customHeight="1" hidden="1" outlineLevel="5">
      <c r="A409" s="149" t="s">
        <v>593</v>
      </c>
      <c r="B409" s="150" t="s">
        <v>18</v>
      </c>
      <c r="C409" s="150" t="s">
        <v>195</v>
      </c>
      <c r="D409" s="150" t="s">
        <v>209</v>
      </c>
      <c r="E409" s="150" t="s">
        <v>594</v>
      </c>
      <c r="F409" s="150" t="s">
        <v>25</v>
      </c>
      <c r="G409" s="151">
        <f>G410</f>
        <v>0</v>
      </c>
      <c r="H409" s="158">
        <f>H410</f>
        <v>0</v>
      </c>
      <c r="I409" s="161" t="e">
        <f t="shared" si="21"/>
        <v>#DIV/0!</v>
      </c>
    </row>
    <row r="410" spans="1:9" ht="31.5" hidden="1" outlineLevel="6">
      <c r="A410" s="149" t="s">
        <v>353</v>
      </c>
      <c r="B410" s="150" t="s">
        <v>18</v>
      </c>
      <c r="C410" s="150" t="s">
        <v>195</v>
      </c>
      <c r="D410" s="150" t="s">
        <v>209</v>
      </c>
      <c r="E410" s="150" t="s">
        <v>595</v>
      </c>
      <c r="F410" s="150" t="s">
        <v>25</v>
      </c>
      <c r="G410" s="151">
        <f>G411</f>
        <v>0</v>
      </c>
      <c r="H410" s="158">
        <f>H411</f>
        <v>0</v>
      </c>
      <c r="I410" s="161" t="e">
        <f t="shared" si="21"/>
        <v>#DIV/0!</v>
      </c>
    </row>
    <row r="411" spans="1:9" ht="31.5" hidden="1" outlineLevel="7">
      <c r="A411" s="149" t="s">
        <v>324</v>
      </c>
      <c r="B411" s="150" t="s">
        <v>18</v>
      </c>
      <c r="C411" s="150" t="s">
        <v>195</v>
      </c>
      <c r="D411" s="150" t="s">
        <v>209</v>
      </c>
      <c r="E411" s="150" t="s">
        <v>595</v>
      </c>
      <c r="F411" s="150" t="s">
        <v>325</v>
      </c>
      <c r="G411" s="151">
        <f>1744240-1744240</f>
        <v>0</v>
      </c>
      <c r="H411" s="158">
        <f>1744240-1744240</f>
        <v>0</v>
      </c>
      <c r="I411" s="161" t="e">
        <f t="shared" si="21"/>
        <v>#DIV/0!</v>
      </c>
    </row>
    <row r="412" spans="1:10" s="148" customFormat="1" ht="47.25" outlineLevel="4" collapsed="1">
      <c r="A412" s="144" t="s">
        <v>596</v>
      </c>
      <c r="B412" s="145" t="s">
        <v>18</v>
      </c>
      <c r="C412" s="145" t="s">
        <v>195</v>
      </c>
      <c r="D412" s="145" t="s">
        <v>209</v>
      </c>
      <c r="E412" s="145" t="s">
        <v>597</v>
      </c>
      <c r="F412" s="145" t="s">
        <v>25</v>
      </c>
      <c r="G412" s="146">
        <f>G413+G423+G430+G420</f>
        <v>124487199.03999999</v>
      </c>
      <c r="H412" s="161">
        <f>H413+H423+H430+H420</f>
        <v>124269590</v>
      </c>
      <c r="I412" s="161">
        <f t="shared" si="21"/>
        <v>99.82519564928916</v>
      </c>
      <c r="J412" s="147"/>
    </row>
    <row r="413" spans="1:9" ht="47.25" outlineLevel="5">
      <c r="A413" s="149" t="s">
        <v>598</v>
      </c>
      <c r="B413" s="150" t="s">
        <v>18</v>
      </c>
      <c r="C413" s="150" t="s">
        <v>195</v>
      </c>
      <c r="D413" s="150" t="s">
        <v>209</v>
      </c>
      <c r="E413" s="150" t="s">
        <v>599</v>
      </c>
      <c r="F413" s="150" t="s">
        <v>25</v>
      </c>
      <c r="G413" s="151">
        <f>G414+G416+G418</f>
        <v>30366038.32</v>
      </c>
      <c r="H413" s="158">
        <f>H414+H416+H418</f>
        <v>30366037.380000003</v>
      </c>
      <c r="I413" s="158">
        <f t="shared" si="21"/>
        <v>99.9999969044365</v>
      </c>
    </row>
    <row r="414" spans="1:9" ht="31.5" hidden="1" outlineLevel="6">
      <c r="A414" s="149" t="s">
        <v>600</v>
      </c>
      <c r="B414" s="150" t="s">
        <v>18</v>
      </c>
      <c r="C414" s="150" t="s">
        <v>195</v>
      </c>
      <c r="D414" s="150" t="s">
        <v>209</v>
      </c>
      <c r="E414" s="150" t="s">
        <v>601</v>
      </c>
      <c r="F414" s="150" t="s">
        <v>25</v>
      </c>
      <c r="G414" s="151">
        <f>G415</f>
        <v>0</v>
      </c>
      <c r="H414" s="158">
        <f>H415</f>
        <v>0</v>
      </c>
      <c r="I414" s="158" t="e">
        <f t="shared" si="21"/>
        <v>#DIV/0!</v>
      </c>
    </row>
    <row r="415" spans="1:9" ht="31.5" hidden="1" outlineLevel="7">
      <c r="A415" s="149" t="s">
        <v>324</v>
      </c>
      <c r="B415" s="150" t="s">
        <v>18</v>
      </c>
      <c r="C415" s="150" t="s">
        <v>195</v>
      </c>
      <c r="D415" s="150" t="s">
        <v>209</v>
      </c>
      <c r="E415" s="150" t="s">
        <v>601</v>
      </c>
      <c r="F415" s="150" t="s">
        <v>325</v>
      </c>
      <c r="G415" s="151">
        <f>10000000-10000000</f>
        <v>0</v>
      </c>
      <c r="H415" s="158">
        <f>10000000-10000000</f>
        <v>0</v>
      </c>
      <c r="I415" s="158" t="e">
        <f t="shared" si="21"/>
        <v>#DIV/0!</v>
      </c>
    </row>
    <row r="416" spans="1:9" ht="63" outlineLevel="7">
      <c r="A416" s="149" t="s">
        <v>602</v>
      </c>
      <c r="B416" s="150" t="s">
        <v>18</v>
      </c>
      <c r="C416" s="150" t="s">
        <v>195</v>
      </c>
      <c r="D416" s="150" t="s">
        <v>209</v>
      </c>
      <c r="E416" s="150" t="s">
        <v>603</v>
      </c>
      <c r="F416" s="150" t="s">
        <v>25</v>
      </c>
      <c r="G416" s="151">
        <f>G417</f>
        <v>20366038.32</v>
      </c>
      <c r="H416" s="158">
        <f>H417</f>
        <v>20366038.32</v>
      </c>
      <c r="I416" s="158">
        <f t="shared" si="21"/>
        <v>100</v>
      </c>
    </row>
    <row r="417" spans="1:9" ht="31.5" outlineLevel="7">
      <c r="A417" s="149" t="s">
        <v>324</v>
      </c>
      <c r="B417" s="150" t="s">
        <v>18</v>
      </c>
      <c r="C417" s="150" t="s">
        <v>195</v>
      </c>
      <c r="D417" s="150" t="s">
        <v>209</v>
      </c>
      <c r="E417" s="150" t="s">
        <v>603</v>
      </c>
      <c r="F417" s="150" t="s">
        <v>325</v>
      </c>
      <c r="G417" s="151">
        <f>20366038.32</f>
        <v>20366038.32</v>
      </c>
      <c r="H417" s="158">
        <f>20366038.32</f>
        <v>20366038.32</v>
      </c>
      <c r="I417" s="158">
        <f t="shared" si="21"/>
        <v>100</v>
      </c>
    </row>
    <row r="418" spans="1:9" ht="63" outlineLevel="7">
      <c r="A418" s="149" t="s">
        <v>602</v>
      </c>
      <c r="B418" s="150" t="s">
        <v>18</v>
      </c>
      <c r="C418" s="150" t="s">
        <v>195</v>
      </c>
      <c r="D418" s="150" t="s">
        <v>209</v>
      </c>
      <c r="E418" s="150" t="s">
        <v>604</v>
      </c>
      <c r="F418" s="150" t="s">
        <v>25</v>
      </c>
      <c r="G418" s="151">
        <f>G419</f>
        <v>10000000</v>
      </c>
      <c r="H418" s="158">
        <f>H419</f>
        <v>9999999.06</v>
      </c>
      <c r="I418" s="158">
        <f t="shared" si="21"/>
        <v>99.9999906</v>
      </c>
    </row>
    <row r="419" spans="1:9" ht="31.5" outlineLevel="7">
      <c r="A419" s="149" t="s">
        <v>324</v>
      </c>
      <c r="B419" s="150" t="s">
        <v>18</v>
      </c>
      <c r="C419" s="150" t="s">
        <v>195</v>
      </c>
      <c r="D419" s="150" t="s">
        <v>209</v>
      </c>
      <c r="E419" s="150" t="s">
        <v>604</v>
      </c>
      <c r="F419" s="150" t="s">
        <v>325</v>
      </c>
      <c r="G419" s="151">
        <f>10000000</f>
        <v>10000000</v>
      </c>
      <c r="H419" s="158">
        <v>9999999.06</v>
      </c>
      <c r="I419" s="158">
        <f t="shared" si="21"/>
        <v>99.9999906</v>
      </c>
    </row>
    <row r="420" spans="1:9" ht="47.25" outlineLevel="7">
      <c r="A420" s="149" t="s">
        <v>605</v>
      </c>
      <c r="B420" s="150" t="s">
        <v>18</v>
      </c>
      <c r="C420" s="150" t="s">
        <v>195</v>
      </c>
      <c r="D420" s="150" t="s">
        <v>209</v>
      </c>
      <c r="E420" s="150" t="s">
        <v>606</v>
      </c>
      <c r="F420" s="150" t="s">
        <v>25</v>
      </c>
      <c r="G420" s="151">
        <f>G421</f>
        <v>340000</v>
      </c>
      <c r="H420" s="158">
        <f>H421</f>
        <v>340000</v>
      </c>
      <c r="I420" s="158">
        <f t="shared" si="21"/>
        <v>100</v>
      </c>
    </row>
    <row r="421" spans="1:9" ht="31.5" outlineLevel="7">
      <c r="A421" s="149" t="s">
        <v>353</v>
      </c>
      <c r="B421" s="150" t="s">
        <v>18</v>
      </c>
      <c r="C421" s="150" t="s">
        <v>195</v>
      </c>
      <c r="D421" s="150" t="s">
        <v>209</v>
      </c>
      <c r="E421" s="150" t="s">
        <v>607</v>
      </c>
      <c r="F421" s="150" t="s">
        <v>25</v>
      </c>
      <c r="G421" s="151">
        <f>G422</f>
        <v>340000</v>
      </c>
      <c r="H421" s="158">
        <f>H422</f>
        <v>340000</v>
      </c>
      <c r="I421" s="158">
        <f t="shared" si="21"/>
        <v>100</v>
      </c>
    </row>
    <row r="422" spans="1:9" ht="31.5" outlineLevel="7">
      <c r="A422" s="149" t="s">
        <v>324</v>
      </c>
      <c r="B422" s="150" t="s">
        <v>18</v>
      </c>
      <c r="C422" s="150" t="s">
        <v>195</v>
      </c>
      <c r="D422" s="150" t="s">
        <v>209</v>
      </c>
      <c r="E422" s="150" t="s">
        <v>607</v>
      </c>
      <c r="F422" s="150" t="s">
        <v>325</v>
      </c>
      <c r="G422" s="151">
        <f>450000-110000</f>
        <v>340000</v>
      </c>
      <c r="H422" s="158">
        <f>450000-110000</f>
        <v>340000</v>
      </c>
      <c r="I422" s="158">
        <f t="shared" si="21"/>
        <v>100</v>
      </c>
    </row>
    <row r="423" spans="1:9" ht="54" customHeight="1" outlineLevel="5">
      <c r="A423" s="149" t="s">
        <v>608</v>
      </c>
      <c r="B423" s="150" t="s">
        <v>18</v>
      </c>
      <c r="C423" s="150" t="s">
        <v>195</v>
      </c>
      <c r="D423" s="150" t="s">
        <v>209</v>
      </c>
      <c r="E423" s="150" t="s">
        <v>609</v>
      </c>
      <c r="F423" s="150" t="s">
        <v>25</v>
      </c>
      <c r="G423" s="151">
        <f>G424+G426+G428</f>
        <v>93487160.72</v>
      </c>
      <c r="H423" s="158">
        <f>H424+H426+H428</f>
        <v>93269552.62</v>
      </c>
      <c r="I423" s="158">
        <f t="shared" si="21"/>
        <v>99.76723210083175</v>
      </c>
    </row>
    <row r="424" spans="1:9" ht="47.25" outlineLevel="6">
      <c r="A424" s="149" t="s">
        <v>610</v>
      </c>
      <c r="B424" s="150" t="s">
        <v>18</v>
      </c>
      <c r="C424" s="150" t="s">
        <v>195</v>
      </c>
      <c r="D424" s="150" t="s">
        <v>209</v>
      </c>
      <c r="E424" s="150" t="s">
        <v>611</v>
      </c>
      <c r="F424" s="150" t="s">
        <v>25</v>
      </c>
      <c r="G424" s="151">
        <f>G425</f>
        <v>92306715.12</v>
      </c>
      <c r="H424" s="158">
        <f>H425</f>
        <v>92306715.12</v>
      </c>
      <c r="I424" s="158">
        <f t="shared" si="21"/>
        <v>100</v>
      </c>
    </row>
    <row r="425" spans="1:9" ht="31.5" outlineLevel="7">
      <c r="A425" s="149" t="s">
        <v>324</v>
      </c>
      <c r="B425" s="150" t="s">
        <v>18</v>
      </c>
      <c r="C425" s="150" t="s">
        <v>195</v>
      </c>
      <c r="D425" s="150" t="s">
        <v>209</v>
      </c>
      <c r="E425" s="150" t="s">
        <v>611</v>
      </c>
      <c r="F425" s="150" t="s">
        <v>325</v>
      </c>
      <c r="G425" s="151">
        <f>92834953.2-528238.08</f>
        <v>92306715.12</v>
      </c>
      <c r="H425" s="158">
        <f>92834953.2-528238.08</f>
        <v>92306715.12</v>
      </c>
      <c r="I425" s="158">
        <f t="shared" si="21"/>
        <v>100</v>
      </c>
    </row>
    <row r="426" spans="1:9" ht="31.5" outlineLevel="6">
      <c r="A426" s="149" t="s">
        <v>612</v>
      </c>
      <c r="B426" s="150" t="s">
        <v>18</v>
      </c>
      <c r="C426" s="150" t="s">
        <v>195</v>
      </c>
      <c r="D426" s="150" t="s">
        <v>209</v>
      </c>
      <c r="E426" s="150" t="s">
        <v>613</v>
      </c>
      <c r="F426" s="150" t="s">
        <v>25</v>
      </c>
      <c r="G426" s="151">
        <f>G427</f>
        <v>137601.71000000002</v>
      </c>
      <c r="H426" s="158">
        <f>H427</f>
        <v>2605</v>
      </c>
      <c r="I426" s="158">
        <f t="shared" si="21"/>
        <v>1.8931450779209065</v>
      </c>
    </row>
    <row r="427" spans="1:9" ht="31.5" outlineLevel="7">
      <c r="A427" s="149" t="s">
        <v>324</v>
      </c>
      <c r="B427" s="150" t="s">
        <v>18</v>
      </c>
      <c r="C427" s="150" t="s">
        <v>195</v>
      </c>
      <c r="D427" s="150" t="s">
        <v>209</v>
      </c>
      <c r="E427" s="150" t="s">
        <v>613</v>
      </c>
      <c r="F427" s="150" t="s">
        <v>325</v>
      </c>
      <c r="G427" s="151">
        <f>360636.09-223034.38</f>
        <v>137601.71000000002</v>
      </c>
      <c r="H427" s="158">
        <v>2605</v>
      </c>
      <c r="I427" s="158">
        <f t="shared" si="21"/>
        <v>1.8931450779209065</v>
      </c>
    </row>
    <row r="428" spans="1:9" ht="31.5" outlineLevel="6">
      <c r="A428" s="149" t="s">
        <v>353</v>
      </c>
      <c r="B428" s="150" t="s">
        <v>18</v>
      </c>
      <c r="C428" s="150" t="s">
        <v>195</v>
      </c>
      <c r="D428" s="150" t="s">
        <v>209</v>
      </c>
      <c r="E428" s="150" t="s">
        <v>614</v>
      </c>
      <c r="F428" s="150" t="s">
        <v>25</v>
      </c>
      <c r="G428" s="151">
        <f>G429</f>
        <v>1042843.8899999999</v>
      </c>
      <c r="H428" s="158">
        <f>H429</f>
        <v>960232.5</v>
      </c>
      <c r="I428" s="158">
        <f t="shared" si="21"/>
        <v>92.07825919179524</v>
      </c>
    </row>
    <row r="429" spans="1:9" ht="31.5" outlineLevel="7">
      <c r="A429" s="149" t="s">
        <v>324</v>
      </c>
      <c r="B429" s="150" t="s">
        <v>18</v>
      </c>
      <c r="C429" s="150" t="s">
        <v>195</v>
      </c>
      <c r="D429" s="150" t="s">
        <v>209</v>
      </c>
      <c r="E429" s="150" t="s">
        <v>614</v>
      </c>
      <c r="F429" s="150" t="s">
        <v>325</v>
      </c>
      <c r="G429" s="151">
        <f>3134903.98-1024141.08-276658.8-791260.21</f>
        <v>1042843.8899999999</v>
      </c>
      <c r="H429" s="158">
        <v>960232.5</v>
      </c>
      <c r="I429" s="158">
        <f t="shared" si="21"/>
        <v>92.07825919179524</v>
      </c>
    </row>
    <row r="430" spans="1:9" ht="63" outlineLevel="5">
      <c r="A430" s="149" t="s">
        <v>615</v>
      </c>
      <c r="B430" s="150" t="s">
        <v>18</v>
      </c>
      <c r="C430" s="150" t="s">
        <v>195</v>
      </c>
      <c r="D430" s="150" t="s">
        <v>209</v>
      </c>
      <c r="E430" s="150" t="s">
        <v>616</v>
      </c>
      <c r="F430" s="150" t="s">
        <v>25</v>
      </c>
      <c r="G430" s="151">
        <f>G431</f>
        <v>294000</v>
      </c>
      <c r="H430" s="158">
        <f>H431</f>
        <v>294000</v>
      </c>
      <c r="I430" s="158">
        <f t="shared" si="21"/>
        <v>100</v>
      </c>
    </row>
    <row r="431" spans="1:9" ht="31.5" outlineLevel="6">
      <c r="A431" s="149" t="s">
        <v>353</v>
      </c>
      <c r="B431" s="150" t="s">
        <v>18</v>
      </c>
      <c r="C431" s="150" t="s">
        <v>195</v>
      </c>
      <c r="D431" s="150" t="s">
        <v>209</v>
      </c>
      <c r="E431" s="150" t="s">
        <v>617</v>
      </c>
      <c r="F431" s="150" t="s">
        <v>25</v>
      </c>
      <c r="G431" s="151">
        <f>G432</f>
        <v>294000</v>
      </c>
      <c r="H431" s="158">
        <f>H432</f>
        <v>294000</v>
      </c>
      <c r="I431" s="158">
        <f t="shared" si="21"/>
        <v>100</v>
      </c>
    </row>
    <row r="432" spans="1:9" ht="31.5" outlineLevel="7">
      <c r="A432" s="149" t="s">
        <v>324</v>
      </c>
      <c r="B432" s="150" t="s">
        <v>18</v>
      </c>
      <c r="C432" s="150" t="s">
        <v>195</v>
      </c>
      <c r="D432" s="150" t="s">
        <v>209</v>
      </c>
      <c r="E432" s="150" t="s">
        <v>617</v>
      </c>
      <c r="F432" s="150" t="s">
        <v>325</v>
      </c>
      <c r="G432" s="151">
        <f>300000-6000</f>
        <v>294000</v>
      </c>
      <c r="H432" s="158">
        <f>300000-6000</f>
        <v>294000</v>
      </c>
      <c r="I432" s="158">
        <f t="shared" si="21"/>
        <v>100</v>
      </c>
    </row>
    <row r="433" spans="1:10" s="148" customFormat="1" ht="15.75" hidden="1" outlineLevel="3">
      <c r="A433" s="144" t="s">
        <v>329</v>
      </c>
      <c r="B433" s="145" t="s">
        <v>18</v>
      </c>
      <c r="C433" s="145" t="s">
        <v>195</v>
      </c>
      <c r="D433" s="145" t="s">
        <v>209</v>
      </c>
      <c r="E433" s="145" t="s">
        <v>330</v>
      </c>
      <c r="F433" s="145" t="s">
        <v>25</v>
      </c>
      <c r="G433" s="146">
        <f>G434</f>
        <v>0</v>
      </c>
      <c r="H433" s="161">
        <f>H434</f>
        <v>0</v>
      </c>
      <c r="I433" s="161" t="e">
        <f t="shared" si="21"/>
        <v>#DIV/0!</v>
      </c>
      <c r="J433" s="147"/>
    </row>
    <row r="434" spans="1:9" ht="31.5" hidden="1" outlineLevel="6">
      <c r="A434" s="149" t="s">
        <v>577</v>
      </c>
      <c r="B434" s="150" t="s">
        <v>18</v>
      </c>
      <c r="C434" s="150" t="s">
        <v>195</v>
      </c>
      <c r="D434" s="150" t="s">
        <v>209</v>
      </c>
      <c r="E434" s="150" t="s">
        <v>461</v>
      </c>
      <c r="F434" s="150" t="s">
        <v>25</v>
      </c>
      <c r="G434" s="151">
        <f>G435</f>
        <v>0</v>
      </c>
      <c r="H434" s="158">
        <f>H435</f>
        <v>0</v>
      </c>
      <c r="I434" s="161" t="e">
        <f t="shared" si="21"/>
        <v>#DIV/0!</v>
      </c>
    </row>
    <row r="435" spans="1:9" ht="15.75" hidden="1" outlineLevel="7">
      <c r="A435" s="149" t="s">
        <v>411</v>
      </c>
      <c r="B435" s="150" t="s">
        <v>18</v>
      </c>
      <c r="C435" s="150" t="s">
        <v>195</v>
      </c>
      <c r="D435" s="150" t="s">
        <v>209</v>
      </c>
      <c r="E435" s="150" t="s">
        <v>461</v>
      </c>
      <c r="F435" s="150" t="s">
        <v>293</v>
      </c>
      <c r="G435" s="151">
        <f>78578.89-78578.89</f>
        <v>0</v>
      </c>
      <c r="H435" s="158">
        <f>78578.89-78578.89</f>
        <v>0</v>
      </c>
      <c r="I435" s="161" t="e">
        <f t="shared" si="21"/>
        <v>#DIV/0!</v>
      </c>
    </row>
    <row r="436" spans="1:10" s="148" customFormat="1" ht="31.5" outlineLevel="2" collapsed="1">
      <c r="A436" s="144" t="s">
        <v>219</v>
      </c>
      <c r="B436" s="145" t="s">
        <v>18</v>
      </c>
      <c r="C436" s="145" t="s">
        <v>195</v>
      </c>
      <c r="D436" s="145" t="s">
        <v>220</v>
      </c>
      <c r="E436" s="145" t="s">
        <v>313</v>
      </c>
      <c r="F436" s="145" t="s">
        <v>25</v>
      </c>
      <c r="G436" s="146">
        <f>G437+G442</f>
        <v>26377690.89</v>
      </c>
      <c r="H436" s="161">
        <f>H437+H442</f>
        <v>26305921.61</v>
      </c>
      <c r="I436" s="161">
        <f t="shared" si="21"/>
        <v>99.72791674487623</v>
      </c>
      <c r="J436" s="147"/>
    </row>
    <row r="437" spans="1:10" s="148" customFormat="1" ht="47.25" outlineLevel="3">
      <c r="A437" s="144" t="s">
        <v>347</v>
      </c>
      <c r="B437" s="145" t="s">
        <v>18</v>
      </c>
      <c r="C437" s="145" t="s">
        <v>195</v>
      </c>
      <c r="D437" s="145" t="s">
        <v>220</v>
      </c>
      <c r="E437" s="145" t="s">
        <v>348</v>
      </c>
      <c r="F437" s="145" t="s">
        <v>25</v>
      </c>
      <c r="G437" s="146">
        <f aca="true" t="shared" si="24" ref="G437:H440">G438</f>
        <v>683807.12</v>
      </c>
      <c r="H437" s="161">
        <f t="shared" si="24"/>
        <v>667022</v>
      </c>
      <c r="I437" s="161">
        <f t="shared" si="21"/>
        <v>97.54534290312742</v>
      </c>
      <c r="J437" s="147"/>
    </row>
    <row r="438" spans="1:10" s="148" customFormat="1" ht="47.25" outlineLevel="4">
      <c r="A438" s="144" t="s">
        <v>349</v>
      </c>
      <c r="B438" s="145" t="s">
        <v>18</v>
      </c>
      <c r="C438" s="145" t="s">
        <v>195</v>
      </c>
      <c r="D438" s="145" t="s">
        <v>220</v>
      </c>
      <c r="E438" s="145" t="s">
        <v>350</v>
      </c>
      <c r="F438" s="145" t="s">
        <v>25</v>
      </c>
      <c r="G438" s="146">
        <f t="shared" si="24"/>
        <v>683807.12</v>
      </c>
      <c r="H438" s="161">
        <f t="shared" si="24"/>
        <v>667022</v>
      </c>
      <c r="I438" s="161">
        <f t="shared" si="21"/>
        <v>97.54534290312742</v>
      </c>
      <c r="J438" s="147"/>
    </row>
    <row r="439" spans="1:9" ht="31.5" outlineLevel="5">
      <c r="A439" s="149" t="s">
        <v>418</v>
      </c>
      <c r="B439" s="150" t="s">
        <v>18</v>
      </c>
      <c r="C439" s="150" t="s">
        <v>195</v>
      </c>
      <c r="D439" s="150" t="s">
        <v>220</v>
      </c>
      <c r="E439" s="150" t="s">
        <v>419</v>
      </c>
      <c r="F439" s="150" t="s">
        <v>25</v>
      </c>
      <c r="G439" s="151">
        <f t="shared" si="24"/>
        <v>683807.12</v>
      </c>
      <c r="H439" s="158">
        <f t="shared" si="24"/>
        <v>667022</v>
      </c>
      <c r="I439" s="158">
        <f t="shared" si="21"/>
        <v>97.54534290312742</v>
      </c>
    </row>
    <row r="440" spans="1:9" ht="31.5" outlineLevel="6">
      <c r="A440" s="149" t="s">
        <v>353</v>
      </c>
      <c r="B440" s="150" t="s">
        <v>18</v>
      </c>
      <c r="C440" s="150" t="s">
        <v>195</v>
      </c>
      <c r="D440" s="150" t="s">
        <v>220</v>
      </c>
      <c r="E440" s="150" t="s">
        <v>420</v>
      </c>
      <c r="F440" s="150" t="s">
        <v>25</v>
      </c>
      <c r="G440" s="151">
        <f t="shared" si="24"/>
        <v>683807.12</v>
      </c>
      <c r="H440" s="158">
        <f t="shared" si="24"/>
        <v>667022</v>
      </c>
      <c r="I440" s="158">
        <f t="shared" si="21"/>
        <v>97.54534290312742</v>
      </c>
    </row>
    <row r="441" spans="1:9" ht="31.5" outlineLevel="7">
      <c r="A441" s="149" t="s">
        <v>324</v>
      </c>
      <c r="B441" s="150" t="s">
        <v>18</v>
      </c>
      <c r="C441" s="150" t="s">
        <v>195</v>
      </c>
      <c r="D441" s="150" t="s">
        <v>220</v>
      </c>
      <c r="E441" s="150" t="s">
        <v>420</v>
      </c>
      <c r="F441" s="150" t="s">
        <v>325</v>
      </c>
      <c r="G441" s="151">
        <f>690807.12-7000</f>
        <v>683807.12</v>
      </c>
      <c r="H441" s="158">
        <v>667022</v>
      </c>
      <c r="I441" s="158">
        <f t="shared" si="21"/>
        <v>97.54534290312742</v>
      </c>
    </row>
    <row r="442" spans="1:10" s="148" customFormat="1" ht="63" outlineLevel="3">
      <c r="A442" s="144" t="s">
        <v>315</v>
      </c>
      <c r="B442" s="145" t="s">
        <v>18</v>
      </c>
      <c r="C442" s="145" t="s">
        <v>195</v>
      </c>
      <c r="D442" s="145" t="s">
        <v>220</v>
      </c>
      <c r="E442" s="145" t="s">
        <v>316</v>
      </c>
      <c r="F442" s="145" t="s">
        <v>25</v>
      </c>
      <c r="G442" s="146">
        <f>G443+G453</f>
        <v>25693883.77</v>
      </c>
      <c r="H442" s="161">
        <f>H443+H453</f>
        <v>25638899.61</v>
      </c>
      <c r="I442" s="161">
        <f t="shared" si="21"/>
        <v>99.78600292391687</v>
      </c>
      <c r="J442" s="147"/>
    </row>
    <row r="443" spans="1:10" s="148" customFormat="1" ht="47.25" outlineLevel="4">
      <c r="A443" s="144" t="s">
        <v>530</v>
      </c>
      <c r="B443" s="145" t="s">
        <v>18</v>
      </c>
      <c r="C443" s="145" t="s">
        <v>195</v>
      </c>
      <c r="D443" s="145" t="s">
        <v>220</v>
      </c>
      <c r="E443" s="145" t="s">
        <v>531</v>
      </c>
      <c r="F443" s="145" t="s">
        <v>25</v>
      </c>
      <c r="G443" s="146">
        <f>G444+G447+G450</f>
        <v>3794624</v>
      </c>
      <c r="H443" s="161">
        <f>H444+H447+H450</f>
        <v>3789624</v>
      </c>
      <c r="I443" s="161">
        <f t="shared" si="21"/>
        <v>99.86823463932132</v>
      </c>
      <c r="J443" s="147"/>
    </row>
    <row r="444" spans="1:9" ht="78.75" outlineLevel="5">
      <c r="A444" s="149" t="s">
        <v>618</v>
      </c>
      <c r="B444" s="150" t="s">
        <v>18</v>
      </c>
      <c r="C444" s="150" t="s">
        <v>195</v>
      </c>
      <c r="D444" s="150" t="s">
        <v>220</v>
      </c>
      <c r="E444" s="150" t="s">
        <v>619</v>
      </c>
      <c r="F444" s="150" t="s">
        <v>25</v>
      </c>
      <c r="G444" s="151">
        <f>G445</f>
        <v>1494624</v>
      </c>
      <c r="H444" s="158">
        <f>H445</f>
        <v>1494624</v>
      </c>
      <c r="I444" s="158">
        <f t="shared" si="21"/>
        <v>100</v>
      </c>
    </row>
    <row r="445" spans="1:9" ht="31.5" outlineLevel="6">
      <c r="A445" s="149" t="s">
        <v>620</v>
      </c>
      <c r="B445" s="150" t="s">
        <v>18</v>
      </c>
      <c r="C445" s="150" t="s">
        <v>195</v>
      </c>
      <c r="D445" s="150" t="s">
        <v>220</v>
      </c>
      <c r="E445" s="150" t="s">
        <v>621</v>
      </c>
      <c r="F445" s="150" t="s">
        <v>25</v>
      </c>
      <c r="G445" s="151">
        <f>G446</f>
        <v>1494624</v>
      </c>
      <c r="H445" s="158">
        <f>H446</f>
        <v>1494624</v>
      </c>
      <c r="I445" s="158">
        <f t="shared" si="21"/>
        <v>100</v>
      </c>
    </row>
    <row r="446" spans="1:9" ht="31.5" outlineLevel="7">
      <c r="A446" s="149" t="s">
        <v>324</v>
      </c>
      <c r="B446" s="150" t="s">
        <v>18</v>
      </c>
      <c r="C446" s="150" t="s">
        <v>195</v>
      </c>
      <c r="D446" s="150" t="s">
        <v>220</v>
      </c>
      <c r="E446" s="150" t="s">
        <v>621</v>
      </c>
      <c r="F446" s="150" t="s">
        <v>325</v>
      </c>
      <c r="G446" s="151">
        <f>4141040-2600000-46416</f>
        <v>1494624</v>
      </c>
      <c r="H446" s="158">
        <f>4141040-2600000-46416</f>
        <v>1494624</v>
      </c>
      <c r="I446" s="158">
        <f t="shared" si="21"/>
        <v>100</v>
      </c>
    </row>
    <row r="447" spans="1:9" ht="126" outlineLevel="7">
      <c r="A447" s="149" t="s">
        <v>622</v>
      </c>
      <c r="B447" s="150" t="s">
        <v>18</v>
      </c>
      <c r="C447" s="150" t="s">
        <v>195</v>
      </c>
      <c r="D447" s="150" t="s">
        <v>220</v>
      </c>
      <c r="E447" s="150" t="s">
        <v>623</v>
      </c>
      <c r="F447" s="150" t="s">
        <v>25</v>
      </c>
      <c r="G447" s="151">
        <f>G448</f>
        <v>1800000</v>
      </c>
      <c r="H447" s="158">
        <f>H448</f>
        <v>1800000</v>
      </c>
      <c r="I447" s="158">
        <f aca="true" t="shared" si="25" ref="I447:I510">H447/G447*100</f>
        <v>100</v>
      </c>
    </row>
    <row r="448" spans="1:9" ht="31.5" outlineLevel="7">
      <c r="A448" s="149" t="s">
        <v>620</v>
      </c>
      <c r="B448" s="150" t="s">
        <v>18</v>
      </c>
      <c r="C448" s="150" t="s">
        <v>195</v>
      </c>
      <c r="D448" s="150" t="s">
        <v>220</v>
      </c>
      <c r="E448" s="150" t="s">
        <v>624</v>
      </c>
      <c r="F448" s="150" t="s">
        <v>25</v>
      </c>
      <c r="G448" s="151">
        <f>G449</f>
        <v>1800000</v>
      </c>
      <c r="H448" s="158">
        <f>H449</f>
        <v>1800000</v>
      </c>
      <c r="I448" s="158">
        <f t="shared" si="25"/>
        <v>100</v>
      </c>
    </row>
    <row r="449" spans="1:9" ht="31.5" outlineLevel="7">
      <c r="A449" s="149" t="s">
        <v>324</v>
      </c>
      <c r="B449" s="150" t="s">
        <v>18</v>
      </c>
      <c r="C449" s="150" t="s">
        <v>195</v>
      </c>
      <c r="D449" s="150" t="s">
        <v>220</v>
      </c>
      <c r="E449" s="150" t="s">
        <v>624</v>
      </c>
      <c r="F449" s="150" t="s">
        <v>325</v>
      </c>
      <c r="G449" s="151">
        <f>2300000-500000</f>
        <v>1800000</v>
      </c>
      <c r="H449" s="158">
        <f>2300000-500000</f>
        <v>1800000</v>
      </c>
      <c r="I449" s="158">
        <f t="shared" si="25"/>
        <v>100</v>
      </c>
    </row>
    <row r="450" spans="1:9" ht="78.75" outlineLevel="7">
      <c r="A450" s="149" t="s">
        <v>625</v>
      </c>
      <c r="B450" s="150" t="s">
        <v>18</v>
      </c>
      <c r="C450" s="150" t="s">
        <v>195</v>
      </c>
      <c r="D450" s="150" t="s">
        <v>220</v>
      </c>
      <c r="E450" s="150" t="s">
        <v>626</v>
      </c>
      <c r="F450" s="150" t="s">
        <v>25</v>
      </c>
      <c r="G450" s="151">
        <f>G451</f>
        <v>500000</v>
      </c>
      <c r="H450" s="158">
        <f>H451</f>
        <v>495000</v>
      </c>
      <c r="I450" s="158">
        <f t="shared" si="25"/>
        <v>99</v>
      </c>
    </row>
    <row r="451" spans="1:9" ht="31.5" outlineLevel="7">
      <c r="A451" s="149" t="s">
        <v>620</v>
      </c>
      <c r="B451" s="150" t="s">
        <v>18</v>
      </c>
      <c r="C451" s="150" t="s">
        <v>195</v>
      </c>
      <c r="D451" s="150" t="s">
        <v>220</v>
      </c>
      <c r="E451" s="150" t="s">
        <v>627</v>
      </c>
      <c r="F451" s="150" t="s">
        <v>25</v>
      </c>
      <c r="G451" s="151">
        <f>G452</f>
        <v>500000</v>
      </c>
      <c r="H451" s="158">
        <f>H452</f>
        <v>495000</v>
      </c>
      <c r="I451" s="158">
        <f t="shared" si="25"/>
        <v>99</v>
      </c>
    </row>
    <row r="452" spans="1:9" ht="31.5" outlineLevel="7">
      <c r="A452" s="149" t="s">
        <v>324</v>
      </c>
      <c r="B452" s="150" t="s">
        <v>18</v>
      </c>
      <c r="C452" s="150" t="s">
        <v>195</v>
      </c>
      <c r="D452" s="150" t="s">
        <v>220</v>
      </c>
      <c r="E452" s="150" t="s">
        <v>627</v>
      </c>
      <c r="F452" s="150" t="s">
        <v>325</v>
      </c>
      <c r="G452" s="151">
        <f>500000</f>
        <v>500000</v>
      </c>
      <c r="H452" s="158">
        <v>495000</v>
      </c>
      <c r="I452" s="158">
        <f t="shared" si="25"/>
        <v>99</v>
      </c>
    </row>
    <row r="453" spans="1:10" s="148" customFormat="1" ht="78.75" outlineLevel="4">
      <c r="A453" s="144" t="s">
        <v>628</v>
      </c>
      <c r="B453" s="145" t="s">
        <v>18</v>
      </c>
      <c r="C453" s="145" t="s">
        <v>195</v>
      </c>
      <c r="D453" s="145" t="s">
        <v>220</v>
      </c>
      <c r="E453" s="145" t="s">
        <v>629</v>
      </c>
      <c r="F453" s="145" t="s">
        <v>25</v>
      </c>
      <c r="G453" s="146">
        <f>G454+G460+G466</f>
        <v>21899259.77</v>
      </c>
      <c r="H453" s="161">
        <f>H454+H460+H466</f>
        <v>21849275.61</v>
      </c>
      <c r="I453" s="161">
        <f t="shared" si="25"/>
        <v>99.77175411166877</v>
      </c>
      <c r="J453" s="147"/>
    </row>
    <row r="454" spans="1:9" ht="63" outlineLevel="5">
      <c r="A454" s="149" t="s">
        <v>630</v>
      </c>
      <c r="B454" s="150" t="s">
        <v>18</v>
      </c>
      <c r="C454" s="150" t="s">
        <v>195</v>
      </c>
      <c r="D454" s="150" t="s">
        <v>220</v>
      </c>
      <c r="E454" s="150" t="s">
        <v>631</v>
      </c>
      <c r="F454" s="150" t="s">
        <v>25</v>
      </c>
      <c r="G454" s="151">
        <f>G455</f>
        <v>5878724.84</v>
      </c>
      <c r="H454" s="158">
        <f>H455</f>
        <v>5858179</v>
      </c>
      <c r="I454" s="158">
        <f t="shared" si="25"/>
        <v>99.65050515955089</v>
      </c>
    </row>
    <row r="455" spans="1:9" ht="78.75" outlineLevel="6">
      <c r="A455" s="149" t="s">
        <v>431</v>
      </c>
      <c r="B455" s="150" t="s">
        <v>18</v>
      </c>
      <c r="C455" s="150" t="s">
        <v>195</v>
      </c>
      <c r="D455" s="150" t="s">
        <v>220</v>
      </c>
      <c r="E455" s="150" t="s">
        <v>632</v>
      </c>
      <c r="F455" s="150" t="s">
        <v>25</v>
      </c>
      <c r="G455" s="151">
        <f>G456+G457+G458+G459</f>
        <v>5878724.84</v>
      </c>
      <c r="H455" s="158">
        <f>H456+H457+H458+H459</f>
        <v>5858179</v>
      </c>
      <c r="I455" s="158">
        <f t="shared" si="25"/>
        <v>99.65050515955089</v>
      </c>
    </row>
    <row r="456" spans="1:9" ht="94.5" outlineLevel="7">
      <c r="A456" s="149" t="s">
        <v>323</v>
      </c>
      <c r="B456" s="150" t="s">
        <v>18</v>
      </c>
      <c r="C456" s="150" t="s">
        <v>195</v>
      </c>
      <c r="D456" s="150" t="s">
        <v>220</v>
      </c>
      <c r="E456" s="150" t="s">
        <v>632</v>
      </c>
      <c r="F456" s="150" t="s">
        <v>54</v>
      </c>
      <c r="G456" s="151">
        <v>5277891.38</v>
      </c>
      <c r="H456" s="158">
        <v>5277891.38</v>
      </c>
      <c r="I456" s="158">
        <f t="shared" si="25"/>
        <v>100</v>
      </c>
    </row>
    <row r="457" spans="1:9" ht="31.5" outlineLevel="7">
      <c r="A457" s="149" t="s">
        <v>324</v>
      </c>
      <c r="B457" s="150" t="s">
        <v>18</v>
      </c>
      <c r="C457" s="150" t="s">
        <v>195</v>
      </c>
      <c r="D457" s="150" t="s">
        <v>220</v>
      </c>
      <c r="E457" s="150" t="s">
        <v>632</v>
      </c>
      <c r="F457" s="150" t="s">
        <v>325</v>
      </c>
      <c r="G457" s="151">
        <f>178070.85-30000</f>
        <v>148070.85</v>
      </c>
      <c r="H457" s="158">
        <v>135525.01</v>
      </c>
      <c r="I457" s="158">
        <f t="shared" si="25"/>
        <v>91.52713717791178</v>
      </c>
    </row>
    <row r="458" spans="1:9" ht="31.5" outlineLevel="7">
      <c r="A458" s="149" t="s">
        <v>371</v>
      </c>
      <c r="B458" s="150" t="s">
        <v>18</v>
      </c>
      <c r="C458" s="150" t="s">
        <v>195</v>
      </c>
      <c r="D458" s="150" t="s">
        <v>220</v>
      </c>
      <c r="E458" s="150" t="s">
        <v>632</v>
      </c>
      <c r="F458" s="150" t="s">
        <v>372</v>
      </c>
      <c r="G458" s="151">
        <f>1485091.82-78922.14-1124000-795.07</f>
        <v>281374.61000000016</v>
      </c>
      <c r="H458" s="158">
        <f>1485091.82-78922.14-1124000-795.07</f>
        <v>281374.61000000016</v>
      </c>
      <c r="I458" s="158">
        <f t="shared" si="25"/>
        <v>100</v>
      </c>
    </row>
    <row r="459" spans="1:9" ht="15.75" outlineLevel="7">
      <c r="A459" s="149" t="s">
        <v>411</v>
      </c>
      <c r="B459" s="150" t="s">
        <v>18</v>
      </c>
      <c r="C459" s="150" t="s">
        <v>195</v>
      </c>
      <c r="D459" s="150" t="s">
        <v>220</v>
      </c>
      <c r="E459" s="150" t="s">
        <v>632</v>
      </c>
      <c r="F459" s="150" t="s">
        <v>293</v>
      </c>
      <c r="G459" s="151">
        <f>194588+800-31078+31078-24000</f>
        <v>171388</v>
      </c>
      <c r="H459" s="158">
        <v>163388</v>
      </c>
      <c r="I459" s="158">
        <f t="shared" si="25"/>
        <v>95.33222862744182</v>
      </c>
    </row>
    <row r="460" spans="1:9" ht="94.5" outlineLevel="5">
      <c r="A460" s="149" t="s">
        <v>633</v>
      </c>
      <c r="B460" s="150" t="s">
        <v>18</v>
      </c>
      <c r="C460" s="150" t="s">
        <v>195</v>
      </c>
      <c r="D460" s="150" t="s">
        <v>220</v>
      </c>
      <c r="E460" s="150" t="s">
        <v>634</v>
      </c>
      <c r="F460" s="150" t="s">
        <v>25</v>
      </c>
      <c r="G460" s="151">
        <f>G461+G464</f>
        <v>10201366.84</v>
      </c>
      <c r="H460" s="158">
        <f>H461+H464</f>
        <v>10186533.53</v>
      </c>
      <c r="I460" s="158">
        <f t="shared" si="25"/>
        <v>99.85459487701355</v>
      </c>
    </row>
    <row r="461" spans="1:9" ht="78.75" outlineLevel="6">
      <c r="A461" s="149" t="s">
        <v>431</v>
      </c>
      <c r="B461" s="150" t="s">
        <v>18</v>
      </c>
      <c r="C461" s="150" t="s">
        <v>195</v>
      </c>
      <c r="D461" s="150" t="s">
        <v>220</v>
      </c>
      <c r="E461" s="150" t="s">
        <v>635</v>
      </c>
      <c r="F461" s="150" t="s">
        <v>25</v>
      </c>
      <c r="G461" s="151">
        <f>G462+G463</f>
        <v>9753506.47</v>
      </c>
      <c r="H461" s="158">
        <f>H462+H463</f>
        <v>9738673.16</v>
      </c>
      <c r="I461" s="158">
        <f t="shared" si="25"/>
        <v>99.84791818157271</v>
      </c>
    </row>
    <row r="462" spans="1:9" ht="94.5" outlineLevel="7">
      <c r="A462" s="149" t="s">
        <v>323</v>
      </c>
      <c r="B462" s="150" t="s">
        <v>18</v>
      </c>
      <c r="C462" s="150" t="s">
        <v>195</v>
      </c>
      <c r="D462" s="150" t="s">
        <v>220</v>
      </c>
      <c r="E462" s="150" t="s">
        <v>635</v>
      </c>
      <c r="F462" s="150" t="s">
        <v>54</v>
      </c>
      <c r="G462" s="151">
        <f>9186896.15+15860.67</f>
        <v>9202756.82</v>
      </c>
      <c r="H462" s="158">
        <v>9192307.48</v>
      </c>
      <c r="I462" s="158">
        <f t="shared" si="25"/>
        <v>99.8864542418714</v>
      </c>
    </row>
    <row r="463" spans="1:9" ht="31.5" outlineLevel="7">
      <c r="A463" s="149" t="s">
        <v>324</v>
      </c>
      <c r="B463" s="150" t="s">
        <v>18</v>
      </c>
      <c r="C463" s="150" t="s">
        <v>195</v>
      </c>
      <c r="D463" s="150" t="s">
        <v>220</v>
      </c>
      <c r="E463" s="150" t="s">
        <v>635</v>
      </c>
      <c r="F463" s="150" t="s">
        <v>325</v>
      </c>
      <c r="G463" s="151">
        <f>399148.07+7000+134601.58+10000</f>
        <v>550749.65</v>
      </c>
      <c r="H463" s="158">
        <v>546365.68</v>
      </c>
      <c r="I463" s="158">
        <f t="shared" si="25"/>
        <v>99.20399949414403</v>
      </c>
    </row>
    <row r="464" spans="1:9" ht="78.75" outlineLevel="6">
      <c r="A464" s="149" t="s">
        <v>335</v>
      </c>
      <c r="B464" s="150" t="s">
        <v>18</v>
      </c>
      <c r="C464" s="150" t="s">
        <v>195</v>
      </c>
      <c r="D464" s="150" t="s">
        <v>220</v>
      </c>
      <c r="E464" s="150" t="s">
        <v>636</v>
      </c>
      <c r="F464" s="150" t="s">
        <v>25</v>
      </c>
      <c r="G464" s="151">
        <f>G465</f>
        <v>447860.36999999994</v>
      </c>
      <c r="H464" s="158">
        <f>H465</f>
        <v>447860.36999999994</v>
      </c>
      <c r="I464" s="158">
        <f t="shared" si="25"/>
        <v>100</v>
      </c>
    </row>
    <row r="465" spans="1:9" ht="94.5" outlineLevel="7">
      <c r="A465" s="149" t="s">
        <v>323</v>
      </c>
      <c r="B465" s="150" t="s">
        <v>18</v>
      </c>
      <c r="C465" s="150" t="s">
        <v>195</v>
      </c>
      <c r="D465" s="150" t="s">
        <v>220</v>
      </c>
      <c r="E465" s="150" t="s">
        <v>636</v>
      </c>
      <c r="F465" s="150" t="s">
        <v>54</v>
      </c>
      <c r="G465" s="151">
        <f>285000+134000.58+28106.61+753.18</f>
        <v>447860.36999999994</v>
      </c>
      <c r="H465" s="158">
        <f>285000+134000.58+28106.61+753.18</f>
        <v>447860.36999999994</v>
      </c>
      <c r="I465" s="158">
        <f t="shared" si="25"/>
        <v>100</v>
      </c>
    </row>
    <row r="466" spans="1:9" ht="110.25" outlineLevel="5">
      <c r="A466" s="149" t="s">
        <v>637</v>
      </c>
      <c r="B466" s="150" t="s">
        <v>18</v>
      </c>
      <c r="C466" s="150" t="s">
        <v>195</v>
      </c>
      <c r="D466" s="150" t="s">
        <v>220</v>
      </c>
      <c r="E466" s="150" t="s">
        <v>638</v>
      </c>
      <c r="F466" s="150" t="s">
        <v>25</v>
      </c>
      <c r="G466" s="151">
        <f>G467</f>
        <v>5819168.09</v>
      </c>
      <c r="H466" s="158">
        <f>H467</f>
        <v>5804563.08</v>
      </c>
      <c r="I466" s="158">
        <f t="shared" si="25"/>
        <v>99.74901893579775</v>
      </c>
    </row>
    <row r="467" spans="1:9" ht="78.75" outlineLevel="6">
      <c r="A467" s="149" t="s">
        <v>431</v>
      </c>
      <c r="B467" s="150" t="s">
        <v>18</v>
      </c>
      <c r="C467" s="150" t="s">
        <v>195</v>
      </c>
      <c r="D467" s="150" t="s">
        <v>220</v>
      </c>
      <c r="E467" s="150" t="s">
        <v>639</v>
      </c>
      <c r="F467" s="150" t="s">
        <v>25</v>
      </c>
      <c r="G467" s="151">
        <f>G468+G469</f>
        <v>5819168.09</v>
      </c>
      <c r="H467" s="158">
        <f>H468+H469</f>
        <v>5804563.08</v>
      </c>
      <c r="I467" s="158">
        <f t="shared" si="25"/>
        <v>99.74901893579775</v>
      </c>
    </row>
    <row r="468" spans="1:9" ht="94.5" outlineLevel="7">
      <c r="A468" s="149" t="s">
        <v>323</v>
      </c>
      <c r="B468" s="150" t="s">
        <v>18</v>
      </c>
      <c r="C468" s="150" t="s">
        <v>195</v>
      </c>
      <c r="D468" s="150" t="s">
        <v>220</v>
      </c>
      <c r="E468" s="150" t="s">
        <v>639</v>
      </c>
      <c r="F468" s="150" t="s">
        <v>54</v>
      </c>
      <c r="G468" s="151">
        <f>5630310.41-250349.4-74055.88</f>
        <v>5305905.13</v>
      </c>
      <c r="H468" s="158">
        <f>5630310.41-250349.4-74055.88</f>
        <v>5305905.13</v>
      </c>
      <c r="I468" s="158">
        <f t="shared" si="25"/>
        <v>100</v>
      </c>
    </row>
    <row r="469" spans="1:9" ht="31.5" outlineLevel="7">
      <c r="A469" s="149" t="s">
        <v>324</v>
      </c>
      <c r="B469" s="150" t="s">
        <v>18</v>
      </c>
      <c r="C469" s="150" t="s">
        <v>195</v>
      </c>
      <c r="D469" s="150" t="s">
        <v>220</v>
      </c>
      <c r="E469" s="150" t="s">
        <v>639</v>
      </c>
      <c r="F469" s="150" t="s">
        <v>325</v>
      </c>
      <c r="G469" s="151">
        <f>405261.72-1131.83-800+79933.07+30000</f>
        <v>513262.95999999996</v>
      </c>
      <c r="H469" s="158">
        <v>498657.95</v>
      </c>
      <c r="I469" s="158">
        <f t="shared" si="25"/>
        <v>97.15447808663225</v>
      </c>
    </row>
    <row r="470" spans="1:10" s="148" customFormat="1" ht="31.5" outlineLevel="1">
      <c r="A470" s="144" t="s">
        <v>640</v>
      </c>
      <c r="B470" s="145" t="s">
        <v>18</v>
      </c>
      <c r="C470" s="145" t="s">
        <v>197</v>
      </c>
      <c r="D470" s="145" t="s">
        <v>189</v>
      </c>
      <c r="E470" s="145" t="s">
        <v>313</v>
      </c>
      <c r="F470" s="145" t="s">
        <v>25</v>
      </c>
      <c r="G470" s="146">
        <f>G471+G517+G554+G496</f>
        <v>164717852.35000002</v>
      </c>
      <c r="H470" s="161">
        <f>H471+H517+H554+H496</f>
        <v>153518658.94300002</v>
      </c>
      <c r="I470" s="161">
        <f t="shared" si="25"/>
        <v>93.20098383555691</v>
      </c>
      <c r="J470" s="147"/>
    </row>
    <row r="471" spans="1:10" s="148" customFormat="1" ht="15.75" outlineLevel="2">
      <c r="A471" s="144" t="s">
        <v>222</v>
      </c>
      <c r="B471" s="145" t="s">
        <v>18</v>
      </c>
      <c r="C471" s="145" t="s">
        <v>197</v>
      </c>
      <c r="D471" s="145" t="s">
        <v>188</v>
      </c>
      <c r="E471" s="145" t="s">
        <v>313</v>
      </c>
      <c r="F471" s="145" t="s">
        <v>25</v>
      </c>
      <c r="G471" s="146">
        <f>G472+J488+G485</f>
        <v>59377740.29</v>
      </c>
      <c r="H471" s="161">
        <f>H472+K488+H485</f>
        <v>57460276.89</v>
      </c>
      <c r="I471" s="161">
        <f t="shared" si="25"/>
        <v>96.77073699565672</v>
      </c>
      <c r="J471" s="147"/>
    </row>
    <row r="472" spans="1:10" s="148" customFormat="1" ht="78.75" outlineLevel="3">
      <c r="A472" s="144" t="s">
        <v>489</v>
      </c>
      <c r="B472" s="145" t="s">
        <v>18</v>
      </c>
      <c r="C472" s="145" t="s">
        <v>197</v>
      </c>
      <c r="D472" s="145" t="s">
        <v>188</v>
      </c>
      <c r="E472" s="145" t="s">
        <v>490</v>
      </c>
      <c r="F472" s="145" t="s">
        <v>25</v>
      </c>
      <c r="G472" s="146">
        <f>G473</f>
        <v>55869260.29</v>
      </c>
      <c r="H472" s="161">
        <f>H473</f>
        <v>54043149.57</v>
      </c>
      <c r="I472" s="161">
        <f t="shared" si="25"/>
        <v>96.73145713667726</v>
      </c>
      <c r="J472" s="147"/>
    </row>
    <row r="473" spans="1:10" s="148" customFormat="1" ht="47.25" outlineLevel="4">
      <c r="A473" s="144" t="s">
        <v>641</v>
      </c>
      <c r="B473" s="145" t="s">
        <v>18</v>
      </c>
      <c r="C473" s="145" t="s">
        <v>197</v>
      </c>
      <c r="D473" s="145" t="s">
        <v>188</v>
      </c>
      <c r="E473" s="145" t="s">
        <v>642</v>
      </c>
      <c r="F473" s="145" t="s">
        <v>25</v>
      </c>
      <c r="G473" s="146">
        <f>G474+G477+G482</f>
        <v>55869260.29</v>
      </c>
      <c r="H473" s="161">
        <f>H474+H477+H482</f>
        <v>54043149.57</v>
      </c>
      <c r="I473" s="161">
        <f t="shared" si="25"/>
        <v>96.73145713667726</v>
      </c>
      <c r="J473" s="147"/>
    </row>
    <row r="474" spans="1:9" ht="15.75" outlineLevel="5">
      <c r="A474" s="149" t="s">
        <v>643</v>
      </c>
      <c r="B474" s="150" t="s">
        <v>18</v>
      </c>
      <c r="C474" s="150" t="s">
        <v>197</v>
      </c>
      <c r="D474" s="150" t="s">
        <v>188</v>
      </c>
      <c r="E474" s="150" t="s">
        <v>644</v>
      </c>
      <c r="F474" s="150" t="s">
        <v>25</v>
      </c>
      <c r="G474" s="151">
        <f>G475</f>
        <v>6481898.579999999</v>
      </c>
      <c r="H474" s="158">
        <f>H475</f>
        <v>6481898.579999999</v>
      </c>
      <c r="I474" s="158">
        <f t="shared" si="25"/>
        <v>100</v>
      </c>
    </row>
    <row r="475" spans="1:9" ht="31.5" outlineLevel="6">
      <c r="A475" s="149" t="s">
        <v>612</v>
      </c>
      <c r="B475" s="150" t="s">
        <v>18</v>
      </c>
      <c r="C475" s="150" t="s">
        <v>197</v>
      </c>
      <c r="D475" s="150" t="s">
        <v>188</v>
      </c>
      <c r="E475" s="150" t="s">
        <v>645</v>
      </c>
      <c r="F475" s="150" t="s">
        <v>25</v>
      </c>
      <c r="G475" s="151">
        <f>G476</f>
        <v>6481898.579999999</v>
      </c>
      <c r="H475" s="158">
        <f>H476</f>
        <v>6481898.579999999</v>
      </c>
      <c r="I475" s="158">
        <f t="shared" si="25"/>
        <v>100</v>
      </c>
    </row>
    <row r="476" spans="1:9" ht="31.5" outlineLevel="7">
      <c r="A476" s="149" t="s">
        <v>324</v>
      </c>
      <c r="B476" s="150" t="s">
        <v>18</v>
      </c>
      <c r="C476" s="150" t="s">
        <v>197</v>
      </c>
      <c r="D476" s="150" t="s">
        <v>188</v>
      </c>
      <c r="E476" s="150" t="s">
        <v>645</v>
      </c>
      <c r="F476" s="150" t="s">
        <v>325</v>
      </c>
      <c r="G476" s="151">
        <f>7452219.18-920086.31-50234.29</f>
        <v>6481898.579999999</v>
      </c>
      <c r="H476" s="158">
        <f>7452219.18-920086.31-50234.29</f>
        <v>6481898.579999999</v>
      </c>
      <c r="I476" s="158">
        <f t="shared" si="25"/>
        <v>100</v>
      </c>
    </row>
    <row r="477" spans="1:9" ht="63" outlineLevel="5">
      <c r="A477" s="156" t="s">
        <v>646</v>
      </c>
      <c r="B477" s="157" t="s">
        <v>18</v>
      </c>
      <c r="C477" s="157" t="s">
        <v>197</v>
      </c>
      <c r="D477" s="157" t="s">
        <v>188</v>
      </c>
      <c r="E477" s="157" t="s">
        <v>647</v>
      </c>
      <c r="F477" s="157" t="s">
        <v>25</v>
      </c>
      <c r="G477" s="158">
        <f>G480+G478</f>
        <v>46596665.77</v>
      </c>
      <c r="H477" s="158">
        <f>H480+H478</f>
        <v>45113826.03</v>
      </c>
      <c r="I477" s="158">
        <f t="shared" si="25"/>
        <v>96.81771277945236</v>
      </c>
    </row>
    <row r="478" spans="1:9" ht="78.75" outlineLevel="5">
      <c r="A478" s="149" t="s">
        <v>648</v>
      </c>
      <c r="B478" s="150" t="s">
        <v>18</v>
      </c>
      <c r="C478" s="150" t="s">
        <v>197</v>
      </c>
      <c r="D478" s="150" t="s">
        <v>188</v>
      </c>
      <c r="E478" s="150" t="s">
        <v>649</v>
      </c>
      <c r="F478" s="150" t="s">
        <v>25</v>
      </c>
      <c r="G478" s="151">
        <f>G479</f>
        <v>21819763.19</v>
      </c>
      <c r="H478" s="158">
        <f>H479</f>
        <v>20346335.54</v>
      </c>
      <c r="I478" s="158">
        <f t="shared" si="25"/>
        <v>93.24727937159614</v>
      </c>
    </row>
    <row r="479" spans="1:9" ht="31.5" outlineLevel="5">
      <c r="A479" s="149" t="s">
        <v>324</v>
      </c>
      <c r="B479" s="150" t="s">
        <v>18</v>
      </c>
      <c r="C479" s="150" t="s">
        <v>197</v>
      </c>
      <c r="D479" s="150" t="s">
        <v>188</v>
      </c>
      <c r="E479" s="150" t="s">
        <v>649</v>
      </c>
      <c r="F479" s="150" t="s">
        <v>325</v>
      </c>
      <c r="G479" s="151">
        <f>21819763.19</f>
        <v>21819763.19</v>
      </c>
      <c r="H479" s="158">
        <v>20346335.54</v>
      </c>
      <c r="I479" s="158">
        <f t="shared" si="25"/>
        <v>93.24727937159614</v>
      </c>
    </row>
    <row r="480" spans="1:9" ht="78.75" outlineLevel="6">
      <c r="A480" s="149" t="s">
        <v>648</v>
      </c>
      <c r="B480" s="150" t="s">
        <v>18</v>
      </c>
      <c r="C480" s="150" t="s">
        <v>197</v>
      </c>
      <c r="D480" s="150" t="s">
        <v>188</v>
      </c>
      <c r="E480" s="150" t="s">
        <v>650</v>
      </c>
      <c r="F480" s="150" t="s">
        <v>25</v>
      </c>
      <c r="G480" s="151">
        <f>G481</f>
        <v>24776902.580000002</v>
      </c>
      <c r="H480" s="158">
        <f>H481</f>
        <v>24767490.49</v>
      </c>
      <c r="I480" s="158">
        <f t="shared" si="25"/>
        <v>99.96201264476213</v>
      </c>
    </row>
    <row r="481" spans="1:9" ht="31.5" outlineLevel="7">
      <c r="A481" s="149" t="s">
        <v>324</v>
      </c>
      <c r="B481" s="150" t="s">
        <v>18</v>
      </c>
      <c r="C481" s="150" t="s">
        <v>197</v>
      </c>
      <c r="D481" s="150" t="s">
        <v>188</v>
      </c>
      <c r="E481" s="150" t="s">
        <v>650</v>
      </c>
      <c r="F481" s="150" t="s">
        <v>325</v>
      </c>
      <c r="G481" s="151">
        <f>20321663.28+4455239.3</f>
        <v>24776902.580000002</v>
      </c>
      <c r="H481" s="158">
        <v>24767490.49</v>
      </c>
      <c r="I481" s="158">
        <f t="shared" si="25"/>
        <v>99.96201264476213</v>
      </c>
    </row>
    <row r="482" spans="1:9" ht="63" outlineLevel="5">
      <c r="A482" s="149" t="s">
        <v>651</v>
      </c>
      <c r="B482" s="150" t="s">
        <v>18</v>
      </c>
      <c r="C482" s="150" t="s">
        <v>197</v>
      </c>
      <c r="D482" s="150" t="s">
        <v>188</v>
      </c>
      <c r="E482" s="150" t="s">
        <v>652</v>
      </c>
      <c r="F482" s="150" t="s">
        <v>25</v>
      </c>
      <c r="G482" s="151">
        <f>G483</f>
        <v>2790695.94</v>
      </c>
      <c r="H482" s="158">
        <f>H483</f>
        <v>2447424.96</v>
      </c>
      <c r="I482" s="158">
        <f t="shared" si="25"/>
        <v>87.6994489052075</v>
      </c>
    </row>
    <row r="483" spans="1:9" ht="31.5" outlineLevel="6">
      <c r="A483" s="149" t="s">
        <v>653</v>
      </c>
      <c r="B483" s="150" t="s">
        <v>18</v>
      </c>
      <c r="C483" s="150" t="s">
        <v>197</v>
      </c>
      <c r="D483" s="150" t="s">
        <v>188</v>
      </c>
      <c r="E483" s="150" t="s">
        <v>654</v>
      </c>
      <c r="F483" s="150" t="s">
        <v>25</v>
      </c>
      <c r="G483" s="151">
        <f>G484</f>
        <v>2790695.94</v>
      </c>
      <c r="H483" s="158">
        <f>H484</f>
        <v>2447424.96</v>
      </c>
      <c r="I483" s="158">
        <f t="shared" si="25"/>
        <v>87.6994489052075</v>
      </c>
    </row>
    <row r="484" spans="1:9" ht="31.5" outlineLevel="7">
      <c r="A484" s="149" t="s">
        <v>324</v>
      </c>
      <c r="B484" s="150" t="s">
        <v>18</v>
      </c>
      <c r="C484" s="150" t="s">
        <v>197</v>
      </c>
      <c r="D484" s="150" t="s">
        <v>188</v>
      </c>
      <c r="E484" s="150" t="s">
        <v>654</v>
      </c>
      <c r="F484" s="150" t="s">
        <v>325</v>
      </c>
      <c r="G484" s="151">
        <v>2790695.94</v>
      </c>
      <c r="H484" s="158">
        <v>2447424.96</v>
      </c>
      <c r="I484" s="158">
        <f t="shared" si="25"/>
        <v>87.6994489052075</v>
      </c>
    </row>
    <row r="485" spans="1:10" s="148" customFormat="1" ht="47.25" outlineLevel="4">
      <c r="A485" s="144" t="s">
        <v>401</v>
      </c>
      <c r="B485" s="145" t="s">
        <v>18</v>
      </c>
      <c r="C485" s="145" t="s">
        <v>197</v>
      </c>
      <c r="D485" s="145" t="s">
        <v>188</v>
      </c>
      <c r="E485" s="145" t="s">
        <v>402</v>
      </c>
      <c r="F485" s="145" t="s">
        <v>25</v>
      </c>
      <c r="G485" s="146">
        <f>G486+G489+G492</f>
        <v>3508480</v>
      </c>
      <c r="H485" s="161">
        <f>H486+H489+H492</f>
        <v>3417127.32</v>
      </c>
      <c r="I485" s="161">
        <f t="shared" si="25"/>
        <v>97.39623198650126</v>
      </c>
      <c r="J485" s="147"/>
    </row>
    <row r="486" spans="1:9" ht="47.25" outlineLevel="5">
      <c r="A486" s="149" t="s">
        <v>655</v>
      </c>
      <c r="B486" s="150" t="s">
        <v>18</v>
      </c>
      <c r="C486" s="150" t="s">
        <v>197</v>
      </c>
      <c r="D486" s="150" t="s">
        <v>188</v>
      </c>
      <c r="E486" s="150" t="s">
        <v>656</v>
      </c>
      <c r="F486" s="150" t="s">
        <v>25</v>
      </c>
      <c r="G486" s="151">
        <f>G487</f>
        <v>2400000</v>
      </c>
      <c r="H486" s="158">
        <f>H487</f>
        <v>2400000</v>
      </c>
      <c r="I486" s="158">
        <f t="shared" si="25"/>
        <v>100</v>
      </c>
    </row>
    <row r="487" spans="1:9" ht="31.5" outlineLevel="6">
      <c r="A487" s="149" t="s">
        <v>353</v>
      </c>
      <c r="B487" s="150" t="s">
        <v>18</v>
      </c>
      <c r="C487" s="150" t="s">
        <v>197</v>
      </c>
      <c r="D487" s="150" t="s">
        <v>188</v>
      </c>
      <c r="E487" s="150" t="s">
        <v>657</v>
      </c>
      <c r="F487" s="150" t="s">
        <v>25</v>
      </c>
      <c r="G487" s="151">
        <f>G488</f>
        <v>2400000</v>
      </c>
      <c r="H487" s="158">
        <f>H488</f>
        <v>2400000</v>
      </c>
      <c r="I487" s="158">
        <f t="shared" si="25"/>
        <v>100</v>
      </c>
    </row>
    <row r="488" spans="1:9" ht="31.5" outlineLevel="7">
      <c r="A488" s="149" t="s">
        <v>324</v>
      </c>
      <c r="B488" s="150" t="s">
        <v>18</v>
      </c>
      <c r="C488" s="150" t="s">
        <v>197</v>
      </c>
      <c r="D488" s="150" t="s">
        <v>188</v>
      </c>
      <c r="E488" s="150" t="s">
        <v>657</v>
      </c>
      <c r="F488" s="150" t="s">
        <v>325</v>
      </c>
      <c r="G488" s="151">
        <f>2416350-16350</f>
        <v>2400000</v>
      </c>
      <c r="H488" s="158">
        <f>2416350-16350</f>
        <v>2400000</v>
      </c>
      <c r="I488" s="158">
        <f t="shared" si="25"/>
        <v>100</v>
      </c>
    </row>
    <row r="489" spans="1:9" ht="47.25" outlineLevel="7">
      <c r="A489" s="149" t="s">
        <v>658</v>
      </c>
      <c r="B489" s="150" t="s">
        <v>18</v>
      </c>
      <c r="C489" s="150" t="s">
        <v>197</v>
      </c>
      <c r="D489" s="150" t="s">
        <v>188</v>
      </c>
      <c r="E489" s="150" t="s">
        <v>659</v>
      </c>
      <c r="F489" s="150" t="s">
        <v>25</v>
      </c>
      <c r="G489" s="151">
        <f>G490</f>
        <v>381600</v>
      </c>
      <c r="H489" s="158">
        <f>H490</f>
        <v>380850</v>
      </c>
      <c r="I489" s="158">
        <f t="shared" si="25"/>
        <v>99.80345911949685</v>
      </c>
    </row>
    <row r="490" spans="1:9" ht="31.5" outlineLevel="7">
      <c r="A490" s="149" t="s">
        <v>353</v>
      </c>
      <c r="B490" s="150" t="s">
        <v>18</v>
      </c>
      <c r="C490" s="150" t="s">
        <v>197</v>
      </c>
      <c r="D490" s="150" t="s">
        <v>188</v>
      </c>
      <c r="E490" s="150" t="s">
        <v>660</v>
      </c>
      <c r="F490" s="150" t="s">
        <v>25</v>
      </c>
      <c r="G490" s="151">
        <f>G491</f>
        <v>381600</v>
      </c>
      <c r="H490" s="158">
        <f>H491</f>
        <v>380850</v>
      </c>
      <c r="I490" s="158">
        <f t="shared" si="25"/>
        <v>99.80345911949685</v>
      </c>
    </row>
    <row r="491" spans="1:9" ht="31.5" outlineLevel="7">
      <c r="A491" s="149" t="s">
        <v>324</v>
      </c>
      <c r="B491" s="150" t="s">
        <v>18</v>
      </c>
      <c r="C491" s="150" t="s">
        <v>197</v>
      </c>
      <c r="D491" s="150" t="s">
        <v>188</v>
      </c>
      <c r="E491" s="150" t="s">
        <v>660</v>
      </c>
      <c r="F491" s="150" t="s">
        <v>325</v>
      </c>
      <c r="G491" s="151">
        <f>381600</f>
        <v>381600</v>
      </c>
      <c r="H491" s="158">
        <v>380850</v>
      </c>
      <c r="I491" s="158">
        <f t="shared" si="25"/>
        <v>99.80345911949685</v>
      </c>
    </row>
    <row r="492" spans="1:9" ht="63" outlineLevel="7">
      <c r="A492" s="149" t="s">
        <v>661</v>
      </c>
      <c r="B492" s="150" t="s">
        <v>18</v>
      </c>
      <c r="C492" s="150" t="s">
        <v>197</v>
      </c>
      <c r="D492" s="150" t="s">
        <v>188</v>
      </c>
      <c r="E492" s="150" t="s">
        <v>662</v>
      </c>
      <c r="F492" s="150" t="s">
        <v>25</v>
      </c>
      <c r="G492" s="151">
        <f>G493</f>
        <v>726880</v>
      </c>
      <c r="H492" s="158">
        <f>H493</f>
        <v>636277.32</v>
      </c>
      <c r="I492" s="158">
        <f t="shared" si="25"/>
        <v>87.53540061633281</v>
      </c>
    </row>
    <row r="493" spans="1:9" ht="31.5" outlineLevel="7">
      <c r="A493" s="149" t="s">
        <v>353</v>
      </c>
      <c r="B493" s="150" t="s">
        <v>18</v>
      </c>
      <c r="C493" s="150" t="s">
        <v>197</v>
      </c>
      <c r="D493" s="150" t="s">
        <v>188</v>
      </c>
      <c r="E493" s="150" t="s">
        <v>663</v>
      </c>
      <c r="F493" s="150" t="s">
        <v>25</v>
      </c>
      <c r="G493" s="151">
        <f>G494</f>
        <v>726880</v>
      </c>
      <c r="H493" s="158">
        <f>H494</f>
        <v>636277.32</v>
      </c>
      <c r="I493" s="158">
        <f t="shared" si="25"/>
        <v>87.53540061633281</v>
      </c>
    </row>
    <row r="494" spans="1:9" ht="31.5" outlineLevel="7">
      <c r="A494" s="149" t="s">
        <v>324</v>
      </c>
      <c r="B494" s="150" t="s">
        <v>18</v>
      </c>
      <c r="C494" s="150" t="s">
        <v>197</v>
      </c>
      <c r="D494" s="150" t="s">
        <v>188</v>
      </c>
      <c r="E494" s="150" t="s">
        <v>663</v>
      </c>
      <c r="F494" s="150" t="s">
        <v>325</v>
      </c>
      <c r="G494" s="151">
        <f>304880+422000</f>
        <v>726880</v>
      </c>
      <c r="H494" s="158">
        <v>636277.32</v>
      </c>
      <c r="I494" s="158">
        <f t="shared" si="25"/>
        <v>87.53540061633281</v>
      </c>
    </row>
    <row r="495" spans="1:9" ht="15.75" outlineLevel="7">
      <c r="A495" s="168" t="s">
        <v>223</v>
      </c>
      <c r="B495" s="145" t="s">
        <v>18</v>
      </c>
      <c r="C495" s="145" t="s">
        <v>197</v>
      </c>
      <c r="D495" s="145" t="s">
        <v>191</v>
      </c>
      <c r="E495" s="169" t="s">
        <v>313</v>
      </c>
      <c r="F495" s="169" t="s">
        <v>25</v>
      </c>
      <c r="G495" s="146">
        <f>G496</f>
        <v>58206818.81</v>
      </c>
      <c r="H495" s="161">
        <f>H496</f>
        <v>52434975.623</v>
      </c>
      <c r="I495" s="161">
        <f t="shared" si="25"/>
        <v>90.08390545128299</v>
      </c>
    </row>
    <row r="496" spans="1:10" s="148" customFormat="1" ht="78.75" outlineLevel="3">
      <c r="A496" s="144" t="s">
        <v>489</v>
      </c>
      <c r="B496" s="145" t="s">
        <v>18</v>
      </c>
      <c r="C496" s="145" t="s">
        <v>197</v>
      </c>
      <c r="D496" s="145" t="s">
        <v>191</v>
      </c>
      <c r="E496" s="145" t="s">
        <v>490</v>
      </c>
      <c r="F496" s="145" t="s">
        <v>25</v>
      </c>
      <c r="G496" s="146">
        <f>G497+G507</f>
        <v>58206818.81</v>
      </c>
      <c r="H496" s="161">
        <f>H497+H507</f>
        <v>52434975.623</v>
      </c>
      <c r="I496" s="161">
        <f t="shared" si="25"/>
        <v>90.08390545128299</v>
      </c>
      <c r="J496" s="147"/>
    </row>
    <row r="497" spans="1:10" s="148" customFormat="1" ht="63" outlineLevel="4">
      <c r="A497" s="144" t="s">
        <v>664</v>
      </c>
      <c r="B497" s="145" t="s">
        <v>18</v>
      </c>
      <c r="C497" s="145" t="s">
        <v>197</v>
      </c>
      <c r="D497" s="145" t="s">
        <v>191</v>
      </c>
      <c r="E497" s="145" t="s">
        <v>665</v>
      </c>
      <c r="F497" s="145" t="s">
        <v>25</v>
      </c>
      <c r="G497" s="146">
        <f>G498+G501+G504</f>
        <v>1470000</v>
      </c>
      <c r="H497" s="161">
        <f>H498+H501+H504</f>
        <v>1470000</v>
      </c>
      <c r="I497" s="161">
        <f t="shared" si="25"/>
        <v>100</v>
      </c>
      <c r="J497" s="147"/>
    </row>
    <row r="498" spans="1:9" ht="15.75" outlineLevel="5">
      <c r="A498" s="149" t="s">
        <v>666</v>
      </c>
      <c r="B498" s="150" t="s">
        <v>18</v>
      </c>
      <c r="C498" s="150" t="s">
        <v>197</v>
      </c>
      <c r="D498" s="150" t="s">
        <v>191</v>
      </c>
      <c r="E498" s="150" t="s">
        <v>667</v>
      </c>
      <c r="F498" s="150" t="s">
        <v>25</v>
      </c>
      <c r="G498" s="151">
        <f>G499</f>
        <v>490000</v>
      </c>
      <c r="H498" s="158">
        <f>H499</f>
        <v>490000</v>
      </c>
      <c r="I498" s="158">
        <f t="shared" si="25"/>
        <v>100</v>
      </c>
    </row>
    <row r="499" spans="1:9" ht="31.5" outlineLevel="6">
      <c r="A499" s="149" t="s">
        <v>668</v>
      </c>
      <c r="B499" s="150" t="s">
        <v>18</v>
      </c>
      <c r="C499" s="150" t="s">
        <v>197</v>
      </c>
      <c r="D499" s="150" t="s">
        <v>191</v>
      </c>
      <c r="E499" s="150" t="s">
        <v>669</v>
      </c>
      <c r="F499" s="150" t="s">
        <v>25</v>
      </c>
      <c r="G499" s="151">
        <f>G500</f>
        <v>490000</v>
      </c>
      <c r="H499" s="158">
        <f>H500</f>
        <v>490000</v>
      </c>
      <c r="I499" s="158">
        <f t="shared" si="25"/>
        <v>100</v>
      </c>
    </row>
    <row r="500" spans="1:9" ht="31.5" outlineLevel="7">
      <c r="A500" s="149" t="s">
        <v>324</v>
      </c>
      <c r="B500" s="150" t="s">
        <v>18</v>
      </c>
      <c r="C500" s="150" t="s">
        <v>197</v>
      </c>
      <c r="D500" s="150" t="s">
        <v>191</v>
      </c>
      <c r="E500" s="150" t="s">
        <v>669</v>
      </c>
      <c r="F500" s="150" t="s">
        <v>325</v>
      </c>
      <c r="G500" s="151">
        <f>565337.64-66315.64-9022</f>
        <v>490000</v>
      </c>
      <c r="H500" s="158">
        <f>565337.64-66315.64-9022</f>
        <v>490000</v>
      </c>
      <c r="I500" s="158">
        <f t="shared" si="25"/>
        <v>100</v>
      </c>
    </row>
    <row r="501" spans="1:9" ht="15.75" outlineLevel="5">
      <c r="A501" s="149" t="s">
        <v>670</v>
      </c>
      <c r="B501" s="150" t="s">
        <v>18</v>
      </c>
      <c r="C501" s="150" t="s">
        <v>197</v>
      </c>
      <c r="D501" s="150" t="s">
        <v>191</v>
      </c>
      <c r="E501" s="150" t="s">
        <v>671</v>
      </c>
      <c r="F501" s="150" t="s">
        <v>25</v>
      </c>
      <c r="G501" s="151">
        <f>G502</f>
        <v>979999.9999999999</v>
      </c>
      <c r="H501" s="158">
        <f>H502</f>
        <v>979999.9999999999</v>
      </c>
      <c r="I501" s="158">
        <f t="shared" si="25"/>
        <v>100</v>
      </c>
    </row>
    <row r="502" spans="1:9" ht="31.5" outlineLevel="6">
      <c r="A502" s="149" t="s">
        <v>668</v>
      </c>
      <c r="B502" s="150" t="s">
        <v>18</v>
      </c>
      <c r="C502" s="150" t="s">
        <v>197</v>
      </c>
      <c r="D502" s="150" t="s">
        <v>191</v>
      </c>
      <c r="E502" s="150" t="s">
        <v>672</v>
      </c>
      <c r="F502" s="150" t="s">
        <v>25</v>
      </c>
      <c r="G502" s="151">
        <f>G503</f>
        <v>979999.9999999999</v>
      </c>
      <c r="H502" s="158">
        <f>H503</f>
        <v>979999.9999999999</v>
      </c>
      <c r="I502" s="158">
        <f t="shared" si="25"/>
        <v>100</v>
      </c>
    </row>
    <row r="503" spans="1:9" ht="31.5" outlineLevel="7">
      <c r="A503" s="149" t="s">
        <v>324</v>
      </c>
      <c r="B503" s="150" t="s">
        <v>18</v>
      </c>
      <c r="C503" s="150" t="s">
        <v>197</v>
      </c>
      <c r="D503" s="150" t="s">
        <v>191</v>
      </c>
      <c r="E503" s="150" t="s">
        <v>672</v>
      </c>
      <c r="F503" s="150" t="s">
        <v>325</v>
      </c>
      <c r="G503" s="151">
        <f>1060829.9-51870.1-28959.8</f>
        <v>979999.9999999999</v>
      </c>
      <c r="H503" s="158">
        <f>1060829.9-51870.1-28959.8</f>
        <v>979999.9999999999</v>
      </c>
      <c r="I503" s="158">
        <f t="shared" si="25"/>
        <v>100</v>
      </c>
    </row>
    <row r="504" spans="1:9" ht="47.25" hidden="1" outlineLevel="7">
      <c r="A504" s="149" t="s">
        <v>673</v>
      </c>
      <c r="B504" s="150" t="s">
        <v>18</v>
      </c>
      <c r="C504" s="150" t="s">
        <v>197</v>
      </c>
      <c r="D504" s="150" t="s">
        <v>191</v>
      </c>
      <c r="E504" s="150" t="s">
        <v>674</v>
      </c>
      <c r="F504" s="150" t="s">
        <v>25</v>
      </c>
      <c r="G504" s="151">
        <f>G505</f>
        <v>0</v>
      </c>
      <c r="H504" s="158">
        <f>H505</f>
        <v>0</v>
      </c>
      <c r="I504" s="158" t="e">
        <f t="shared" si="25"/>
        <v>#DIV/0!</v>
      </c>
    </row>
    <row r="505" spans="1:9" ht="31.5" hidden="1" outlineLevel="7">
      <c r="A505" s="149" t="s">
        <v>353</v>
      </c>
      <c r="B505" s="150" t="s">
        <v>18</v>
      </c>
      <c r="C505" s="150" t="s">
        <v>197</v>
      </c>
      <c r="D505" s="150" t="s">
        <v>191</v>
      </c>
      <c r="E505" s="150" t="s">
        <v>675</v>
      </c>
      <c r="F505" s="150" t="s">
        <v>25</v>
      </c>
      <c r="G505" s="151">
        <f>G506</f>
        <v>0</v>
      </c>
      <c r="H505" s="158">
        <f>H506</f>
        <v>0</v>
      </c>
      <c r="I505" s="158" t="e">
        <f t="shared" si="25"/>
        <v>#DIV/0!</v>
      </c>
    </row>
    <row r="506" spans="1:9" ht="31.5" hidden="1" outlineLevel="7">
      <c r="A506" s="149" t="s">
        <v>324</v>
      </c>
      <c r="B506" s="150" t="s">
        <v>18</v>
      </c>
      <c r="C506" s="150" t="s">
        <v>197</v>
      </c>
      <c r="D506" s="150" t="s">
        <v>191</v>
      </c>
      <c r="E506" s="150" t="s">
        <v>675</v>
      </c>
      <c r="F506" s="150" t="s">
        <v>325</v>
      </c>
      <c r="G506" s="151">
        <f>400000-100-399900</f>
        <v>0</v>
      </c>
      <c r="H506" s="158">
        <f>400000-100-399900</f>
        <v>0</v>
      </c>
      <c r="I506" s="158" t="e">
        <f t="shared" si="25"/>
        <v>#DIV/0!</v>
      </c>
    </row>
    <row r="507" spans="1:10" s="148" customFormat="1" ht="63" outlineLevel="4" collapsed="1">
      <c r="A507" s="159" t="s">
        <v>676</v>
      </c>
      <c r="B507" s="160" t="s">
        <v>18</v>
      </c>
      <c r="C507" s="160" t="s">
        <v>197</v>
      </c>
      <c r="D507" s="160" t="s">
        <v>191</v>
      </c>
      <c r="E507" s="160" t="s">
        <v>677</v>
      </c>
      <c r="F507" s="160" t="s">
        <v>25</v>
      </c>
      <c r="G507" s="161">
        <f>G508+G511+G514</f>
        <v>56736818.81</v>
      </c>
      <c r="H507" s="161">
        <f>H508+H511+H514</f>
        <v>50964975.623</v>
      </c>
      <c r="I507" s="161">
        <f t="shared" si="25"/>
        <v>89.82698835067097</v>
      </c>
      <c r="J507" s="147"/>
    </row>
    <row r="508" spans="1:9" ht="78.75" hidden="1" outlineLevel="5">
      <c r="A508" s="159" t="s">
        <v>678</v>
      </c>
      <c r="B508" s="160" t="s">
        <v>18</v>
      </c>
      <c r="C508" s="160" t="s">
        <v>197</v>
      </c>
      <c r="D508" s="160" t="s">
        <v>191</v>
      </c>
      <c r="E508" s="160" t="s">
        <v>679</v>
      </c>
      <c r="F508" s="160" t="s">
        <v>25</v>
      </c>
      <c r="G508" s="161">
        <f>G509</f>
        <v>0</v>
      </c>
      <c r="H508" s="161">
        <f>H509</f>
        <v>0</v>
      </c>
      <c r="I508" s="161" t="e">
        <f t="shared" si="25"/>
        <v>#DIV/0!</v>
      </c>
    </row>
    <row r="509" spans="1:9" ht="31.5" hidden="1" outlineLevel="6">
      <c r="A509" s="159" t="s">
        <v>680</v>
      </c>
      <c r="B509" s="160" t="s">
        <v>18</v>
      </c>
      <c r="C509" s="160" t="s">
        <v>197</v>
      </c>
      <c r="D509" s="160" t="s">
        <v>191</v>
      </c>
      <c r="E509" s="160" t="s">
        <v>681</v>
      </c>
      <c r="F509" s="160" t="s">
        <v>25</v>
      </c>
      <c r="G509" s="161">
        <f>G510</f>
        <v>0</v>
      </c>
      <c r="H509" s="161">
        <f>H510</f>
        <v>0</v>
      </c>
      <c r="I509" s="161" t="e">
        <f t="shared" si="25"/>
        <v>#DIV/0!</v>
      </c>
    </row>
    <row r="510" spans="1:9" ht="15.75" hidden="1" outlineLevel="7">
      <c r="A510" s="159" t="s">
        <v>411</v>
      </c>
      <c r="B510" s="160" t="s">
        <v>18</v>
      </c>
      <c r="C510" s="160" t="s">
        <v>197</v>
      </c>
      <c r="D510" s="160" t="s">
        <v>191</v>
      </c>
      <c r="E510" s="160" t="s">
        <v>681</v>
      </c>
      <c r="F510" s="160" t="s">
        <v>293</v>
      </c>
      <c r="G510" s="161">
        <f>13482633.29-13482633.29</f>
        <v>0</v>
      </c>
      <c r="H510" s="161">
        <f>13482633.29-13482633.29</f>
        <v>0</v>
      </c>
      <c r="I510" s="161" t="e">
        <f t="shared" si="25"/>
        <v>#DIV/0!</v>
      </c>
    </row>
    <row r="511" spans="1:9" ht="47.25" outlineLevel="5" collapsed="1">
      <c r="A511" s="159" t="s">
        <v>682</v>
      </c>
      <c r="B511" s="160" t="s">
        <v>18</v>
      </c>
      <c r="C511" s="160" t="s">
        <v>197</v>
      </c>
      <c r="D511" s="160" t="s">
        <v>191</v>
      </c>
      <c r="E511" s="160" t="s">
        <v>683</v>
      </c>
      <c r="F511" s="160" t="s">
        <v>25</v>
      </c>
      <c r="G511" s="161">
        <f>G512</f>
        <v>26728.0600000003</v>
      </c>
      <c r="H511" s="161">
        <f>H512</f>
        <v>0</v>
      </c>
      <c r="I511" s="161">
        <f aca="true" t="shared" si="26" ref="I511:I574">H511/G511*100</f>
        <v>0</v>
      </c>
    </row>
    <row r="512" spans="1:9" ht="31.5" outlineLevel="6">
      <c r="A512" s="156" t="s">
        <v>353</v>
      </c>
      <c r="B512" s="157" t="s">
        <v>18</v>
      </c>
      <c r="C512" s="157" t="s">
        <v>197</v>
      </c>
      <c r="D512" s="157" t="s">
        <v>191</v>
      </c>
      <c r="E512" s="157" t="s">
        <v>684</v>
      </c>
      <c r="F512" s="157" t="s">
        <v>25</v>
      </c>
      <c r="G512" s="158">
        <f>G513</f>
        <v>26728.0600000003</v>
      </c>
      <c r="H512" s="158">
        <f>H513</f>
        <v>0</v>
      </c>
      <c r="I512" s="158">
        <f t="shared" si="26"/>
        <v>0</v>
      </c>
    </row>
    <row r="513" spans="1:9" ht="31.5" outlineLevel="7">
      <c r="A513" s="156" t="s">
        <v>324</v>
      </c>
      <c r="B513" s="157" t="s">
        <v>18</v>
      </c>
      <c r="C513" s="157" t="s">
        <v>197</v>
      </c>
      <c r="D513" s="157" t="s">
        <v>191</v>
      </c>
      <c r="E513" s="157" t="s">
        <v>684</v>
      </c>
      <c r="F513" s="157" t="s">
        <v>325</v>
      </c>
      <c r="G513" s="158">
        <f>2509380.7+10396791.53-132000+39259000-79289.95+32504.07-51953882.28-32504.07+26728.06</f>
        <v>26728.0600000003</v>
      </c>
      <c r="H513" s="158">
        <v>0</v>
      </c>
      <c r="I513" s="158">
        <f t="shared" si="26"/>
        <v>0</v>
      </c>
    </row>
    <row r="514" spans="1:10" ht="31.5" outlineLevel="7">
      <c r="A514" s="156" t="s">
        <v>685</v>
      </c>
      <c r="B514" s="157" t="s">
        <v>18</v>
      </c>
      <c r="C514" s="157" t="s">
        <v>197</v>
      </c>
      <c r="D514" s="157" t="s">
        <v>191</v>
      </c>
      <c r="E514" s="157" t="s">
        <v>686</v>
      </c>
      <c r="F514" s="157" t="s">
        <v>25</v>
      </c>
      <c r="G514" s="158">
        <f>G515</f>
        <v>56710090.75</v>
      </c>
      <c r="H514" s="158">
        <f>H515</f>
        <v>50964975.623</v>
      </c>
      <c r="I514" s="158">
        <f t="shared" si="26"/>
        <v>89.8693247515214</v>
      </c>
      <c r="J514" s="170"/>
    </row>
    <row r="515" spans="1:9" ht="31.5" outlineLevel="7">
      <c r="A515" s="156" t="s">
        <v>353</v>
      </c>
      <c r="B515" s="157" t="s">
        <v>18</v>
      </c>
      <c r="C515" s="157" t="s">
        <v>197</v>
      </c>
      <c r="D515" s="157" t="s">
        <v>191</v>
      </c>
      <c r="E515" s="157" t="s">
        <v>687</v>
      </c>
      <c r="F515" s="157" t="s">
        <v>25</v>
      </c>
      <c r="G515" s="158">
        <f>G516</f>
        <v>56710090.75</v>
      </c>
      <c r="H515" s="158">
        <f>H516</f>
        <v>50964975.623</v>
      </c>
      <c r="I515" s="158">
        <f t="shared" si="26"/>
        <v>89.8693247515214</v>
      </c>
    </row>
    <row r="516" spans="1:9" ht="31.5" outlineLevel="7">
      <c r="A516" s="156" t="s">
        <v>324</v>
      </c>
      <c r="B516" s="157" t="s">
        <v>18</v>
      </c>
      <c r="C516" s="157" t="s">
        <v>197</v>
      </c>
      <c r="D516" s="157" t="s">
        <v>191</v>
      </c>
      <c r="E516" s="157" t="s">
        <v>687</v>
      </c>
      <c r="F516" s="157" t="s">
        <v>325</v>
      </c>
      <c r="G516" s="158">
        <f>51953882.28-86871.39+32504.07+1145484.19+3000000+726587.74-61496.14</f>
        <v>56710090.75</v>
      </c>
      <c r="H516" s="158">
        <v>50964975.623</v>
      </c>
      <c r="I516" s="158">
        <f t="shared" si="26"/>
        <v>89.8693247515214</v>
      </c>
    </row>
    <row r="517" spans="1:10" s="148" customFormat="1" ht="15.75" outlineLevel="2">
      <c r="A517" s="144" t="s">
        <v>224</v>
      </c>
      <c r="B517" s="145" t="s">
        <v>18</v>
      </c>
      <c r="C517" s="145" t="s">
        <v>197</v>
      </c>
      <c r="D517" s="145" t="s">
        <v>193</v>
      </c>
      <c r="E517" s="145" t="s">
        <v>313</v>
      </c>
      <c r="F517" s="145" t="s">
        <v>25</v>
      </c>
      <c r="G517" s="146">
        <f>G518</f>
        <v>45111877.32</v>
      </c>
      <c r="H517" s="161">
        <f>H518</f>
        <v>41887187.31</v>
      </c>
      <c r="I517" s="161">
        <f t="shared" si="26"/>
        <v>92.85179380337968</v>
      </c>
      <c r="J517" s="147"/>
    </row>
    <row r="518" spans="1:10" s="148" customFormat="1" ht="78.75" outlineLevel="3">
      <c r="A518" s="144" t="s">
        <v>489</v>
      </c>
      <c r="B518" s="145" t="s">
        <v>18</v>
      </c>
      <c r="C518" s="145" t="s">
        <v>197</v>
      </c>
      <c r="D518" s="145" t="s">
        <v>193</v>
      </c>
      <c r="E518" s="145" t="s">
        <v>490</v>
      </c>
      <c r="F518" s="145" t="s">
        <v>25</v>
      </c>
      <c r="G518" s="146">
        <f>G519</f>
        <v>45111877.32</v>
      </c>
      <c r="H518" s="161">
        <f>H519</f>
        <v>41887187.31</v>
      </c>
      <c r="I518" s="161">
        <f t="shared" si="26"/>
        <v>92.85179380337968</v>
      </c>
      <c r="J518" s="147"/>
    </row>
    <row r="519" spans="1:10" s="148" customFormat="1" ht="47.25" outlineLevel="4">
      <c r="A519" s="144" t="s">
        <v>580</v>
      </c>
      <c r="B519" s="145" t="s">
        <v>18</v>
      </c>
      <c r="C519" s="145" t="s">
        <v>197</v>
      </c>
      <c r="D519" s="145" t="s">
        <v>193</v>
      </c>
      <c r="E519" s="145" t="s">
        <v>581</v>
      </c>
      <c r="F519" s="145" t="s">
        <v>25</v>
      </c>
      <c r="G519" s="146">
        <f>G520+G523+G526+G531+G545+G548+G536+G551</f>
        <v>45111877.32</v>
      </c>
      <c r="H519" s="161">
        <f>H520+H523+H526+H531+H545+H548+H536+H551</f>
        <v>41887187.31</v>
      </c>
      <c r="I519" s="161">
        <f t="shared" si="26"/>
        <v>92.85179380337968</v>
      </c>
      <c r="J519" s="147"/>
    </row>
    <row r="520" spans="1:9" ht="47.25" outlineLevel="5">
      <c r="A520" s="149" t="s">
        <v>688</v>
      </c>
      <c r="B520" s="150" t="s">
        <v>18</v>
      </c>
      <c r="C520" s="150" t="s">
        <v>197</v>
      </c>
      <c r="D520" s="150" t="s">
        <v>193</v>
      </c>
      <c r="E520" s="150" t="s">
        <v>689</v>
      </c>
      <c r="F520" s="150" t="s">
        <v>25</v>
      </c>
      <c r="G520" s="151">
        <f>G521</f>
        <v>15425832.75</v>
      </c>
      <c r="H520" s="158">
        <f>H521</f>
        <v>15425832.75</v>
      </c>
      <c r="I520" s="158">
        <f t="shared" si="26"/>
        <v>100</v>
      </c>
    </row>
    <row r="521" spans="1:9" ht="47.25" outlineLevel="6">
      <c r="A521" s="149" t="s">
        <v>690</v>
      </c>
      <c r="B521" s="150" t="s">
        <v>18</v>
      </c>
      <c r="C521" s="150" t="s">
        <v>197</v>
      </c>
      <c r="D521" s="150" t="s">
        <v>193</v>
      </c>
      <c r="E521" s="150" t="s">
        <v>691</v>
      </c>
      <c r="F521" s="150" t="s">
        <v>25</v>
      </c>
      <c r="G521" s="151">
        <f>G522</f>
        <v>15425832.75</v>
      </c>
      <c r="H521" s="158">
        <f>H522</f>
        <v>15425832.75</v>
      </c>
      <c r="I521" s="158">
        <f t="shared" si="26"/>
        <v>100</v>
      </c>
    </row>
    <row r="522" spans="1:9" ht="31.5" outlineLevel="7">
      <c r="A522" s="149" t="s">
        <v>324</v>
      </c>
      <c r="B522" s="150" t="s">
        <v>18</v>
      </c>
      <c r="C522" s="150" t="s">
        <v>197</v>
      </c>
      <c r="D522" s="150" t="s">
        <v>193</v>
      </c>
      <c r="E522" s="150" t="s">
        <v>691</v>
      </c>
      <c r="F522" s="150" t="s">
        <v>325</v>
      </c>
      <c r="G522" s="151">
        <f>15953571.42-527738.67</f>
        <v>15425832.75</v>
      </c>
      <c r="H522" s="158">
        <f>15953571.42-527738.67</f>
        <v>15425832.75</v>
      </c>
      <c r="I522" s="158">
        <f t="shared" si="26"/>
        <v>100</v>
      </c>
    </row>
    <row r="523" spans="1:9" ht="78.75" outlineLevel="5">
      <c r="A523" s="149" t="s">
        <v>692</v>
      </c>
      <c r="B523" s="150" t="s">
        <v>18</v>
      </c>
      <c r="C523" s="150" t="s">
        <v>197</v>
      </c>
      <c r="D523" s="150" t="s">
        <v>193</v>
      </c>
      <c r="E523" s="150" t="s">
        <v>693</v>
      </c>
      <c r="F523" s="150" t="s">
        <v>25</v>
      </c>
      <c r="G523" s="151">
        <f>G524</f>
        <v>10594692.879999999</v>
      </c>
      <c r="H523" s="158">
        <f>H524</f>
        <v>10005068.49</v>
      </c>
      <c r="I523" s="158">
        <f t="shared" si="26"/>
        <v>94.4347193762166</v>
      </c>
    </row>
    <row r="524" spans="1:9" ht="47.25" outlineLevel="6">
      <c r="A524" s="149" t="s">
        <v>694</v>
      </c>
      <c r="B524" s="150" t="s">
        <v>18</v>
      </c>
      <c r="C524" s="150" t="s">
        <v>197</v>
      </c>
      <c r="D524" s="150" t="s">
        <v>193</v>
      </c>
      <c r="E524" s="150" t="s">
        <v>695</v>
      </c>
      <c r="F524" s="150" t="s">
        <v>25</v>
      </c>
      <c r="G524" s="151">
        <f>G525</f>
        <v>10594692.879999999</v>
      </c>
      <c r="H524" s="158">
        <f>H525</f>
        <v>10005068.49</v>
      </c>
      <c r="I524" s="158">
        <f t="shared" si="26"/>
        <v>94.4347193762166</v>
      </c>
    </row>
    <row r="525" spans="1:9" ht="31.5" outlineLevel="7">
      <c r="A525" s="149" t="s">
        <v>324</v>
      </c>
      <c r="B525" s="150" t="s">
        <v>18</v>
      </c>
      <c r="C525" s="150" t="s">
        <v>197</v>
      </c>
      <c r="D525" s="150" t="s">
        <v>193</v>
      </c>
      <c r="E525" s="150" t="s">
        <v>695</v>
      </c>
      <c r="F525" s="150" t="s">
        <v>325</v>
      </c>
      <c r="G525" s="151">
        <f>13274260.85-2445935.69-5914.96-227717.32</f>
        <v>10594692.879999999</v>
      </c>
      <c r="H525" s="158">
        <v>10005068.49</v>
      </c>
      <c r="I525" s="158">
        <f t="shared" si="26"/>
        <v>94.4347193762166</v>
      </c>
    </row>
    <row r="526" spans="1:9" ht="63" outlineLevel="5">
      <c r="A526" s="149" t="s">
        <v>696</v>
      </c>
      <c r="B526" s="150" t="s">
        <v>18</v>
      </c>
      <c r="C526" s="150" t="s">
        <v>197</v>
      </c>
      <c r="D526" s="150" t="s">
        <v>193</v>
      </c>
      <c r="E526" s="150" t="s">
        <v>697</v>
      </c>
      <c r="F526" s="150" t="s">
        <v>25</v>
      </c>
      <c r="G526" s="151">
        <f>G527+G529</f>
        <v>504040.4800000001</v>
      </c>
      <c r="H526" s="158">
        <f>H527+H529</f>
        <v>504040.4800000001</v>
      </c>
      <c r="I526" s="158">
        <f t="shared" si="26"/>
        <v>100</v>
      </c>
    </row>
    <row r="527" spans="1:9" ht="31.5" outlineLevel="6">
      <c r="A527" s="149" t="s">
        <v>612</v>
      </c>
      <c r="B527" s="150" t="s">
        <v>18</v>
      </c>
      <c r="C527" s="150" t="s">
        <v>197</v>
      </c>
      <c r="D527" s="150" t="s">
        <v>193</v>
      </c>
      <c r="E527" s="150" t="s">
        <v>698</v>
      </c>
      <c r="F527" s="150" t="s">
        <v>25</v>
      </c>
      <c r="G527" s="151">
        <f>G528</f>
        <v>406260.0900000001</v>
      </c>
      <c r="H527" s="158">
        <f>H528</f>
        <v>406260.0900000001</v>
      </c>
      <c r="I527" s="158">
        <f t="shared" si="26"/>
        <v>100</v>
      </c>
    </row>
    <row r="528" spans="1:9" ht="31.5" outlineLevel="7">
      <c r="A528" s="149" t="s">
        <v>324</v>
      </c>
      <c r="B528" s="150" t="s">
        <v>18</v>
      </c>
      <c r="C528" s="150" t="s">
        <v>197</v>
      </c>
      <c r="D528" s="150" t="s">
        <v>193</v>
      </c>
      <c r="E528" s="150" t="s">
        <v>698</v>
      </c>
      <c r="F528" s="150" t="s">
        <v>325</v>
      </c>
      <c r="G528" s="151">
        <f>403340.65+128394.54+1024141.08+172321.62-1321937.8</f>
        <v>406260.0900000001</v>
      </c>
      <c r="H528" s="158">
        <f>403340.65+128394.54+1024141.08+172321.62-1321937.8</f>
        <v>406260.0900000001</v>
      </c>
      <c r="I528" s="158">
        <f t="shared" si="26"/>
        <v>100</v>
      </c>
    </row>
    <row r="529" spans="1:9" ht="31.5" outlineLevel="7">
      <c r="A529" s="149" t="s">
        <v>353</v>
      </c>
      <c r="B529" s="150" t="s">
        <v>18</v>
      </c>
      <c r="C529" s="150" t="s">
        <v>197</v>
      </c>
      <c r="D529" s="150" t="s">
        <v>193</v>
      </c>
      <c r="E529" s="150" t="s">
        <v>699</v>
      </c>
      <c r="F529" s="150" t="s">
        <v>25</v>
      </c>
      <c r="G529" s="151">
        <f>G530</f>
        <v>97780.39</v>
      </c>
      <c r="H529" s="158">
        <f>H530</f>
        <v>97780.39</v>
      </c>
      <c r="I529" s="158">
        <f t="shared" si="26"/>
        <v>100</v>
      </c>
    </row>
    <row r="530" spans="1:9" ht="31.5" outlineLevel="7">
      <c r="A530" s="149" t="s">
        <v>324</v>
      </c>
      <c r="B530" s="150" t="s">
        <v>18</v>
      </c>
      <c r="C530" s="150" t="s">
        <v>197</v>
      </c>
      <c r="D530" s="150" t="s">
        <v>193</v>
      </c>
      <c r="E530" s="150" t="s">
        <v>699</v>
      </c>
      <c r="F530" s="150" t="s">
        <v>325</v>
      </c>
      <c r="G530" s="151">
        <v>97780.39</v>
      </c>
      <c r="H530" s="158">
        <v>97780.39</v>
      </c>
      <c r="I530" s="158">
        <f t="shared" si="26"/>
        <v>100</v>
      </c>
    </row>
    <row r="531" spans="1:9" ht="31.5" outlineLevel="5">
      <c r="A531" s="149" t="s">
        <v>700</v>
      </c>
      <c r="B531" s="150" t="s">
        <v>18</v>
      </c>
      <c r="C531" s="150" t="s">
        <v>197</v>
      </c>
      <c r="D531" s="150" t="s">
        <v>193</v>
      </c>
      <c r="E531" s="150" t="s">
        <v>701</v>
      </c>
      <c r="F531" s="150" t="s">
        <v>25</v>
      </c>
      <c r="G531" s="151">
        <f>G532+G534</f>
        <v>604914.9400000002</v>
      </c>
      <c r="H531" s="158">
        <f>H532+H534</f>
        <v>577806.03</v>
      </c>
      <c r="I531" s="158">
        <f t="shared" si="26"/>
        <v>95.51855836127966</v>
      </c>
    </row>
    <row r="532" spans="1:9" ht="31.5" outlineLevel="6">
      <c r="A532" s="149" t="s">
        <v>353</v>
      </c>
      <c r="B532" s="150" t="s">
        <v>18</v>
      </c>
      <c r="C532" s="150" t="s">
        <v>197</v>
      </c>
      <c r="D532" s="150" t="s">
        <v>193</v>
      </c>
      <c r="E532" s="150" t="s">
        <v>702</v>
      </c>
      <c r="F532" s="150" t="s">
        <v>25</v>
      </c>
      <c r="G532" s="151">
        <f>G533</f>
        <v>604914.9400000002</v>
      </c>
      <c r="H532" s="158">
        <f>H533</f>
        <v>577806.03</v>
      </c>
      <c r="I532" s="158">
        <f t="shared" si="26"/>
        <v>95.51855836127966</v>
      </c>
    </row>
    <row r="533" spans="1:9" ht="31.5" outlineLevel="7">
      <c r="A533" s="149" t="s">
        <v>324</v>
      </c>
      <c r="B533" s="150" t="s">
        <v>18</v>
      </c>
      <c r="C533" s="150" t="s">
        <v>197</v>
      </c>
      <c r="D533" s="150" t="s">
        <v>193</v>
      </c>
      <c r="E533" s="150" t="s">
        <v>702</v>
      </c>
      <c r="F533" s="150" t="s">
        <v>325</v>
      </c>
      <c r="G533" s="151">
        <f>936558.43-270000-1170.7-21325.98-39146.81</f>
        <v>604914.9400000002</v>
      </c>
      <c r="H533" s="158">
        <v>577806.03</v>
      </c>
      <c r="I533" s="158">
        <f t="shared" si="26"/>
        <v>95.51855836127966</v>
      </c>
    </row>
    <row r="534" spans="1:9" ht="47.25" hidden="1" outlineLevel="6">
      <c r="A534" s="149" t="s">
        <v>703</v>
      </c>
      <c r="B534" s="150" t="s">
        <v>18</v>
      </c>
      <c r="C534" s="150" t="s">
        <v>197</v>
      </c>
      <c r="D534" s="150" t="s">
        <v>193</v>
      </c>
      <c r="E534" s="150" t="s">
        <v>704</v>
      </c>
      <c r="F534" s="150" t="s">
        <v>25</v>
      </c>
      <c r="G534" s="151">
        <f>G535</f>
        <v>0</v>
      </c>
      <c r="H534" s="158">
        <f>H535</f>
        <v>0</v>
      </c>
      <c r="I534" s="158" t="e">
        <f t="shared" si="26"/>
        <v>#DIV/0!</v>
      </c>
    </row>
    <row r="535" spans="1:9" ht="47.25" hidden="1" outlineLevel="7">
      <c r="A535" s="149" t="s">
        <v>578</v>
      </c>
      <c r="B535" s="150" t="s">
        <v>18</v>
      </c>
      <c r="C535" s="150" t="s">
        <v>197</v>
      </c>
      <c r="D535" s="150" t="s">
        <v>193</v>
      </c>
      <c r="E535" s="150" t="s">
        <v>704</v>
      </c>
      <c r="F535" s="150" t="s">
        <v>579</v>
      </c>
      <c r="G535" s="151">
        <f>17779824-14779824-3000000</f>
        <v>0</v>
      </c>
      <c r="H535" s="158">
        <f>17779824-14779824-3000000</f>
        <v>0</v>
      </c>
      <c r="I535" s="158" t="e">
        <f t="shared" si="26"/>
        <v>#DIV/0!</v>
      </c>
    </row>
    <row r="536" spans="1:9" ht="31.5" outlineLevel="7">
      <c r="A536" s="149" t="s">
        <v>705</v>
      </c>
      <c r="B536" s="150" t="s">
        <v>18</v>
      </c>
      <c r="C536" s="150" t="s">
        <v>197</v>
      </c>
      <c r="D536" s="150" t="s">
        <v>193</v>
      </c>
      <c r="E536" s="150" t="s">
        <v>706</v>
      </c>
      <c r="F536" s="150" t="s">
        <v>25</v>
      </c>
      <c r="G536" s="151">
        <f>G537+G539+G543+G541</f>
        <v>12034805.69</v>
      </c>
      <c r="H536" s="158">
        <f>H537+H539+H543+H541</f>
        <v>10888870</v>
      </c>
      <c r="I536" s="158">
        <f t="shared" si="26"/>
        <v>90.47815378563043</v>
      </c>
    </row>
    <row r="537" spans="1:9" ht="31.5" outlineLevel="7">
      <c r="A537" s="149" t="s">
        <v>612</v>
      </c>
      <c r="B537" s="150" t="s">
        <v>18</v>
      </c>
      <c r="C537" s="150" t="s">
        <v>197</v>
      </c>
      <c r="D537" s="150" t="s">
        <v>193</v>
      </c>
      <c r="E537" s="150" t="s">
        <v>707</v>
      </c>
      <c r="F537" s="150" t="s">
        <v>25</v>
      </c>
      <c r="G537" s="151">
        <f>G538</f>
        <v>510635.69</v>
      </c>
      <c r="H537" s="158">
        <f>H538</f>
        <v>0</v>
      </c>
      <c r="I537" s="158">
        <f t="shared" si="26"/>
        <v>0</v>
      </c>
    </row>
    <row r="538" spans="1:9" ht="31.5" outlineLevel="7">
      <c r="A538" s="149" t="s">
        <v>324</v>
      </c>
      <c r="B538" s="150" t="s">
        <v>18</v>
      </c>
      <c r="C538" s="150" t="s">
        <v>197</v>
      </c>
      <c r="D538" s="150" t="s">
        <v>193</v>
      </c>
      <c r="E538" s="150" t="s">
        <v>707</v>
      </c>
      <c r="F538" s="150" t="s">
        <v>325</v>
      </c>
      <c r="G538" s="151">
        <f>510635.69</f>
        <v>510635.69</v>
      </c>
      <c r="H538" s="158">
        <v>0</v>
      </c>
      <c r="I538" s="158">
        <f t="shared" si="26"/>
        <v>0</v>
      </c>
    </row>
    <row r="539" spans="1:9" ht="31.5" outlineLevel="7">
      <c r="A539" s="149" t="s">
        <v>353</v>
      </c>
      <c r="B539" s="150" t="s">
        <v>18</v>
      </c>
      <c r="C539" s="150" t="s">
        <v>197</v>
      </c>
      <c r="D539" s="150" t="s">
        <v>193</v>
      </c>
      <c r="E539" s="150" t="s">
        <v>708</v>
      </c>
      <c r="F539" s="150" t="s">
        <v>25</v>
      </c>
      <c r="G539" s="151">
        <f>G540</f>
        <v>635300</v>
      </c>
      <c r="H539" s="158">
        <f>H540</f>
        <v>0</v>
      </c>
      <c r="I539" s="158">
        <f t="shared" si="26"/>
        <v>0</v>
      </c>
    </row>
    <row r="540" spans="1:9" ht="31.5" outlineLevel="7">
      <c r="A540" s="149" t="s">
        <v>324</v>
      </c>
      <c r="B540" s="150" t="s">
        <v>18</v>
      </c>
      <c r="C540" s="150" t="s">
        <v>197</v>
      </c>
      <c r="D540" s="150" t="s">
        <v>193</v>
      </c>
      <c r="E540" s="150" t="s">
        <v>708</v>
      </c>
      <c r="F540" s="150" t="s">
        <v>325</v>
      </c>
      <c r="G540" s="151">
        <f>1935300-1300000</f>
        <v>635300</v>
      </c>
      <c r="H540" s="158">
        <v>0</v>
      </c>
      <c r="I540" s="158">
        <f t="shared" si="26"/>
        <v>0</v>
      </c>
    </row>
    <row r="541" spans="1:9" ht="47.25" outlineLevel="7">
      <c r="A541" s="149" t="s">
        <v>709</v>
      </c>
      <c r="B541" s="150" t="s">
        <v>18</v>
      </c>
      <c r="C541" s="150" t="s">
        <v>197</v>
      </c>
      <c r="D541" s="150" t="s">
        <v>193</v>
      </c>
      <c r="E541" s="150" t="s">
        <v>710</v>
      </c>
      <c r="F541" s="150" t="s">
        <v>25</v>
      </c>
      <c r="G541" s="151">
        <f>G542</f>
        <v>1300000</v>
      </c>
      <c r="H541" s="158">
        <f>H542</f>
        <v>1300000</v>
      </c>
      <c r="I541" s="158">
        <f t="shared" si="26"/>
        <v>100</v>
      </c>
    </row>
    <row r="542" spans="1:9" ht="31.5" outlineLevel="7">
      <c r="A542" s="149" t="s">
        <v>324</v>
      </c>
      <c r="B542" s="150" t="s">
        <v>18</v>
      </c>
      <c r="C542" s="150" t="s">
        <v>197</v>
      </c>
      <c r="D542" s="150" t="s">
        <v>193</v>
      </c>
      <c r="E542" s="150" t="s">
        <v>710</v>
      </c>
      <c r="F542" s="150" t="s">
        <v>325</v>
      </c>
      <c r="G542" s="151">
        <f>1300000</f>
        <v>1300000</v>
      </c>
      <c r="H542" s="158">
        <f>1300000</f>
        <v>1300000</v>
      </c>
      <c r="I542" s="158">
        <f t="shared" si="26"/>
        <v>100</v>
      </c>
    </row>
    <row r="543" spans="1:9" ht="47.25" outlineLevel="7">
      <c r="A543" s="149" t="s">
        <v>709</v>
      </c>
      <c r="B543" s="150" t="s">
        <v>18</v>
      </c>
      <c r="C543" s="150" t="s">
        <v>197</v>
      </c>
      <c r="D543" s="150" t="s">
        <v>193</v>
      </c>
      <c r="E543" s="150" t="s">
        <v>711</v>
      </c>
      <c r="F543" s="150" t="s">
        <v>25</v>
      </c>
      <c r="G543" s="151">
        <f>G544</f>
        <v>9588870</v>
      </c>
      <c r="H543" s="158">
        <f>H544</f>
        <v>9588870</v>
      </c>
      <c r="I543" s="158">
        <f t="shared" si="26"/>
        <v>100</v>
      </c>
    </row>
    <row r="544" spans="1:9" ht="31.5" outlineLevel="7">
      <c r="A544" s="149" t="s">
        <v>324</v>
      </c>
      <c r="B544" s="150" t="s">
        <v>18</v>
      </c>
      <c r="C544" s="150" t="s">
        <v>197</v>
      </c>
      <c r="D544" s="150" t="s">
        <v>193</v>
      </c>
      <c r="E544" s="150" t="s">
        <v>711</v>
      </c>
      <c r="F544" s="150" t="s">
        <v>325</v>
      </c>
      <c r="G544" s="151">
        <f>9588870</f>
        <v>9588870</v>
      </c>
      <c r="H544" s="158">
        <f>9588870</f>
        <v>9588870</v>
      </c>
      <c r="I544" s="158">
        <f t="shared" si="26"/>
        <v>100</v>
      </c>
    </row>
    <row r="545" spans="1:9" ht="31.5" outlineLevel="5">
      <c r="A545" s="149" t="s">
        <v>712</v>
      </c>
      <c r="B545" s="150" t="s">
        <v>18</v>
      </c>
      <c r="C545" s="150" t="s">
        <v>197</v>
      </c>
      <c r="D545" s="150" t="s">
        <v>193</v>
      </c>
      <c r="E545" s="150" t="s">
        <v>713</v>
      </c>
      <c r="F545" s="150" t="s">
        <v>25</v>
      </c>
      <c r="G545" s="151">
        <f>G546</f>
        <v>3663773.16</v>
      </c>
      <c r="H545" s="158">
        <f>H546</f>
        <v>3365091.91</v>
      </c>
      <c r="I545" s="158">
        <f t="shared" si="26"/>
        <v>91.84771444747415</v>
      </c>
    </row>
    <row r="546" spans="1:9" ht="31.5" outlineLevel="6">
      <c r="A546" s="149" t="s">
        <v>353</v>
      </c>
      <c r="B546" s="150" t="s">
        <v>18</v>
      </c>
      <c r="C546" s="150" t="s">
        <v>197</v>
      </c>
      <c r="D546" s="150" t="s">
        <v>193</v>
      </c>
      <c r="E546" s="150" t="s">
        <v>714</v>
      </c>
      <c r="F546" s="150" t="s">
        <v>25</v>
      </c>
      <c r="G546" s="151">
        <f>G547</f>
        <v>3663773.16</v>
      </c>
      <c r="H546" s="158">
        <f>H547</f>
        <v>3365091.91</v>
      </c>
      <c r="I546" s="158">
        <f t="shared" si="26"/>
        <v>91.84771444747415</v>
      </c>
    </row>
    <row r="547" spans="1:9" ht="31.5" outlineLevel="7">
      <c r="A547" s="149" t="s">
        <v>324</v>
      </c>
      <c r="B547" s="150" t="s">
        <v>18</v>
      </c>
      <c r="C547" s="150" t="s">
        <v>197</v>
      </c>
      <c r="D547" s="150" t="s">
        <v>193</v>
      </c>
      <c r="E547" s="150" t="s">
        <v>714</v>
      </c>
      <c r="F547" s="150" t="s">
        <v>325</v>
      </c>
      <c r="G547" s="151">
        <f>4002811.57-2914.34-182295.23-143828.84-10000</f>
        <v>3663773.16</v>
      </c>
      <c r="H547" s="158">
        <v>3365091.91</v>
      </c>
      <c r="I547" s="158">
        <f t="shared" si="26"/>
        <v>91.84771444747415</v>
      </c>
    </row>
    <row r="548" spans="1:9" ht="47.25" outlineLevel="5">
      <c r="A548" s="149" t="s">
        <v>715</v>
      </c>
      <c r="B548" s="150" t="s">
        <v>18</v>
      </c>
      <c r="C548" s="150" t="s">
        <v>197</v>
      </c>
      <c r="D548" s="150" t="s">
        <v>193</v>
      </c>
      <c r="E548" s="150" t="s">
        <v>716</v>
      </c>
      <c r="F548" s="150" t="s">
        <v>25</v>
      </c>
      <c r="G548" s="151">
        <f>G549</f>
        <v>1561835.59</v>
      </c>
      <c r="H548" s="158">
        <f>H549</f>
        <v>561011.98</v>
      </c>
      <c r="I548" s="158">
        <f t="shared" si="26"/>
        <v>35.920040725925574</v>
      </c>
    </row>
    <row r="549" spans="1:9" ht="31.5" outlineLevel="6">
      <c r="A549" s="149" t="s">
        <v>353</v>
      </c>
      <c r="B549" s="150" t="s">
        <v>18</v>
      </c>
      <c r="C549" s="150" t="s">
        <v>197</v>
      </c>
      <c r="D549" s="150" t="s">
        <v>193</v>
      </c>
      <c r="E549" s="150" t="s">
        <v>717</v>
      </c>
      <c r="F549" s="150" t="s">
        <v>25</v>
      </c>
      <c r="G549" s="151">
        <f>G550</f>
        <v>1561835.59</v>
      </c>
      <c r="H549" s="158">
        <f>H550</f>
        <v>561011.98</v>
      </c>
      <c r="I549" s="158">
        <f t="shared" si="26"/>
        <v>35.920040725925574</v>
      </c>
    </row>
    <row r="550" spans="1:9" ht="31.5" outlineLevel="7">
      <c r="A550" s="149" t="s">
        <v>324</v>
      </c>
      <c r="B550" s="150" t="s">
        <v>18</v>
      </c>
      <c r="C550" s="150" t="s">
        <v>197</v>
      </c>
      <c r="D550" s="150" t="s">
        <v>193</v>
      </c>
      <c r="E550" s="150" t="s">
        <v>717</v>
      </c>
      <c r="F550" s="150" t="s">
        <v>325</v>
      </c>
      <c r="G550" s="151">
        <f>1190564+371271.59</f>
        <v>1561835.59</v>
      </c>
      <c r="H550" s="158">
        <v>561011.98</v>
      </c>
      <c r="I550" s="158">
        <f t="shared" si="26"/>
        <v>35.920040725925574</v>
      </c>
    </row>
    <row r="551" spans="1:9" ht="31.5" outlineLevel="7">
      <c r="A551" s="149" t="s">
        <v>718</v>
      </c>
      <c r="B551" s="150" t="s">
        <v>18</v>
      </c>
      <c r="C551" s="150" t="s">
        <v>197</v>
      </c>
      <c r="D551" s="150" t="s">
        <v>193</v>
      </c>
      <c r="E551" s="150" t="s">
        <v>719</v>
      </c>
      <c r="F551" s="150" t="s">
        <v>25</v>
      </c>
      <c r="G551" s="151">
        <f>G552</f>
        <v>721981.83</v>
      </c>
      <c r="H551" s="158">
        <f>H552</f>
        <v>559465.67</v>
      </c>
      <c r="I551" s="158">
        <f t="shared" si="26"/>
        <v>77.49027008061962</v>
      </c>
    </row>
    <row r="552" spans="1:9" ht="31.5" outlineLevel="7">
      <c r="A552" s="149" t="s">
        <v>353</v>
      </c>
      <c r="B552" s="150" t="s">
        <v>18</v>
      </c>
      <c r="C552" s="150" t="s">
        <v>197</v>
      </c>
      <c r="D552" s="150" t="s">
        <v>193</v>
      </c>
      <c r="E552" s="150" t="s">
        <v>720</v>
      </c>
      <c r="F552" s="150" t="s">
        <v>25</v>
      </c>
      <c r="G552" s="151">
        <f>G553</f>
        <v>721981.83</v>
      </c>
      <c r="H552" s="158">
        <f>H553</f>
        <v>559465.67</v>
      </c>
      <c r="I552" s="158">
        <f t="shared" si="26"/>
        <v>77.49027008061962</v>
      </c>
    </row>
    <row r="553" spans="1:9" ht="31.5" outlineLevel="7">
      <c r="A553" s="149" t="s">
        <v>324</v>
      </c>
      <c r="B553" s="150" t="s">
        <v>18</v>
      </c>
      <c r="C553" s="150" t="s">
        <v>197</v>
      </c>
      <c r="D553" s="150" t="s">
        <v>193</v>
      </c>
      <c r="E553" s="150" t="s">
        <v>720</v>
      </c>
      <c r="F553" s="150" t="s">
        <v>325</v>
      </c>
      <c r="G553" s="151">
        <f>182295.23+539686.6</f>
        <v>721981.83</v>
      </c>
      <c r="H553" s="158">
        <v>559465.67</v>
      </c>
      <c r="I553" s="158">
        <f t="shared" si="26"/>
        <v>77.49027008061962</v>
      </c>
    </row>
    <row r="554" spans="1:10" s="148" customFormat="1" ht="31.5" outlineLevel="2">
      <c r="A554" s="144" t="s">
        <v>225</v>
      </c>
      <c r="B554" s="145" t="s">
        <v>18</v>
      </c>
      <c r="C554" s="145" t="s">
        <v>197</v>
      </c>
      <c r="D554" s="145" t="s">
        <v>197</v>
      </c>
      <c r="E554" s="145" t="s">
        <v>313</v>
      </c>
      <c r="F554" s="145" t="s">
        <v>25</v>
      </c>
      <c r="G554" s="146">
        <f>G555+G565+G570</f>
        <v>2021415.93</v>
      </c>
      <c r="H554" s="161">
        <f>H555+H565+H570</f>
        <v>1736219.1199999999</v>
      </c>
      <c r="I554" s="161">
        <f t="shared" si="26"/>
        <v>85.89123565480163</v>
      </c>
      <c r="J554" s="147"/>
    </row>
    <row r="555" spans="1:10" s="148" customFormat="1" ht="78.75" outlineLevel="3">
      <c r="A555" s="144" t="s">
        <v>489</v>
      </c>
      <c r="B555" s="145" t="s">
        <v>18</v>
      </c>
      <c r="C555" s="145" t="s">
        <v>197</v>
      </c>
      <c r="D555" s="145" t="s">
        <v>197</v>
      </c>
      <c r="E555" s="145" t="s">
        <v>490</v>
      </c>
      <c r="F555" s="145" t="s">
        <v>25</v>
      </c>
      <c r="G555" s="146">
        <f>G556</f>
        <v>1381023.41</v>
      </c>
      <c r="H555" s="161">
        <f>H556</f>
        <v>1381023.41</v>
      </c>
      <c r="I555" s="161">
        <f t="shared" si="26"/>
        <v>100</v>
      </c>
      <c r="J555" s="147"/>
    </row>
    <row r="556" spans="1:10" s="148" customFormat="1" ht="47.25" outlineLevel="4">
      <c r="A556" s="144" t="s">
        <v>721</v>
      </c>
      <c r="B556" s="145" t="s">
        <v>18</v>
      </c>
      <c r="C556" s="145" t="s">
        <v>197</v>
      </c>
      <c r="D556" s="145" t="s">
        <v>197</v>
      </c>
      <c r="E556" s="145" t="s">
        <v>722</v>
      </c>
      <c r="F556" s="145" t="s">
        <v>25</v>
      </c>
      <c r="G556" s="146">
        <f>G557</f>
        <v>1381023.41</v>
      </c>
      <c r="H556" s="161">
        <f>H557</f>
        <v>1381023.41</v>
      </c>
      <c r="I556" s="161">
        <f t="shared" si="26"/>
        <v>100</v>
      </c>
      <c r="J556" s="147"/>
    </row>
    <row r="557" spans="1:9" ht="31.5" outlineLevel="5">
      <c r="A557" s="149" t="s">
        <v>723</v>
      </c>
      <c r="B557" s="150" t="s">
        <v>18</v>
      </c>
      <c r="C557" s="150" t="s">
        <v>197</v>
      </c>
      <c r="D557" s="150" t="s">
        <v>197</v>
      </c>
      <c r="E557" s="150" t="s">
        <v>724</v>
      </c>
      <c r="F557" s="150" t="s">
        <v>25</v>
      </c>
      <c r="G557" s="151">
        <f>G558+G563</f>
        <v>1381023.41</v>
      </c>
      <c r="H557" s="158">
        <f>H558+H563</f>
        <v>1381023.41</v>
      </c>
      <c r="I557" s="158">
        <f t="shared" si="26"/>
        <v>100</v>
      </c>
    </row>
    <row r="558" spans="1:9" ht="78.75" outlineLevel="6">
      <c r="A558" s="149" t="s">
        <v>431</v>
      </c>
      <c r="B558" s="150" t="s">
        <v>18</v>
      </c>
      <c r="C558" s="150" t="s">
        <v>197</v>
      </c>
      <c r="D558" s="150" t="s">
        <v>197</v>
      </c>
      <c r="E558" s="150" t="s">
        <v>725</v>
      </c>
      <c r="F558" s="150" t="s">
        <v>25</v>
      </c>
      <c r="G558" s="151">
        <f>G559+G560+G561+G562</f>
        <v>1381023.41</v>
      </c>
      <c r="H558" s="158">
        <f>H559+H560+H561+H562</f>
        <v>1381023.41</v>
      </c>
      <c r="I558" s="158">
        <f t="shared" si="26"/>
        <v>100</v>
      </c>
    </row>
    <row r="559" spans="1:9" ht="94.5" outlineLevel="7">
      <c r="A559" s="149" t="s">
        <v>323</v>
      </c>
      <c r="B559" s="150" t="s">
        <v>18</v>
      </c>
      <c r="C559" s="150" t="s">
        <v>197</v>
      </c>
      <c r="D559" s="150" t="s">
        <v>197</v>
      </c>
      <c r="E559" s="150" t="s">
        <v>725</v>
      </c>
      <c r="F559" s="150" t="s">
        <v>54</v>
      </c>
      <c r="G559" s="151">
        <f>1029104.53+250349.4+74055.88-43821.51-10818.86</f>
        <v>1298869.44</v>
      </c>
      <c r="H559" s="158">
        <f>1029104.53+250349.4+74055.88-43821.51-10818.86</f>
        <v>1298869.44</v>
      </c>
      <c r="I559" s="158">
        <f t="shared" si="26"/>
        <v>100</v>
      </c>
    </row>
    <row r="560" spans="1:9" ht="31.5" outlineLevel="7">
      <c r="A560" s="149" t="s">
        <v>324</v>
      </c>
      <c r="B560" s="150" t="s">
        <v>18</v>
      </c>
      <c r="C560" s="150" t="s">
        <v>197</v>
      </c>
      <c r="D560" s="150" t="s">
        <v>197</v>
      </c>
      <c r="E560" s="150" t="s">
        <v>725</v>
      </c>
      <c r="F560" s="150" t="s">
        <v>325</v>
      </c>
      <c r="G560" s="151">
        <f>2100+1131.83</f>
        <v>3231.83</v>
      </c>
      <c r="H560" s="158">
        <f>2100+1131.83</f>
        <v>3231.83</v>
      </c>
      <c r="I560" s="158">
        <f t="shared" si="26"/>
        <v>100</v>
      </c>
    </row>
    <row r="561" spans="1:9" ht="31.5" outlineLevel="7">
      <c r="A561" s="156" t="s">
        <v>371</v>
      </c>
      <c r="B561" s="157" t="s">
        <v>18</v>
      </c>
      <c r="C561" s="157" t="s">
        <v>197</v>
      </c>
      <c r="D561" s="157" t="s">
        <v>197</v>
      </c>
      <c r="E561" s="157" t="s">
        <v>725</v>
      </c>
      <c r="F561" s="157" t="s">
        <v>372</v>
      </c>
      <c r="G561" s="158">
        <f>78922.14</f>
        <v>78922.14</v>
      </c>
      <c r="H561" s="158">
        <f>78922.14</f>
        <v>78922.14</v>
      </c>
      <c r="I561" s="158">
        <f t="shared" si="26"/>
        <v>100</v>
      </c>
    </row>
    <row r="562" spans="1:9" ht="15.75" hidden="1" outlineLevel="7">
      <c r="A562" s="149" t="s">
        <v>411</v>
      </c>
      <c r="B562" s="157" t="s">
        <v>18</v>
      </c>
      <c r="C562" s="157" t="s">
        <v>197</v>
      </c>
      <c r="D562" s="157" t="s">
        <v>197</v>
      </c>
      <c r="E562" s="157" t="s">
        <v>725</v>
      </c>
      <c r="F562" s="157" t="s">
        <v>293</v>
      </c>
      <c r="G562" s="158">
        <f>31078-31078</f>
        <v>0</v>
      </c>
      <c r="H562" s="158">
        <f>31078-31078</f>
        <v>0</v>
      </c>
      <c r="I562" s="158" t="e">
        <f t="shared" si="26"/>
        <v>#DIV/0!</v>
      </c>
    </row>
    <row r="563" spans="1:9" ht="31.5" hidden="1" outlineLevel="6">
      <c r="A563" s="149" t="s">
        <v>353</v>
      </c>
      <c r="B563" s="150" t="s">
        <v>18</v>
      </c>
      <c r="C563" s="150" t="s">
        <v>197</v>
      </c>
      <c r="D563" s="150" t="s">
        <v>197</v>
      </c>
      <c r="E563" s="150" t="s">
        <v>726</v>
      </c>
      <c r="F563" s="150" t="s">
        <v>25</v>
      </c>
      <c r="G563" s="151">
        <f>G564</f>
        <v>0</v>
      </c>
      <c r="H563" s="158">
        <f>H564</f>
        <v>0</v>
      </c>
      <c r="I563" s="158" t="e">
        <f t="shared" si="26"/>
        <v>#DIV/0!</v>
      </c>
    </row>
    <row r="564" spans="1:9" ht="31.5" hidden="1" outlineLevel="7">
      <c r="A564" s="149" t="s">
        <v>324</v>
      </c>
      <c r="B564" s="150" t="s">
        <v>18</v>
      </c>
      <c r="C564" s="150" t="s">
        <v>197</v>
      </c>
      <c r="D564" s="150" t="s">
        <v>197</v>
      </c>
      <c r="E564" s="150" t="s">
        <v>726</v>
      </c>
      <c r="F564" s="150" t="s">
        <v>325</v>
      </c>
      <c r="G564" s="151">
        <f>425278.56+720205.63-1145484.19</f>
        <v>0</v>
      </c>
      <c r="H564" s="158">
        <f>425278.56+720205.63-1145484.19</f>
        <v>0</v>
      </c>
      <c r="I564" s="158" t="e">
        <f t="shared" si="26"/>
        <v>#DIV/0!</v>
      </c>
    </row>
    <row r="565" spans="1:10" s="148" customFormat="1" ht="47.25" outlineLevel="3" collapsed="1">
      <c r="A565" s="144" t="s">
        <v>347</v>
      </c>
      <c r="B565" s="145" t="s">
        <v>18</v>
      </c>
      <c r="C565" s="145" t="s">
        <v>197</v>
      </c>
      <c r="D565" s="145" t="s">
        <v>197</v>
      </c>
      <c r="E565" s="145" t="s">
        <v>348</v>
      </c>
      <c r="F565" s="145" t="s">
        <v>25</v>
      </c>
      <c r="G565" s="146">
        <f aca="true" t="shared" si="27" ref="G565:H568">G566</f>
        <v>11400</v>
      </c>
      <c r="H565" s="161">
        <f t="shared" si="27"/>
        <v>9040</v>
      </c>
      <c r="I565" s="161">
        <f t="shared" si="26"/>
        <v>79.2982456140351</v>
      </c>
      <c r="J565" s="147"/>
    </row>
    <row r="566" spans="1:10" s="148" customFormat="1" ht="47.25" outlineLevel="4">
      <c r="A566" s="144" t="s">
        <v>349</v>
      </c>
      <c r="B566" s="145" t="s">
        <v>18</v>
      </c>
      <c r="C566" s="145" t="s">
        <v>197</v>
      </c>
      <c r="D566" s="145" t="s">
        <v>197</v>
      </c>
      <c r="E566" s="145" t="s">
        <v>350</v>
      </c>
      <c r="F566" s="145" t="s">
        <v>25</v>
      </c>
      <c r="G566" s="146">
        <f t="shared" si="27"/>
        <v>11400</v>
      </c>
      <c r="H566" s="161">
        <f t="shared" si="27"/>
        <v>9040</v>
      </c>
      <c r="I566" s="161">
        <f t="shared" si="26"/>
        <v>79.2982456140351</v>
      </c>
      <c r="J566" s="147"/>
    </row>
    <row r="567" spans="1:9" ht="31.5" outlineLevel="5">
      <c r="A567" s="149" t="s">
        <v>418</v>
      </c>
      <c r="B567" s="150" t="s">
        <v>18</v>
      </c>
      <c r="C567" s="150" t="s">
        <v>197</v>
      </c>
      <c r="D567" s="150" t="s">
        <v>197</v>
      </c>
      <c r="E567" s="150" t="s">
        <v>419</v>
      </c>
      <c r="F567" s="150" t="s">
        <v>25</v>
      </c>
      <c r="G567" s="151">
        <f t="shared" si="27"/>
        <v>11400</v>
      </c>
      <c r="H567" s="158">
        <f t="shared" si="27"/>
        <v>9040</v>
      </c>
      <c r="I567" s="158">
        <f t="shared" si="26"/>
        <v>79.2982456140351</v>
      </c>
    </row>
    <row r="568" spans="1:9" ht="31.5" outlineLevel="6">
      <c r="A568" s="149" t="s">
        <v>353</v>
      </c>
      <c r="B568" s="150" t="s">
        <v>18</v>
      </c>
      <c r="C568" s="150" t="s">
        <v>197</v>
      </c>
      <c r="D568" s="150" t="s">
        <v>197</v>
      </c>
      <c r="E568" s="150" t="s">
        <v>420</v>
      </c>
      <c r="F568" s="150" t="s">
        <v>25</v>
      </c>
      <c r="G568" s="151">
        <f t="shared" si="27"/>
        <v>11400</v>
      </c>
      <c r="H568" s="158">
        <f t="shared" si="27"/>
        <v>9040</v>
      </c>
      <c r="I568" s="158">
        <f t="shared" si="26"/>
        <v>79.2982456140351</v>
      </c>
    </row>
    <row r="569" spans="1:9" ht="31.5" outlineLevel="7">
      <c r="A569" s="149" t="s">
        <v>324</v>
      </c>
      <c r="B569" s="150" t="s">
        <v>18</v>
      </c>
      <c r="C569" s="150" t="s">
        <v>197</v>
      </c>
      <c r="D569" s="150" t="s">
        <v>197</v>
      </c>
      <c r="E569" s="150" t="s">
        <v>420</v>
      </c>
      <c r="F569" s="150" t="s">
        <v>325</v>
      </c>
      <c r="G569" s="151">
        <v>11400</v>
      </c>
      <c r="H569" s="158">
        <v>9040</v>
      </c>
      <c r="I569" s="158">
        <f t="shared" si="26"/>
        <v>79.2982456140351</v>
      </c>
    </row>
    <row r="570" spans="1:10" s="148" customFormat="1" ht="15.75" outlineLevel="3">
      <c r="A570" s="144" t="s">
        <v>329</v>
      </c>
      <c r="B570" s="145" t="s">
        <v>18</v>
      </c>
      <c r="C570" s="145" t="s">
        <v>197</v>
      </c>
      <c r="D570" s="145" t="s">
        <v>197</v>
      </c>
      <c r="E570" s="145" t="s">
        <v>330</v>
      </c>
      <c r="F570" s="145" t="s">
        <v>25</v>
      </c>
      <c r="G570" s="146">
        <f>G571</f>
        <v>628992.52</v>
      </c>
      <c r="H570" s="161">
        <f>H571</f>
        <v>346155.71</v>
      </c>
      <c r="I570" s="161">
        <f t="shared" si="26"/>
        <v>55.033358743280445</v>
      </c>
      <c r="J570" s="147"/>
    </row>
    <row r="571" spans="1:9" ht="78.75" outlineLevel="6">
      <c r="A571" s="149" t="s">
        <v>431</v>
      </c>
      <c r="B571" s="150" t="s">
        <v>18</v>
      </c>
      <c r="C571" s="150" t="s">
        <v>197</v>
      </c>
      <c r="D571" s="150" t="s">
        <v>197</v>
      </c>
      <c r="E571" s="150" t="s">
        <v>727</v>
      </c>
      <c r="F571" s="150" t="s">
        <v>25</v>
      </c>
      <c r="G571" s="151">
        <f>G572</f>
        <v>628992.52</v>
      </c>
      <c r="H571" s="158">
        <f>H572</f>
        <v>346155.71</v>
      </c>
      <c r="I571" s="158">
        <f t="shared" si="26"/>
        <v>55.033358743280445</v>
      </c>
    </row>
    <row r="572" spans="1:9" ht="47.25" outlineLevel="7">
      <c r="A572" s="149" t="s">
        <v>386</v>
      </c>
      <c r="B572" s="150" t="s">
        <v>18</v>
      </c>
      <c r="C572" s="150" t="s">
        <v>197</v>
      </c>
      <c r="D572" s="150" t="s">
        <v>197</v>
      </c>
      <c r="E572" s="150" t="s">
        <v>727</v>
      </c>
      <c r="F572" s="150" t="s">
        <v>273</v>
      </c>
      <c r="G572" s="151">
        <f>2114816.52-1485824</f>
        <v>628992.52</v>
      </c>
      <c r="H572" s="158">
        <v>346155.71</v>
      </c>
      <c r="I572" s="158">
        <f t="shared" si="26"/>
        <v>55.033358743280445</v>
      </c>
    </row>
    <row r="573" spans="1:9" ht="15.75" outlineLevel="7">
      <c r="A573" s="144" t="s">
        <v>226</v>
      </c>
      <c r="B573" s="145" t="s">
        <v>18</v>
      </c>
      <c r="C573" s="145" t="s">
        <v>199</v>
      </c>
      <c r="D573" s="145" t="s">
        <v>189</v>
      </c>
      <c r="E573" s="145" t="s">
        <v>313</v>
      </c>
      <c r="F573" s="145" t="s">
        <v>25</v>
      </c>
      <c r="G573" s="146">
        <f aca="true" t="shared" si="28" ref="G573:H577">G574</f>
        <v>199885.74</v>
      </c>
      <c r="H573" s="161">
        <f t="shared" si="28"/>
        <v>199885.74</v>
      </c>
      <c r="I573" s="161">
        <f t="shared" si="26"/>
        <v>100</v>
      </c>
    </row>
    <row r="574" spans="1:9" ht="31.5" outlineLevel="7">
      <c r="A574" s="144" t="s">
        <v>299</v>
      </c>
      <c r="B574" s="145" t="s">
        <v>18</v>
      </c>
      <c r="C574" s="145" t="s">
        <v>199</v>
      </c>
      <c r="D574" s="145" t="s">
        <v>193</v>
      </c>
      <c r="E574" s="145" t="s">
        <v>313</v>
      </c>
      <c r="F574" s="145" t="s">
        <v>25</v>
      </c>
      <c r="G574" s="146">
        <f t="shared" si="28"/>
        <v>199885.74</v>
      </c>
      <c r="H574" s="161">
        <f t="shared" si="28"/>
        <v>199885.74</v>
      </c>
      <c r="I574" s="161">
        <f t="shared" si="26"/>
        <v>100</v>
      </c>
    </row>
    <row r="575" spans="1:9" ht="47.25" outlineLevel="7">
      <c r="A575" s="144" t="s">
        <v>728</v>
      </c>
      <c r="B575" s="145" t="s">
        <v>18</v>
      </c>
      <c r="C575" s="145" t="s">
        <v>199</v>
      </c>
      <c r="D575" s="145" t="s">
        <v>193</v>
      </c>
      <c r="E575" s="145" t="s">
        <v>729</v>
      </c>
      <c r="F575" s="145" t="s">
        <v>25</v>
      </c>
      <c r="G575" s="146">
        <f t="shared" si="28"/>
        <v>199885.74</v>
      </c>
      <c r="H575" s="161">
        <f t="shared" si="28"/>
        <v>199885.74</v>
      </c>
      <c r="I575" s="161">
        <f aca="true" t="shared" si="29" ref="I575:I638">H575/G575*100</f>
        <v>100</v>
      </c>
    </row>
    <row r="576" spans="1:9" ht="47.25" outlineLevel="7">
      <c r="A576" s="149" t="s">
        <v>730</v>
      </c>
      <c r="B576" s="150" t="s">
        <v>18</v>
      </c>
      <c r="C576" s="150" t="s">
        <v>199</v>
      </c>
      <c r="D576" s="150" t="s">
        <v>193</v>
      </c>
      <c r="E576" s="150" t="s">
        <v>731</v>
      </c>
      <c r="F576" s="150" t="s">
        <v>25</v>
      </c>
      <c r="G576" s="151">
        <f t="shared" si="28"/>
        <v>199885.74</v>
      </c>
      <c r="H576" s="158">
        <f t="shared" si="28"/>
        <v>199885.74</v>
      </c>
      <c r="I576" s="158">
        <f t="shared" si="29"/>
        <v>100</v>
      </c>
    </row>
    <row r="577" spans="1:9" ht="31.5" outlineLevel="7">
      <c r="A577" s="149" t="s">
        <v>353</v>
      </c>
      <c r="B577" s="150" t="s">
        <v>18</v>
      </c>
      <c r="C577" s="150" t="s">
        <v>199</v>
      </c>
      <c r="D577" s="150" t="s">
        <v>193</v>
      </c>
      <c r="E577" s="150" t="s">
        <v>732</v>
      </c>
      <c r="F577" s="150" t="s">
        <v>25</v>
      </c>
      <c r="G577" s="151">
        <f t="shared" si="28"/>
        <v>199885.74</v>
      </c>
      <c r="H577" s="158">
        <f t="shared" si="28"/>
        <v>199885.74</v>
      </c>
      <c r="I577" s="158">
        <f t="shared" si="29"/>
        <v>100</v>
      </c>
    </row>
    <row r="578" spans="1:9" ht="31.5" outlineLevel="7">
      <c r="A578" s="149" t="s">
        <v>324</v>
      </c>
      <c r="B578" s="150" t="s">
        <v>18</v>
      </c>
      <c r="C578" s="150" t="s">
        <v>199</v>
      </c>
      <c r="D578" s="150" t="s">
        <v>193</v>
      </c>
      <c r="E578" s="150" t="s">
        <v>732</v>
      </c>
      <c r="F578" s="150" t="s">
        <v>325</v>
      </c>
      <c r="G578" s="151">
        <f>199885.74</f>
        <v>199885.74</v>
      </c>
      <c r="H578" s="158">
        <f>199885.74</f>
        <v>199885.74</v>
      </c>
      <c r="I578" s="158">
        <f t="shared" si="29"/>
        <v>100</v>
      </c>
    </row>
    <row r="579" spans="1:10" s="148" customFormat="1" ht="15.75" outlineLevel="1">
      <c r="A579" s="144" t="s">
        <v>733</v>
      </c>
      <c r="B579" s="145" t="s">
        <v>18</v>
      </c>
      <c r="C579" s="145" t="s">
        <v>201</v>
      </c>
      <c r="D579" s="145" t="s">
        <v>189</v>
      </c>
      <c r="E579" s="145" t="s">
        <v>313</v>
      </c>
      <c r="F579" s="145" t="s">
        <v>25</v>
      </c>
      <c r="G579" s="146">
        <f aca="true" t="shared" si="30" ref="G579:H584">G580</f>
        <v>1037413.73</v>
      </c>
      <c r="H579" s="161">
        <f t="shared" si="30"/>
        <v>1037413.73</v>
      </c>
      <c r="I579" s="161">
        <f t="shared" si="29"/>
        <v>100</v>
      </c>
      <c r="J579" s="147"/>
    </row>
    <row r="580" spans="1:10" s="148" customFormat="1" ht="15.75" outlineLevel="2">
      <c r="A580" s="144" t="s">
        <v>228</v>
      </c>
      <c r="B580" s="145" t="s">
        <v>18</v>
      </c>
      <c r="C580" s="145" t="s">
        <v>201</v>
      </c>
      <c r="D580" s="145" t="s">
        <v>188</v>
      </c>
      <c r="E580" s="145" t="s">
        <v>313</v>
      </c>
      <c r="F580" s="145" t="s">
        <v>25</v>
      </c>
      <c r="G580" s="146">
        <f t="shared" si="30"/>
        <v>1037413.73</v>
      </c>
      <c r="H580" s="161">
        <f t="shared" si="30"/>
        <v>1037413.73</v>
      </c>
      <c r="I580" s="161">
        <f t="shared" si="29"/>
        <v>100</v>
      </c>
      <c r="J580" s="147"/>
    </row>
    <row r="581" spans="1:10" s="148" customFormat="1" ht="47.25" outlineLevel="3">
      <c r="A581" s="144" t="s">
        <v>734</v>
      </c>
      <c r="B581" s="145" t="s">
        <v>18</v>
      </c>
      <c r="C581" s="145" t="s">
        <v>201</v>
      </c>
      <c r="D581" s="145" t="s">
        <v>188</v>
      </c>
      <c r="E581" s="145" t="s">
        <v>735</v>
      </c>
      <c r="F581" s="145" t="s">
        <v>25</v>
      </c>
      <c r="G581" s="146">
        <f t="shared" si="30"/>
        <v>1037413.73</v>
      </c>
      <c r="H581" s="161">
        <f t="shared" si="30"/>
        <v>1037413.73</v>
      </c>
      <c r="I581" s="161">
        <f t="shared" si="29"/>
        <v>100</v>
      </c>
      <c r="J581" s="147"/>
    </row>
    <row r="582" spans="1:10" s="148" customFormat="1" ht="47.25" outlineLevel="4">
      <c r="A582" s="144" t="s">
        <v>736</v>
      </c>
      <c r="B582" s="145" t="s">
        <v>18</v>
      </c>
      <c r="C582" s="145" t="s">
        <v>201</v>
      </c>
      <c r="D582" s="145" t="s">
        <v>188</v>
      </c>
      <c r="E582" s="145" t="s">
        <v>737</v>
      </c>
      <c r="F582" s="145" t="s">
        <v>25</v>
      </c>
      <c r="G582" s="146">
        <f>G583+G586</f>
        <v>1037413.73</v>
      </c>
      <c r="H582" s="161">
        <f>H583+H586</f>
        <v>1037413.73</v>
      </c>
      <c r="I582" s="161">
        <f t="shared" si="29"/>
        <v>100</v>
      </c>
      <c r="J582" s="147"/>
    </row>
    <row r="583" spans="1:9" ht="31.5" outlineLevel="5">
      <c r="A583" s="149" t="s">
        <v>738</v>
      </c>
      <c r="B583" s="150" t="s">
        <v>18</v>
      </c>
      <c r="C583" s="150" t="s">
        <v>201</v>
      </c>
      <c r="D583" s="150" t="s">
        <v>188</v>
      </c>
      <c r="E583" s="150" t="s">
        <v>739</v>
      </c>
      <c r="F583" s="150" t="s">
        <v>25</v>
      </c>
      <c r="G583" s="151">
        <f t="shared" si="30"/>
        <v>774513.73</v>
      </c>
      <c r="H583" s="158">
        <f t="shared" si="30"/>
        <v>774513.73</v>
      </c>
      <c r="I583" s="158">
        <f t="shared" si="29"/>
        <v>100</v>
      </c>
    </row>
    <row r="584" spans="1:9" ht="47.25" outlineLevel="6">
      <c r="A584" s="149" t="s">
        <v>740</v>
      </c>
      <c r="B584" s="150" t="s">
        <v>18</v>
      </c>
      <c r="C584" s="150" t="s">
        <v>201</v>
      </c>
      <c r="D584" s="150" t="s">
        <v>188</v>
      </c>
      <c r="E584" s="150" t="s">
        <v>741</v>
      </c>
      <c r="F584" s="150" t="s">
        <v>25</v>
      </c>
      <c r="G584" s="151">
        <f t="shared" si="30"/>
        <v>774513.73</v>
      </c>
      <c r="H584" s="158">
        <f t="shared" si="30"/>
        <v>774513.73</v>
      </c>
      <c r="I584" s="158">
        <f t="shared" si="29"/>
        <v>100</v>
      </c>
    </row>
    <row r="585" spans="1:9" ht="47.25" outlineLevel="7">
      <c r="A585" s="149" t="s">
        <v>578</v>
      </c>
      <c r="B585" s="150" t="s">
        <v>18</v>
      </c>
      <c r="C585" s="150" t="s">
        <v>201</v>
      </c>
      <c r="D585" s="150" t="s">
        <v>188</v>
      </c>
      <c r="E585" s="150" t="s">
        <v>741</v>
      </c>
      <c r="F585" s="150" t="s">
        <v>579</v>
      </c>
      <c r="G585" s="151">
        <v>774513.73</v>
      </c>
      <c r="H585" s="158">
        <v>774513.73</v>
      </c>
      <c r="I585" s="158">
        <f t="shared" si="29"/>
        <v>100</v>
      </c>
    </row>
    <row r="586" spans="1:9" ht="47.25" outlineLevel="7">
      <c r="A586" s="149" t="s">
        <v>742</v>
      </c>
      <c r="B586" s="150" t="s">
        <v>18</v>
      </c>
      <c r="C586" s="150" t="s">
        <v>201</v>
      </c>
      <c r="D586" s="150" t="s">
        <v>188</v>
      </c>
      <c r="E586" s="150" t="s">
        <v>743</v>
      </c>
      <c r="F586" s="150" t="s">
        <v>25</v>
      </c>
      <c r="G586" s="151">
        <f>G587</f>
        <v>262900</v>
      </c>
      <c r="H586" s="158">
        <f>H587</f>
        <v>262900</v>
      </c>
      <c r="I586" s="158">
        <f t="shared" si="29"/>
        <v>100</v>
      </c>
    </row>
    <row r="587" spans="1:9" ht="31.5" outlineLevel="7">
      <c r="A587" s="149" t="s">
        <v>612</v>
      </c>
      <c r="B587" s="150" t="s">
        <v>18</v>
      </c>
      <c r="C587" s="150" t="s">
        <v>201</v>
      </c>
      <c r="D587" s="150" t="s">
        <v>188</v>
      </c>
      <c r="E587" s="150" t="s">
        <v>744</v>
      </c>
      <c r="F587" s="150" t="s">
        <v>25</v>
      </c>
      <c r="G587" s="151">
        <f>G588</f>
        <v>262900</v>
      </c>
      <c r="H587" s="158">
        <f>H588</f>
        <v>262900</v>
      </c>
      <c r="I587" s="158">
        <f t="shared" si="29"/>
        <v>100</v>
      </c>
    </row>
    <row r="588" spans="1:9" ht="31.5" outlineLevel="7">
      <c r="A588" s="149" t="s">
        <v>324</v>
      </c>
      <c r="B588" s="150" t="s">
        <v>18</v>
      </c>
      <c r="C588" s="150" t="s">
        <v>201</v>
      </c>
      <c r="D588" s="150" t="s">
        <v>188</v>
      </c>
      <c r="E588" s="150" t="s">
        <v>744</v>
      </c>
      <c r="F588" s="150" t="s">
        <v>325</v>
      </c>
      <c r="G588" s="151">
        <f>262900</f>
        <v>262900</v>
      </c>
      <c r="H588" s="158">
        <f>262900</f>
        <v>262900</v>
      </c>
      <c r="I588" s="158">
        <f t="shared" si="29"/>
        <v>100</v>
      </c>
    </row>
    <row r="589" spans="1:10" s="148" customFormat="1" ht="31.5">
      <c r="A589" s="144" t="s">
        <v>132</v>
      </c>
      <c r="B589" s="145" t="s">
        <v>21</v>
      </c>
      <c r="C589" s="145" t="s">
        <v>189</v>
      </c>
      <c r="D589" s="145" t="s">
        <v>189</v>
      </c>
      <c r="E589" s="145" t="s">
        <v>313</v>
      </c>
      <c r="F589" s="145" t="s">
        <v>25</v>
      </c>
      <c r="G589" s="146">
        <f>G590+G643</f>
        <v>29320259.47</v>
      </c>
      <c r="H589" s="161">
        <f>H590+H643</f>
        <v>24067148.28</v>
      </c>
      <c r="I589" s="161">
        <f t="shared" si="29"/>
        <v>82.08368109642791</v>
      </c>
      <c r="J589" s="147">
        <v>24067148.28</v>
      </c>
    </row>
    <row r="590" spans="1:10" s="148" customFormat="1" ht="15.75" outlineLevel="1">
      <c r="A590" s="144" t="s">
        <v>314</v>
      </c>
      <c r="B590" s="145" t="s">
        <v>21</v>
      </c>
      <c r="C590" s="145" t="s">
        <v>188</v>
      </c>
      <c r="D590" s="145" t="s">
        <v>189</v>
      </c>
      <c r="E590" s="145" t="s">
        <v>313</v>
      </c>
      <c r="F590" s="145" t="s">
        <v>25</v>
      </c>
      <c r="G590" s="146">
        <f>G591+G614+G618</f>
        <v>17794152.66</v>
      </c>
      <c r="H590" s="161">
        <f>H591+H614+H618</f>
        <v>16865739.240000002</v>
      </c>
      <c r="I590" s="161">
        <f t="shared" si="29"/>
        <v>94.7824803027176</v>
      </c>
      <c r="J590" s="147">
        <f>H589-J589</f>
        <v>0</v>
      </c>
    </row>
    <row r="591" spans="1:10" s="148" customFormat="1" ht="78.75" outlineLevel="2">
      <c r="A591" s="144" t="s">
        <v>194</v>
      </c>
      <c r="B591" s="145" t="s">
        <v>21</v>
      </c>
      <c r="C591" s="145" t="s">
        <v>188</v>
      </c>
      <c r="D591" s="145" t="s">
        <v>195</v>
      </c>
      <c r="E591" s="145" t="s">
        <v>313</v>
      </c>
      <c r="F591" s="145" t="s">
        <v>25</v>
      </c>
      <c r="G591" s="146">
        <f>G592+G602</f>
        <v>11061107.18</v>
      </c>
      <c r="H591" s="161">
        <f>H592+H602</f>
        <v>10717682.22</v>
      </c>
      <c r="I591" s="161">
        <f t="shared" si="29"/>
        <v>96.8952026735537</v>
      </c>
      <c r="J591" s="147"/>
    </row>
    <row r="592" spans="1:10" s="148" customFormat="1" ht="78.75" outlineLevel="3">
      <c r="A592" s="144" t="s">
        <v>745</v>
      </c>
      <c r="B592" s="145" t="s">
        <v>21</v>
      </c>
      <c r="C592" s="145" t="s">
        <v>188</v>
      </c>
      <c r="D592" s="145" t="s">
        <v>195</v>
      </c>
      <c r="E592" s="145" t="s">
        <v>746</v>
      </c>
      <c r="F592" s="145" t="s">
        <v>25</v>
      </c>
      <c r="G592" s="146">
        <f>G593</f>
        <v>10960901.5</v>
      </c>
      <c r="H592" s="161">
        <f>H593</f>
        <v>10662421.540000001</v>
      </c>
      <c r="I592" s="161">
        <f t="shared" si="29"/>
        <v>97.27686668838325</v>
      </c>
      <c r="J592" s="147"/>
    </row>
    <row r="593" spans="1:10" s="148" customFormat="1" ht="31.5" outlineLevel="4">
      <c r="A593" s="144" t="s">
        <v>747</v>
      </c>
      <c r="B593" s="145" t="s">
        <v>21</v>
      </c>
      <c r="C593" s="145" t="s">
        <v>188</v>
      </c>
      <c r="D593" s="145" t="s">
        <v>195</v>
      </c>
      <c r="E593" s="145" t="s">
        <v>748</v>
      </c>
      <c r="F593" s="145" t="s">
        <v>25</v>
      </c>
      <c r="G593" s="146">
        <f>G594</f>
        <v>10960901.5</v>
      </c>
      <c r="H593" s="161">
        <f>H594</f>
        <v>10662421.540000001</v>
      </c>
      <c r="I593" s="161">
        <f t="shared" si="29"/>
        <v>97.27686668838325</v>
      </c>
      <c r="J593" s="147"/>
    </row>
    <row r="594" spans="1:9" ht="63" outlineLevel="5">
      <c r="A594" s="149" t="s">
        <v>749</v>
      </c>
      <c r="B594" s="150" t="s">
        <v>21</v>
      </c>
      <c r="C594" s="150" t="s">
        <v>188</v>
      </c>
      <c r="D594" s="150" t="s">
        <v>195</v>
      </c>
      <c r="E594" s="150" t="s">
        <v>750</v>
      </c>
      <c r="F594" s="150" t="s">
        <v>25</v>
      </c>
      <c r="G594" s="151">
        <f>G595+G600+G597</f>
        <v>10960901.5</v>
      </c>
      <c r="H594" s="158">
        <f>H595+H600+H597</f>
        <v>10662421.540000001</v>
      </c>
      <c r="I594" s="158">
        <f t="shared" si="29"/>
        <v>97.27686668838325</v>
      </c>
    </row>
    <row r="595" spans="1:9" ht="31.5" outlineLevel="6">
      <c r="A595" s="149" t="s">
        <v>343</v>
      </c>
      <c r="B595" s="150" t="s">
        <v>21</v>
      </c>
      <c r="C595" s="150" t="s">
        <v>188</v>
      </c>
      <c r="D595" s="150" t="s">
        <v>195</v>
      </c>
      <c r="E595" s="150" t="s">
        <v>751</v>
      </c>
      <c r="F595" s="150" t="s">
        <v>25</v>
      </c>
      <c r="G595" s="151">
        <f>G596</f>
        <v>10682441.98</v>
      </c>
      <c r="H595" s="158">
        <f>H596</f>
        <v>10395005.97</v>
      </c>
      <c r="I595" s="158">
        <f t="shared" si="29"/>
        <v>97.30926682739633</v>
      </c>
    </row>
    <row r="596" spans="1:9" ht="94.5" outlineLevel="7">
      <c r="A596" s="149" t="s">
        <v>323</v>
      </c>
      <c r="B596" s="150" t="s">
        <v>21</v>
      </c>
      <c r="C596" s="150" t="s">
        <v>188</v>
      </c>
      <c r="D596" s="150" t="s">
        <v>195</v>
      </c>
      <c r="E596" s="150" t="s">
        <v>751</v>
      </c>
      <c r="F596" s="150" t="s">
        <v>54</v>
      </c>
      <c r="G596" s="151">
        <f>10373316-700+62431.98+247394</f>
        <v>10682441.98</v>
      </c>
      <c r="H596" s="158">
        <v>10395005.97</v>
      </c>
      <c r="I596" s="158">
        <f t="shared" si="29"/>
        <v>97.30926682739633</v>
      </c>
    </row>
    <row r="597" spans="1:9" ht="42.75" customHeight="1" outlineLevel="7">
      <c r="A597" s="149" t="s">
        <v>321</v>
      </c>
      <c r="B597" s="150" t="s">
        <v>21</v>
      </c>
      <c r="C597" s="150" t="s">
        <v>188</v>
      </c>
      <c r="D597" s="150" t="s">
        <v>195</v>
      </c>
      <c r="E597" s="150" t="s">
        <v>752</v>
      </c>
      <c r="F597" s="150" t="s">
        <v>25</v>
      </c>
      <c r="G597" s="151">
        <f>G598+G599</f>
        <v>2613.52</v>
      </c>
      <c r="H597" s="158">
        <f>H598+H599</f>
        <v>1013.52</v>
      </c>
      <c r="I597" s="158">
        <f t="shared" si="29"/>
        <v>38.77988306957666</v>
      </c>
    </row>
    <row r="598" spans="1:9" ht="94.5" outlineLevel="7">
      <c r="A598" s="149" t="s">
        <v>323</v>
      </c>
      <c r="B598" s="150" t="s">
        <v>21</v>
      </c>
      <c r="C598" s="150" t="s">
        <v>188</v>
      </c>
      <c r="D598" s="150" t="s">
        <v>195</v>
      </c>
      <c r="E598" s="150" t="s">
        <v>752</v>
      </c>
      <c r="F598" s="150" t="s">
        <v>54</v>
      </c>
      <c r="G598" s="151">
        <f>700-86.48</f>
        <v>613.52</v>
      </c>
      <c r="H598" s="158">
        <f>700-86.48</f>
        <v>613.52</v>
      </c>
      <c r="I598" s="158">
        <f t="shared" si="29"/>
        <v>100</v>
      </c>
    </row>
    <row r="599" spans="1:9" ht="31.5" outlineLevel="7">
      <c r="A599" s="149" t="s">
        <v>324</v>
      </c>
      <c r="B599" s="150" t="s">
        <v>21</v>
      </c>
      <c r="C599" s="150" t="s">
        <v>188</v>
      </c>
      <c r="D599" s="150" t="s">
        <v>195</v>
      </c>
      <c r="E599" s="150" t="s">
        <v>752</v>
      </c>
      <c r="F599" s="150" t="s">
        <v>325</v>
      </c>
      <c r="G599" s="151">
        <f>2000</f>
        <v>2000</v>
      </c>
      <c r="H599" s="158">
        <v>400</v>
      </c>
      <c r="I599" s="158">
        <f t="shared" si="29"/>
        <v>20</v>
      </c>
    </row>
    <row r="600" spans="1:9" ht="78.75" outlineLevel="6">
      <c r="A600" s="149" t="s">
        <v>335</v>
      </c>
      <c r="B600" s="150" t="s">
        <v>21</v>
      </c>
      <c r="C600" s="150" t="s">
        <v>188</v>
      </c>
      <c r="D600" s="150" t="s">
        <v>195</v>
      </c>
      <c r="E600" s="150" t="s">
        <v>753</v>
      </c>
      <c r="F600" s="150" t="s">
        <v>25</v>
      </c>
      <c r="G600" s="151">
        <f>G601</f>
        <v>275846</v>
      </c>
      <c r="H600" s="158">
        <f>H601</f>
        <v>266402.05</v>
      </c>
      <c r="I600" s="158">
        <f t="shared" si="29"/>
        <v>96.57636869847667</v>
      </c>
    </row>
    <row r="601" spans="1:9" ht="94.5" outlineLevel="7">
      <c r="A601" s="149" t="s">
        <v>323</v>
      </c>
      <c r="B601" s="150" t="s">
        <v>21</v>
      </c>
      <c r="C601" s="150" t="s">
        <v>188</v>
      </c>
      <c r="D601" s="150" t="s">
        <v>195</v>
      </c>
      <c r="E601" s="150" t="s">
        <v>753</v>
      </c>
      <c r="F601" s="150" t="s">
        <v>54</v>
      </c>
      <c r="G601" s="151">
        <f>369846-2000-63000-29000</f>
        <v>275846</v>
      </c>
      <c r="H601" s="158">
        <v>266402.05</v>
      </c>
      <c r="I601" s="158">
        <f t="shared" si="29"/>
        <v>96.57636869847667</v>
      </c>
    </row>
    <row r="602" spans="1:10" s="148" customFormat="1" ht="63" outlineLevel="3">
      <c r="A602" s="144" t="s">
        <v>315</v>
      </c>
      <c r="B602" s="145" t="s">
        <v>21</v>
      </c>
      <c r="C602" s="145" t="s">
        <v>188</v>
      </c>
      <c r="D602" s="145" t="s">
        <v>195</v>
      </c>
      <c r="E602" s="145" t="s">
        <v>316</v>
      </c>
      <c r="F602" s="145" t="s">
        <v>25</v>
      </c>
      <c r="G602" s="146">
        <f>G603</f>
        <v>100205.68</v>
      </c>
      <c r="H602" s="161">
        <f>H603</f>
        <v>55260.68</v>
      </c>
      <c r="I602" s="161">
        <f t="shared" si="29"/>
        <v>55.14725312976271</v>
      </c>
      <c r="J602" s="147"/>
    </row>
    <row r="603" spans="1:10" s="148" customFormat="1" ht="31.5" outlineLevel="4">
      <c r="A603" s="144" t="s">
        <v>317</v>
      </c>
      <c r="B603" s="145" t="s">
        <v>21</v>
      </c>
      <c r="C603" s="145" t="s">
        <v>188</v>
      </c>
      <c r="D603" s="145" t="s">
        <v>195</v>
      </c>
      <c r="E603" s="145" t="s">
        <v>318</v>
      </c>
      <c r="F603" s="145" t="s">
        <v>25</v>
      </c>
      <c r="G603" s="146">
        <f>G604+G608+G611</f>
        <v>100205.68</v>
      </c>
      <c r="H603" s="161">
        <f>H604+H608+H611</f>
        <v>55260.68</v>
      </c>
      <c r="I603" s="161">
        <f t="shared" si="29"/>
        <v>55.14725312976271</v>
      </c>
      <c r="J603" s="147"/>
    </row>
    <row r="604" spans="1:9" ht="63" outlineLevel="5">
      <c r="A604" s="149" t="s">
        <v>337</v>
      </c>
      <c r="B604" s="150" t="s">
        <v>21</v>
      </c>
      <c r="C604" s="150" t="s">
        <v>188</v>
      </c>
      <c r="D604" s="150" t="s">
        <v>195</v>
      </c>
      <c r="E604" s="150" t="s">
        <v>320</v>
      </c>
      <c r="F604" s="150" t="s">
        <v>25</v>
      </c>
      <c r="G604" s="151">
        <f>G605</f>
        <v>43210</v>
      </c>
      <c r="H604" s="158">
        <f>H605</f>
        <v>40960</v>
      </c>
      <c r="I604" s="158">
        <f t="shared" si="29"/>
        <v>94.79287202036566</v>
      </c>
    </row>
    <row r="605" spans="1:9" ht="31.5" outlineLevel="6">
      <c r="A605" s="149" t="s">
        <v>321</v>
      </c>
      <c r="B605" s="150" t="s">
        <v>21</v>
      </c>
      <c r="C605" s="150" t="s">
        <v>188</v>
      </c>
      <c r="D605" s="150" t="s">
        <v>195</v>
      </c>
      <c r="E605" s="150" t="s">
        <v>322</v>
      </c>
      <c r="F605" s="150" t="s">
        <v>25</v>
      </c>
      <c r="G605" s="151">
        <f>G606+G607</f>
        <v>43210</v>
      </c>
      <c r="H605" s="158">
        <f>H606+H607</f>
        <v>40960</v>
      </c>
      <c r="I605" s="158">
        <f t="shared" si="29"/>
        <v>94.79287202036566</v>
      </c>
    </row>
    <row r="606" spans="1:9" ht="94.5" outlineLevel="7">
      <c r="A606" s="149" t="s">
        <v>323</v>
      </c>
      <c r="B606" s="150" t="s">
        <v>21</v>
      </c>
      <c r="C606" s="150" t="s">
        <v>188</v>
      </c>
      <c r="D606" s="150" t="s">
        <v>195</v>
      </c>
      <c r="E606" s="150" t="s">
        <v>322</v>
      </c>
      <c r="F606" s="150" t="s">
        <v>54</v>
      </c>
      <c r="G606" s="151">
        <f>10000-7540</f>
        <v>2460</v>
      </c>
      <c r="H606" s="158">
        <f>10000-7540</f>
        <v>2460</v>
      </c>
      <c r="I606" s="158">
        <f t="shared" si="29"/>
        <v>100</v>
      </c>
    </row>
    <row r="607" spans="1:9" ht="31.5" outlineLevel="7">
      <c r="A607" s="149" t="s">
        <v>324</v>
      </c>
      <c r="B607" s="150" t="s">
        <v>21</v>
      </c>
      <c r="C607" s="150" t="s">
        <v>188</v>
      </c>
      <c r="D607" s="150" t="s">
        <v>195</v>
      </c>
      <c r="E607" s="150" t="s">
        <v>322</v>
      </c>
      <c r="F607" s="150" t="s">
        <v>325</v>
      </c>
      <c r="G607" s="151">
        <f>85750-45000</f>
        <v>40750</v>
      </c>
      <c r="H607" s="158">
        <v>38500</v>
      </c>
      <c r="I607" s="158">
        <f t="shared" si="29"/>
        <v>94.47852760736197</v>
      </c>
    </row>
    <row r="608" spans="1:9" ht="15.75" outlineLevel="5">
      <c r="A608" s="149" t="s">
        <v>338</v>
      </c>
      <c r="B608" s="150" t="s">
        <v>21</v>
      </c>
      <c r="C608" s="150" t="s">
        <v>188</v>
      </c>
      <c r="D608" s="150" t="s">
        <v>195</v>
      </c>
      <c r="E608" s="150" t="s">
        <v>339</v>
      </c>
      <c r="F608" s="150" t="s">
        <v>25</v>
      </c>
      <c r="G608" s="151">
        <f>G609</f>
        <v>42695</v>
      </c>
      <c r="H608" s="158">
        <f>H609</f>
        <v>0</v>
      </c>
      <c r="I608" s="158">
        <f t="shared" si="29"/>
        <v>0</v>
      </c>
    </row>
    <row r="609" spans="1:9" ht="31.5" outlineLevel="6">
      <c r="A609" s="149" t="s">
        <v>321</v>
      </c>
      <c r="B609" s="150" t="s">
        <v>21</v>
      </c>
      <c r="C609" s="150" t="s">
        <v>188</v>
      </c>
      <c r="D609" s="150" t="s">
        <v>195</v>
      </c>
      <c r="E609" s="150" t="s">
        <v>340</v>
      </c>
      <c r="F609" s="150" t="s">
        <v>25</v>
      </c>
      <c r="G609" s="151">
        <f>G610</f>
        <v>42695</v>
      </c>
      <c r="H609" s="158">
        <f>H610</f>
        <v>0</v>
      </c>
      <c r="I609" s="158">
        <f t="shared" si="29"/>
        <v>0</v>
      </c>
    </row>
    <row r="610" spans="1:9" ht="31.5" outlineLevel="7">
      <c r="A610" s="149" t="s">
        <v>324</v>
      </c>
      <c r="B610" s="150" t="s">
        <v>21</v>
      </c>
      <c r="C610" s="150" t="s">
        <v>188</v>
      </c>
      <c r="D610" s="150" t="s">
        <v>195</v>
      </c>
      <c r="E610" s="150" t="s">
        <v>340</v>
      </c>
      <c r="F610" s="150" t="s">
        <v>325</v>
      </c>
      <c r="G610" s="151">
        <v>42695</v>
      </c>
      <c r="H610" s="158">
        <v>0</v>
      </c>
      <c r="I610" s="158">
        <f t="shared" si="29"/>
        <v>0</v>
      </c>
    </row>
    <row r="611" spans="1:9" ht="47.25" outlineLevel="5">
      <c r="A611" s="149" t="s">
        <v>326</v>
      </c>
      <c r="B611" s="150" t="s">
        <v>21</v>
      </c>
      <c r="C611" s="150" t="s">
        <v>188</v>
      </c>
      <c r="D611" s="150" t="s">
        <v>195</v>
      </c>
      <c r="E611" s="150" t="s">
        <v>327</v>
      </c>
      <c r="F611" s="150" t="s">
        <v>25</v>
      </c>
      <c r="G611" s="151">
        <f>G612</f>
        <v>14300.68</v>
      </c>
      <c r="H611" s="158">
        <f>H612</f>
        <v>14300.68</v>
      </c>
      <c r="I611" s="158">
        <f t="shared" si="29"/>
        <v>100</v>
      </c>
    </row>
    <row r="612" spans="1:9" ht="31.5" outlineLevel="6">
      <c r="A612" s="149" t="s">
        <v>321</v>
      </c>
      <c r="B612" s="150" t="s">
        <v>21</v>
      </c>
      <c r="C612" s="150" t="s">
        <v>188</v>
      </c>
      <c r="D612" s="150" t="s">
        <v>195</v>
      </c>
      <c r="E612" s="150" t="s">
        <v>328</v>
      </c>
      <c r="F612" s="150" t="s">
        <v>25</v>
      </c>
      <c r="G612" s="151">
        <f>G613</f>
        <v>14300.68</v>
      </c>
      <c r="H612" s="158">
        <f>H613</f>
        <v>14300.68</v>
      </c>
      <c r="I612" s="158">
        <f t="shared" si="29"/>
        <v>100</v>
      </c>
    </row>
    <row r="613" spans="1:9" ht="94.5" outlineLevel="7">
      <c r="A613" s="149" t="s">
        <v>323</v>
      </c>
      <c r="B613" s="150" t="s">
        <v>21</v>
      </c>
      <c r="C613" s="150" t="s">
        <v>188</v>
      </c>
      <c r="D613" s="150" t="s">
        <v>195</v>
      </c>
      <c r="E613" s="150" t="s">
        <v>328</v>
      </c>
      <c r="F613" s="150" t="s">
        <v>54</v>
      </c>
      <c r="G613" s="151">
        <f>48500-29000-5199.32</f>
        <v>14300.68</v>
      </c>
      <c r="H613" s="158">
        <f>48500-29000-5199.32</f>
        <v>14300.68</v>
      </c>
      <c r="I613" s="158">
        <f t="shared" si="29"/>
        <v>100</v>
      </c>
    </row>
    <row r="614" spans="1:10" s="148" customFormat="1" ht="15.75" outlineLevel="2">
      <c r="A614" s="144" t="s">
        <v>754</v>
      </c>
      <c r="B614" s="145" t="s">
        <v>21</v>
      </c>
      <c r="C614" s="145" t="s">
        <v>188</v>
      </c>
      <c r="D614" s="145" t="s">
        <v>203</v>
      </c>
      <c r="E614" s="145" t="s">
        <v>313</v>
      </c>
      <c r="F614" s="145" t="s">
        <v>25</v>
      </c>
      <c r="G614" s="146">
        <f>G616</f>
        <v>513310</v>
      </c>
      <c r="H614" s="161">
        <f>H616</f>
        <v>0</v>
      </c>
      <c r="I614" s="161">
        <f t="shared" si="29"/>
        <v>0</v>
      </c>
      <c r="J614" s="147"/>
    </row>
    <row r="615" spans="1:10" s="148" customFormat="1" ht="15.75" outlineLevel="3">
      <c r="A615" s="144" t="s">
        <v>329</v>
      </c>
      <c r="B615" s="145" t="s">
        <v>21</v>
      </c>
      <c r="C615" s="145" t="s">
        <v>188</v>
      </c>
      <c r="D615" s="145" t="s">
        <v>203</v>
      </c>
      <c r="E615" s="145" t="s">
        <v>330</v>
      </c>
      <c r="F615" s="145" t="s">
        <v>25</v>
      </c>
      <c r="G615" s="146">
        <f>G616</f>
        <v>513310</v>
      </c>
      <c r="H615" s="161">
        <f>H616</f>
        <v>0</v>
      </c>
      <c r="I615" s="161">
        <f t="shared" si="29"/>
        <v>0</v>
      </c>
      <c r="J615" s="147"/>
    </row>
    <row r="616" spans="1:9" ht="31.5" outlineLevel="6">
      <c r="A616" s="149" t="s">
        <v>755</v>
      </c>
      <c r="B616" s="150" t="s">
        <v>21</v>
      </c>
      <c r="C616" s="150" t="s">
        <v>188</v>
      </c>
      <c r="D616" s="150" t="s">
        <v>203</v>
      </c>
      <c r="E616" s="150" t="s">
        <v>756</v>
      </c>
      <c r="F616" s="150" t="s">
        <v>25</v>
      </c>
      <c r="G616" s="151">
        <f>G617</f>
        <v>513310</v>
      </c>
      <c r="H616" s="158">
        <f>H617</f>
        <v>0</v>
      </c>
      <c r="I616" s="158">
        <f t="shared" si="29"/>
        <v>0</v>
      </c>
    </row>
    <row r="617" spans="1:9" ht="15.75" outlineLevel="7">
      <c r="A617" s="149" t="s">
        <v>411</v>
      </c>
      <c r="B617" s="150" t="s">
        <v>21</v>
      </c>
      <c r="C617" s="150" t="s">
        <v>188</v>
      </c>
      <c r="D617" s="150" t="s">
        <v>203</v>
      </c>
      <c r="E617" s="150" t="s">
        <v>756</v>
      </c>
      <c r="F617" s="150" t="s">
        <v>293</v>
      </c>
      <c r="G617" s="151">
        <f>1606000-900000-163600-29090</f>
        <v>513310</v>
      </c>
      <c r="H617" s="158">
        <v>0</v>
      </c>
      <c r="I617" s="158">
        <f t="shared" si="29"/>
        <v>0</v>
      </c>
    </row>
    <row r="618" spans="1:10" s="148" customFormat="1" ht="15.75" outlineLevel="2">
      <c r="A618" s="144" t="s">
        <v>204</v>
      </c>
      <c r="B618" s="145" t="s">
        <v>21</v>
      </c>
      <c r="C618" s="145" t="s">
        <v>188</v>
      </c>
      <c r="D618" s="145" t="s">
        <v>205</v>
      </c>
      <c r="E618" s="145" t="s">
        <v>313</v>
      </c>
      <c r="F618" s="145" t="s">
        <v>25</v>
      </c>
      <c r="G618" s="146">
        <f>G619+G634+G639+G627</f>
        <v>6219735.4799999995</v>
      </c>
      <c r="H618" s="161">
        <f>H619+H634+H639+H627</f>
        <v>6148057.02</v>
      </c>
      <c r="I618" s="161">
        <f t="shared" si="29"/>
        <v>98.84756417325966</v>
      </c>
      <c r="J618" s="147"/>
    </row>
    <row r="619" spans="1:10" s="148" customFormat="1" ht="47.25" outlineLevel="3">
      <c r="A619" s="144" t="s">
        <v>347</v>
      </c>
      <c r="B619" s="145" t="s">
        <v>21</v>
      </c>
      <c r="C619" s="145" t="s">
        <v>188</v>
      </c>
      <c r="D619" s="145" t="s">
        <v>205</v>
      </c>
      <c r="E619" s="145" t="s">
        <v>348</v>
      </c>
      <c r="F619" s="145" t="s">
        <v>25</v>
      </c>
      <c r="G619" s="146">
        <f>G620</f>
        <v>895516.39</v>
      </c>
      <c r="H619" s="161">
        <f>H620</f>
        <v>827732</v>
      </c>
      <c r="I619" s="161">
        <f t="shared" si="29"/>
        <v>92.43069241870604</v>
      </c>
      <c r="J619" s="147"/>
    </row>
    <row r="620" spans="1:10" s="148" customFormat="1" ht="47.25" outlineLevel="4">
      <c r="A620" s="144" t="s">
        <v>349</v>
      </c>
      <c r="B620" s="145" t="s">
        <v>21</v>
      </c>
      <c r="C620" s="145" t="s">
        <v>188</v>
      </c>
      <c r="D620" s="145" t="s">
        <v>205</v>
      </c>
      <c r="E620" s="145" t="s">
        <v>350</v>
      </c>
      <c r="F620" s="145" t="s">
        <v>25</v>
      </c>
      <c r="G620" s="146">
        <f>G621+G624</f>
        <v>895516.39</v>
      </c>
      <c r="H620" s="161">
        <f>H621+H624</f>
        <v>827732</v>
      </c>
      <c r="I620" s="161">
        <f t="shared" si="29"/>
        <v>92.43069241870604</v>
      </c>
      <c r="J620" s="147"/>
    </row>
    <row r="621" spans="1:9" ht="47.25" outlineLevel="5">
      <c r="A621" s="149" t="s">
        <v>355</v>
      </c>
      <c r="B621" s="150" t="s">
        <v>21</v>
      </c>
      <c r="C621" s="150" t="s">
        <v>188</v>
      </c>
      <c r="D621" s="150" t="s">
        <v>205</v>
      </c>
      <c r="E621" s="150" t="s">
        <v>356</v>
      </c>
      <c r="F621" s="150" t="s">
        <v>25</v>
      </c>
      <c r="G621" s="151">
        <f>G622</f>
        <v>458428.39</v>
      </c>
      <c r="H621" s="158">
        <f>H622</f>
        <v>390644</v>
      </c>
      <c r="I621" s="158">
        <f t="shared" si="29"/>
        <v>85.21374516093996</v>
      </c>
    </row>
    <row r="622" spans="1:9" ht="31.5" outlineLevel="6">
      <c r="A622" s="149" t="s">
        <v>353</v>
      </c>
      <c r="B622" s="150" t="s">
        <v>21</v>
      </c>
      <c r="C622" s="150" t="s">
        <v>188</v>
      </c>
      <c r="D622" s="150" t="s">
        <v>205</v>
      </c>
      <c r="E622" s="150" t="s">
        <v>357</v>
      </c>
      <c r="F622" s="150" t="s">
        <v>25</v>
      </c>
      <c r="G622" s="151">
        <f>G623</f>
        <v>458428.39</v>
      </c>
      <c r="H622" s="158">
        <f>H623</f>
        <v>390644</v>
      </c>
      <c r="I622" s="158">
        <f t="shared" si="29"/>
        <v>85.21374516093996</v>
      </c>
    </row>
    <row r="623" spans="1:9" ht="31.5" outlineLevel="7">
      <c r="A623" s="149" t="s">
        <v>324</v>
      </c>
      <c r="B623" s="150" t="s">
        <v>21</v>
      </c>
      <c r="C623" s="150" t="s">
        <v>188</v>
      </c>
      <c r="D623" s="150" t="s">
        <v>205</v>
      </c>
      <c r="E623" s="150" t="s">
        <v>357</v>
      </c>
      <c r="F623" s="150" t="s">
        <v>325</v>
      </c>
      <c r="G623" s="151">
        <f>793428.39-335000</f>
        <v>458428.39</v>
      </c>
      <c r="H623" s="158">
        <v>390644</v>
      </c>
      <c r="I623" s="158">
        <f t="shared" si="29"/>
        <v>85.21374516093996</v>
      </c>
    </row>
    <row r="624" spans="1:9" ht="31.5" outlineLevel="7">
      <c r="A624" s="149" t="s">
        <v>757</v>
      </c>
      <c r="B624" s="150" t="s">
        <v>21</v>
      </c>
      <c r="C624" s="150" t="s">
        <v>188</v>
      </c>
      <c r="D624" s="150" t="s">
        <v>205</v>
      </c>
      <c r="E624" s="150" t="s">
        <v>419</v>
      </c>
      <c r="F624" s="150" t="s">
        <v>25</v>
      </c>
      <c r="G624" s="151">
        <f>G625</f>
        <v>437088</v>
      </c>
      <c r="H624" s="158">
        <f>H625</f>
        <v>437088</v>
      </c>
      <c r="I624" s="158">
        <f t="shared" si="29"/>
        <v>100</v>
      </c>
    </row>
    <row r="625" spans="1:9" ht="31.5" outlineLevel="7">
      <c r="A625" s="149" t="s">
        <v>353</v>
      </c>
      <c r="B625" s="150" t="s">
        <v>21</v>
      </c>
      <c r="C625" s="150" t="s">
        <v>188</v>
      </c>
      <c r="D625" s="150" t="s">
        <v>205</v>
      </c>
      <c r="E625" s="150" t="s">
        <v>420</v>
      </c>
      <c r="F625" s="150" t="s">
        <v>25</v>
      </c>
      <c r="G625" s="151">
        <f>G626</f>
        <v>437088</v>
      </c>
      <c r="H625" s="158">
        <f>H626</f>
        <v>437088</v>
      </c>
      <c r="I625" s="158">
        <f t="shared" si="29"/>
        <v>100</v>
      </c>
    </row>
    <row r="626" spans="1:9" ht="31.5" outlineLevel="7">
      <c r="A626" s="149" t="s">
        <v>324</v>
      </c>
      <c r="B626" s="150" t="s">
        <v>21</v>
      </c>
      <c r="C626" s="150" t="s">
        <v>188</v>
      </c>
      <c r="D626" s="150" t="s">
        <v>205</v>
      </c>
      <c r="E626" s="150" t="s">
        <v>420</v>
      </c>
      <c r="F626" s="150" t="s">
        <v>325</v>
      </c>
      <c r="G626" s="151">
        <f>466460-29372</f>
        <v>437088</v>
      </c>
      <c r="H626" s="158">
        <f>466460-29372</f>
        <v>437088</v>
      </c>
      <c r="I626" s="158">
        <f t="shared" si="29"/>
        <v>100</v>
      </c>
    </row>
    <row r="627" spans="1:9" ht="78.75" outlineLevel="7">
      <c r="A627" s="144" t="s">
        <v>745</v>
      </c>
      <c r="B627" s="145" t="s">
        <v>21</v>
      </c>
      <c r="C627" s="145" t="s">
        <v>188</v>
      </c>
      <c r="D627" s="145" t="s">
        <v>205</v>
      </c>
      <c r="E627" s="145" t="s">
        <v>746</v>
      </c>
      <c r="F627" s="145" t="s">
        <v>25</v>
      </c>
      <c r="G627" s="146">
        <f aca="true" t="shared" si="31" ref="G627:H629">G628</f>
        <v>340295.78</v>
      </c>
      <c r="H627" s="161">
        <f t="shared" si="31"/>
        <v>337406.49</v>
      </c>
      <c r="I627" s="161">
        <f t="shared" si="29"/>
        <v>99.15094744930424</v>
      </c>
    </row>
    <row r="628" spans="1:9" ht="78.75" outlineLevel="7">
      <c r="A628" s="144" t="s">
        <v>758</v>
      </c>
      <c r="B628" s="145" t="s">
        <v>21</v>
      </c>
      <c r="C628" s="145" t="s">
        <v>188</v>
      </c>
      <c r="D628" s="145" t="s">
        <v>205</v>
      </c>
      <c r="E628" s="145" t="s">
        <v>759</v>
      </c>
      <c r="F628" s="145" t="s">
        <v>25</v>
      </c>
      <c r="G628" s="146">
        <f t="shared" si="31"/>
        <v>340295.78</v>
      </c>
      <c r="H628" s="161">
        <f t="shared" si="31"/>
        <v>337406.49</v>
      </c>
      <c r="I628" s="161">
        <f t="shared" si="29"/>
        <v>99.15094744930424</v>
      </c>
    </row>
    <row r="629" spans="1:9" ht="94.5" outlineLevel="7">
      <c r="A629" s="149" t="s">
        <v>760</v>
      </c>
      <c r="B629" s="150" t="s">
        <v>21</v>
      </c>
      <c r="C629" s="150" t="s">
        <v>188</v>
      </c>
      <c r="D629" s="150" t="s">
        <v>205</v>
      </c>
      <c r="E629" s="150" t="s">
        <v>761</v>
      </c>
      <c r="F629" s="150" t="s">
        <v>25</v>
      </c>
      <c r="G629" s="151">
        <f t="shared" si="31"/>
        <v>340295.78</v>
      </c>
      <c r="H629" s="158">
        <f t="shared" si="31"/>
        <v>337406.49</v>
      </c>
      <c r="I629" s="158">
        <f t="shared" si="29"/>
        <v>99.15094744930424</v>
      </c>
    </row>
    <row r="630" spans="1:9" ht="78.75" outlineLevel="7">
      <c r="A630" s="149" t="s">
        <v>431</v>
      </c>
      <c r="B630" s="150" t="s">
        <v>21</v>
      </c>
      <c r="C630" s="150" t="s">
        <v>188</v>
      </c>
      <c r="D630" s="150" t="s">
        <v>205</v>
      </c>
      <c r="E630" s="150" t="s">
        <v>762</v>
      </c>
      <c r="F630" s="150" t="s">
        <v>25</v>
      </c>
      <c r="G630" s="151">
        <f>G631+G632+G633</f>
        <v>340295.78</v>
      </c>
      <c r="H630" s="158">
        <f>H631+H632+H633</f>
        <v>337406.49</v>
      </c>
      <c r="I630" s="158">
        <f t="shared" si="29"/>
        <v>99.15094744930424</v>
      </c>
    </row>
    <row r="631" spans="1:9" ht="94.5" outlineLevel="7">
      <c r="A631" s="149" t="s">
        <v>323</v>
      </c>
      <c r="B631" s="150" t="s">
        <v>21</v>
      </c>
      <c r="C631" s="150" t="s">
        <v>188</v>
      </c>
      <c r="D631" s="150" t="s">
        <v>205</v>
      </c>
      <c r="E631" s="150" t="s">
        <v>762</v>
      </c>
      <c r="F631" s="150" t="s">
        <v>54</v>
      </c>
      <c r="G631" s="151">
        <f>201169.85+60753.29-34378.16-10382.2</f>
        <v>217162.78</v>
      </c>
      <c r="H631" s="158">
        <v>217162.72</v>
      </c>
      <c r="I631" s="158">
        <f t="shared" si="29"/>
        <v>99.99997237095602</v>
      </c>
    </row>
    <row r="632" spans="1:9" ht="31.5" outlineLevel="7">
      <c r="A632" s="149" t="s">
        <v>324</v>
      </c>
      <c r="B632" s="150" t="s">
        <v>21</v>
      </c>
      <c r="C632" s="150" t="s">
        <v>188</v>
      </c>
      <c r="D632" s="150" t="s">
        <v>205</v>
      </c>
      <c r="E632" s="150" t="s">
        <v>762</v>
      </c>
      <c r="F632" s="150" t="s">
        <v>325</v>
      </c>
      <c r="G632" s="151">
        <f>163133-4000-40000</f>
        <v>119133</v>
      </c>
      <c r="H632" s="158">
        <f>163133-4000-40000</f>
        <v>119133</v>
      </c>
      <c r="I632" s="158">
        <f t="shared" si="29"/>
        <v>100</v>
      </c>
    </row>
    <row r="633" spans="1:9" ht="15.75" outlineLevel="7">
      <c r="A633" s="149" t="s">
        <v>411</v>
      </c>
      <c r="B633" s="150" t="s">
        <v>21</v>
      </c>
      <c r="C633" s="150" t="s">
        <v>188</v>
      </c>
      <c r="D633" s="150" t="s">
        <v>205</v>
      </c>
      <c r="E633" s="150" t="s">
        <v>762</v>
      </c>
      <c r="F633" s="150" t="s">
        <v>293</v>
      </c>
      <c r="G633" s="151">
        <f>4000</f>
        <v>4000</v>
      </c>
      <c r="H633" s="158">
        <v>1110.77</v>
      </c>
      <c r="I633" s="158">
        <f t="shared" si="29"/>
        <v>27.76925</v>
      </c>
    </row>
    <row r="634" spans="1:10" s="148" customFormat="1" ht="63" outlineLevel="3">
      <c r="A634" s="144" t="s">
        <v>315</v>
      </c>
      <c r="B634" s="145" t="s">
        <v>21</v>
      </c>
      <c r="C634" s="145" t="s">
        <v>188</v>
      </c>
      <c r="D634" s="145" t="s">
        <v>205</v>
      </c>
      <c r="E634" s="145" t="s">
        <v>316</v>
      </c>
      <c r="F634" s="145" t="s">
        <v>25</v>
      </c>
      <c r="G634" s="146">
        <f aca="true" t="shared" si="32" ref="G634:H637">G635</f>
        <v>162000</v>
      </c>
      <c r="H634" s="161">
        <f t="shared" si="32"/>
        <v>161435.64</v>
      </c>
      <c r="I634" s="161">
        <f t="shared" si="29"/>
        <v>99.65162962962964</v>
      </c>
      <c r="J634" s="147"/>
    </row>
    <row r="635" spans="1:10" s="148" customFormat="1" ht="47.25" outlineLevel="4">
      <c r="A635" s="144" t="s">
        <v>358</v>
      </c>
      <c r="B635" s="145" t="s">
        <v>21</v>
      </c>
      <c r="C635" s="145" t="s">
        <v>188</v>
      </c>
      <c r="D635" s="145" t="s">
        <v>205</v>
      </c>
      <c r="E635" s="145" t="s">
        <v>359</v>
      </c>
      <c r="F635" s="145" t="s">
        <v>25</v>
      </c>
      <c r="G635" s="146">
        <f t="shared" si="32"/>
        <v>162000</v>
      </c>
      <c r="H635" s="161">
        <f t="shared" si="32"/>
        <v>161435.64</v>
      </c>
      <c r="I635" s="161">
        <f t="shared" si="29"/>
        <v>99.65162962962964</v>
      </c>
      <c r="J635" s="147"/>
    </row>
    <row r="636" spans="1:9" ht="31.5" outlineLevel="5">
      <c r="A636" s="149" t="s">
        <v>360</v>
      </c>
      <c r="B636" s="150" t="s">
        <v>21</v>
      </c>
      <c r="C636" s="150" t="s">
        <v>188</v>
      </c>
      <c r="D636" s="150" t="s">
        <v>205</v>
      </c>
      <c r="E636" s="150" t="s">
        <v>361</v>
      </c>
      <c r="F636" s="150" t="s">
        <v>25</v>
      </c>
      <c r="G636" s="151">
        <f t="shared" si="32"/>
        <v>162000</v>
      </c>
      <c r="H636" s="158">
        <f t="shared" si="32"/>
        <v>161435.64</v>
      </c>
      <c r="I636" s="158">
        <f t="shared" si="29"/>
        <v>99.65162962962964</v>
      </c>
    </row>
    <row r="637" spans="1:9" ht="31.5" outlineLevel="6">
      <c r="A637" s="149" t="s">
        <v>353</v>
      </c>
      <c r="B637" s="150" t="s">
        <v>21</v>
      </c>
      <c r="C637" s="150" t="s">
        <v>188</v>
      </c>
      <c r="D637" s="150" t="s">
        <v>205</v>
      </c>
      <c r="E637" s="150" t="s">
        <v>362</v>
      </c>
      <c r="F637" s="150" t="s">
        <v>25</v>
      </c>
      <c r="G637" s="151">
        <f t="shared" si="32"/>
        <v>162000</v>
      </c>
      <c r="H637" s="158">
        <f t="shared" si="32"/>
        <v>161435.64</v>
      </c>
      <c r="I637" s="158">
        <f t="shared" si="29"/>
        <v>99.65162962962964</v>
      </c>
    </row>
    <row r="638" spans="1:9" ht="31.5" outlineLevel="7">
      <c r="A638" s="149" t="s">
        <v>324</v>
      </c>
      <c r="B638" s="150" t="s">
        <v>21</v>
      </c>
      <c r="C638" s="150" t="s">
        <v>188</v>
      </c>
      <c r="D638" s="150" t="s">
        <v>205</v>
      </c>
      <c r="E638" s="150" t="s">
        <v>362</v>
      </c>
      <c r="F638" s="150" t="s">
        <v>325</v>
      </c>
      <c r="G638" s="151">
        <v>162000</v>
      </c>
      <c r="H638" s="158">
        <v>161435.64</v>
      </c>
      <c r="I638" s="158">
        <f t="shared" si="29"/>
        <v>99.65162962962964</v>
      </c>
    </row>
    <row r="639" spans="1:9" ht="15.75" outlineLevel="7">
      <c r="A639" s="171" t="s">
        <v>329</v>
      </c>
      <c r="B639" s="172" t="s">
        <v>21</v>
      </c>
      <c r="C639" s="172" t="s">
        <v>188</v>
      </c>
      <c r="D639" s="172" t="s">
        <v>205</v>
      </c>
      <c r="E639" s="172" t="s">
        <v>330</v>
      </c>
      <c r="F639" s="145" t="s">
        <v>25</v>
      </c>
      <c r="G639" s="173">
        <f>G640</f>
        <v>4821923.31</v>
      </c>
      <c r="H639" s="173">
        <f>H640</f>
        <v>4821482.89</v>
      </c>
      <c r="I639" s="161">
        <f aca="true" t="shared" si="33" ref="I639:I649">H639/G639*100</f>
        <v>99.99086630019423</v>
      </c>
    </row>
    <row r="640" spans="1:9" ht="31.5" outlineLevel="7">
      <c r="A640" s="67" t="s">
        <v>460</v>
      </c>
      <c r="B640" s="68" t="s">
        <v>21</v>
      </c>
      <c r="C640" s="68" t="s">
        <v>188</v>
      </c>
      <c r="D640" s="68" t="s">
        <v>205</v>
      </c>
      <c r="E640" s="68" t="s">
        <v>461</v>
      </c>
      <c r="F640" s="68" t="s">
        <v>25</v>
      </c>
      <c r="G640" s="174">
        <f>G642+G641</f>
        <v>4821923.31</v>
      </c>
      <c r="H640" s="174">
        <f>H642+H641</f>
        <v>4821482.89</v>
      </c>
      <c r="I640" s="161">
        <f t="shared" si="33"/>
        <v>99.99086630019423</v>
      </c>
    </row>
    <row r="641" spans="1:9" ht="31.5" outlineLevel="7">
      <c r="A641" s="72" t="s">
        <v>324</v>
      </c>
      <c r="B641" s="73" t="s">
        <v>21</v>
      </c>
      <c r="C641" s="73" t="s">
        <v>188</v>
      </c>
      <c r="D641" s="73" t="s">
        <v>205</v>
      </c>
      <c r="E641" s="73" t="s">
        <v>461</v>
      </c>
      <c r="F641" s="162">
        <v>200</v>
      </c>
      <c r="G641" s="175">
        <f>1409786.41+119068.15+53438.47+84429.39+61496.14</f>
        <v>1728218.5599999996</v>
      </c>
      <c r="H641" s="175">
        <f>1409786.41+119068.15+53438.47+84429.39+61496.14</f>
        <v>1728218.5599999996</v>
      </c>
      <c r="I641" s="158">
        <f t="shared" si="33"/>
        <v>100</v>
      </c>
    </row>
    <row r="642" spans="1:9" ht="15.75" outlineLevel="7">
      <c r="A642" s="176" t="s">
        <v>411</v>
      </c>
      <c r="B642" s="165" t="s">
        <v>21</v>
      </c>
      <c r="C642" s="165" t="s">
        <v>188</v>
      </c>
      <c r="D642" s="165" t="s">
        <v>205</v>
      </c>
      <c r="E642" s="165" t="s">
        <v>461</v>
      </c>
      <c r="F642" s="177">
        <v>800</v>
      </c>
      <c r="G642" s="178">
        <f>3065411.27+25851.48+2442</f>
        <v>3093704.75</v>
      </c>
      <c r="H642" s="178">
        <v>3093264.33</v>
      </c>
      <c r="I642" s="158">
        <f t="shared" si="33"/>
        <v>99.98576399380063</v>
      </c>
    </row>
    <row r="643" spans="1:10" s="148" customFormat="1" ht="31.5" outlineLevel="1">
      <c r="A643" s="144" t="s">
        <v>241</v>
      </c>
      <c r="B643" s="145" t="s">
        <v>21</v>
      </c>
      <c r="C643" s="145" t="s">
        <v>205</v>
      </c>
      <c r="D643" s="145" t="s">
        <v>189</v>
      </c>
      <c r="E643" s="145" t="s">
        <v>313</v>
      </c>
      <c r="F643" s="145" t="s">
        <v>25</v>
      </c>
      <c r="G643" s="146">
        <f aca="true" t="shared" si="34" ref="G643:H648">G644</f>
        <v>11526106.81</v>
      </c>
      <c r="H643" s="161">
        <f t="shared" si="34"/>
        <v>7201409.04</v>
      </c>
      <c r="I643" s="161">
        <f t="shared" si="33"/>
        <v>62.479110758821776</v>
      </c>
      <c r="J643" s="147"/>
    </row>
    <row r="644" spans="1:10" s="148" customFormat="1" ht="31.5" outlineLevel="2">
      <c r="A644" s="144" t="s">
        <v>763</v>
      </c>
      <c r="B644" s="145" t="s">
        <v>21</v>
      </c>
      <c r="C644" s="145" t="s">
        <v>205</v>
      </c>
      <c r="D644" s="145" t="s">
        <v>188</v>
      </c>
      <c r="E644" s="145" t="s">
        <v>313</v>
      </c>
      <c r="F644" s="145" t="s">
        <v>25</v>
      </c>
      <c r="G644" s="146">
        <f t="shared" si="34"/>
        <v>11526106.81</v>
      </c>
      <c r="H644" s="161">
        <f t="shared" si="34"/>
        <v>7201409.04</v>
      </c>
      <c r="I644" s="161">
        <f t="shared" si="33"/>
        <v>62.479110758821776</v>
      </c>
      <c r="J644" s="147"/>
    </row>
    <row r="645" spans="1:10" s="148" customFormat="1" ht="78.75" outlineLevel="3">
      <c r="A645" s="144" t="s">
        <v>745</v>
      </c>
      <c r="B645" s="145" t="s">
        <v>21</v>
      </c>
      <c r="C645" s="145" t="s">
        <v>205</v>
      </c>
      <c r="D645" s="145" t="s">
        <v>188</v>
      </c>
      <c r="E645" s="145" t="s">
        <v>746</v>
      </c>
      <c r="F645" s="145" t="s">
        <v>25</v>
      </c>
      <c r="G645" s="146">
        <f t="shared" si="34"/>
        <v>11526106.81</v>
      </c>
      <c r="H645" s="161">
        <f t="shared" si="34"/>
        <v>7201409.04</v>
      </c>
      <c r="I645" s="161">
        <f t="shared" si="33"/>
        <v>62.479110758821776</v>
      </c>
      <c r="J645" s="147"/>
    </row>
    <row r="646" spans="1:10" s="148" customFormat="1" ht="31.5" outlineLevel="4">
      <c r="A646" s="144" t="s">
        <v>764</v>
      </c>
      <c r="B646" s="145" t="s">
        <v>21</v>
      </c>
      <c r="C646" s="145" t="s">
        <v>205</v>
      </c>
      <c r="D646" s="145" t="s">
        <v>188</v>
      </c>
      <c r="E646" s="145" t="s">
        <v>765</v>
      </c>
      <c r="F646" s="145" t="s">
        <v>25</v>
      </c>
      <c r="G646" s="146">
        <f t="shared" si="34"/>
        <v>11526106.81</v>
      </c>
      <c r="H646" s="161">
        <f t="shared" si="34"/>
        <v>7201409.04</v>
      </c>
      <c r="I646" s="161">
        <f t="shared" si="33"/>
        <v>62.479110758821776</v>
      </c>
      <c r="J646" s="147"/>
    </row>
    <row r="647" spans="1:9" ht="47.25" outlineLevel="5">
      <c r="A647" s="149" t="s">
        <v>766</v>
      </c>
      <c r="B647" s="150" t="s">
        <v>21</v>
      </c>
      <c r="C647" s="150" t="s">
        <v>205</v>
      </c>
      <c r="D647" s="150" t="s">
        <v>188</v>
      </c>
      <c r="E647" s="150" t="s">
        <v>767</v>
      </c>
      <c r="F647" s="150" t="s">
        <v>25</v>
      </c>
      <c r="G647" s="151">
        <f t="shared" si="34"/>
        <v>11526106.81</v>
      </c>
      <c r="H647" s="158">
        <f t="shared" si="34"/>
        <v>7201409.04</v>
      </c>
      <c r="I647" s="158">
        <f t="shared" si="33"/>
        <v>62.479110758821776</v>
      </c>
    </row>
    <row r="648" spans="1:9" ht="15.75" outlineLevel="6">
      <c r="A648" s="149" t="s">
        <v>768</v>
      </c>
      <c r="B648" s="150" t="s">
        <v>21</v>
      </c>
      <c r="C648" s="150" t="s">
        <v>205</v>
      </c>
      <c r="D648" s="150" t="s">
        <v>188</v>
      </c>
      <c r="E648" s="150" t="s">
        <v>769</v>
      </c>
      <c r="F648" s="150" t="s">
        <v>25</v>
      </c>
      <c r="G648" s="151">
        <f t="shared" si="34"/>
        <v>11526106.81</v>
      </c>
      <c r="H648" s="158">
        <f t="shared" si="34"/>
        <v>7201409.04</v>
      </c>
      <c r="I648" s="158">
        <f t="shared" si="33"/>
        <v>62.479110758821776</v>
      </c>
    </row>
    <row r="649" spans="1:9" ht="31.5" outlineLevel="7">
      <c r="A649" s="149" t="s">
        <v>770</v>
      </c>
      <c r="B649" s="150" t="s">
        <v>21</v>
      </c>
      <c r="C649" s="150" t="s">
        <v>205</v>
      </c>
      <c r="D649" s="150" t="s">
        <v>188</v>
      </c>
      <c r="E649" s="150" t="s">
        <v>769</v>
      </c>
      <c r="F649" s="150" t="s">
        <v>261</v>
      </c>
      <c r="G649" s="151">
        <f>11801646.99-275540.18</f>
        <v>11526106.81</v>
      </c>
      <c r="H649" s="158">
        <v>7201409.04</v>
      </c>
      <c r="I649" s="158">
        <f t="shared" si="33"/>
        <v>62.479110758821776</v>
      </c>
    </row>
    <row r="650" spans="1:10" s="148" customFormat="1" ht="31.5">
      <c r="A650" s="144" t="s">
        <v>133</v>
      </c>
      <c r="B650" s="145" t="s">
        <v>22</v>
      </c>
      <c r="C650" s="145" t="s">
        <v>189</v>
      </c>
      <c r="D650" s="145" t="s">
        <v>189</v>
      </c>
      <c r="E650" s="145" t="s">
        <v>313</v>
      </c>
      <c r="F650" s="145" t="s">
        <v>25</v>
      </c>
      <c r="G650" s="146">
        <f>G651+G696+G869</f>
        <v>1403600510.6800003</v>
      </c>
      <c r="H650" s="161">
        <f>H651+H696+H869</f>
        <v>1391821752.6799998</v>
      </c>
      <c r="I650" s="161">
        <f>H650/G650*100</f>
        <v>99.16081834465177</v>
      </c>
      <c r="J650" s="147">
        <v>1391821752.68</v>
      </c>
    </row>
    <row r="651" spans="1:10" s="148" customFormat="1" ht="15.75" outlineLevel="1">
      <c r="A651" s="144" t="s">
        <v>314</v>
      </c>
      <c r="B651" s="145" t="s">
        <v>22</v>
      </c>
      <c r="C651" s="145" t="s">
        <v>188</v>
      </c>
      <c r="D651" s="145" t="s">
        <v>189</v>
      </c>
      <c r="E651" s="145" t="s">
        <v>313</v>
      </c>
      <c r="F651" s="145" t="s">
        <v>25</v>
      </c>
      <c r="G651" s="146">
        <f>G652+G686</f>
        <v>17499398.95</v>
      </c>
      <c r="H651" s="161">
        <f>H652+H686</f>
        <v>17401172.839999996</v>
      </c>
      <c r="I651" s="161">
        <f aca="true" t="shared" si="35" ref="I651:I714">H651/G651*100</f>
        <v>99.43868866421836</v>
      </c>
      <c r="J651" s="147">
        <f>H650-J650</f>
        <v>0</v>
      </c>
    </row>
    <row r="652" spans="1:10" s="148" customFormat="1" ht="78.75" outlineLevel="2">
      <c r="A652" s="144" t="s">
        <v>194</v>
      </c>
      <c r="B652" s="145" t="s">
        <v>22</v>
      </c>
      <c r="C652" s="145" t="s">
        <v>188</v>
      </c>
      <c r="D652" s="145" t="s">
        <v>195</v>
      </c>
      <c r="E652" s="145" t="s">
        <v>313</v>
      </c>
      <c r="F652" s="145" t="s">
        <v>25</v>
      </c>
      <c r="G652" s="146">
        <f>G653+G677</f>
        <v>16641656.659999998</v>
      </c>
      <c r="H652" s="161">
        <f>H653+H677</f>
        <v>16584796.849999998</v>
      </c>
      <c r="I652" s="161">
        <f t="shared" si="35"/>
        <v>99.65832842750164</v>
      </c>
      <c r="J652" s="147"/>
    </row>
    <row r="653" spans="1:10" s="148" customFormat="1" ht="47.25" outlineLevel="3">
      <c r="A653" s="144" t="s">
        <v>734</v>
      </c>
      <c r="B653" s="145" t="s">
        <v>22</v>
      </c>
      <c r="C653" s="145" t="s">
        <v>188</v>
      </c>
      <c r="D653" s="145" t="s">
        <v>195</v>
      </c>
      <c r="E653" s="145" t="s">
        <v>735</v>
      </c>
      <c r="F653" s="145" t="s">
        <v>25</v>
      </c>
      <c r="G653" s="146">
        <f>G654</f>
        <v>16476318.659999998</v>
      </c>
      <c r="H653" s="161">
        <f>H654</f>
        <v>16476117.849999998</v>
      </c>
      <c r="I653" s="161">
        <f t="shared" si="35"/>
        <v>99.99878122046469</v>
      </c>
      <c r="J653" s="147"/>
    </row>
    <row r="654" spans="1:10" s="148" customFormat="1" ht="47.25" outlineLevel="4">
      <c r="A654" s="144" t="s">
        <v>771</v>
      </c>
      <c r="B654" s="145" t="s">
        <v>22</v>
      </c>
      <c r="C654" s="145" t="s">
        <v>188</v>
      </c>
      <c r="D654" s="145" t="s">
        <v>195</v>
      </c>
      <c r="E654" s="145" t="s">
        <v>772</v>
      </c>
      <c r="F654" s="145" t="s">
        <v>25</v>
      </c>
      <c r="G654" s="146">
        <f>G655+G658+G663+G670</f>
        <v>16476318.659999998</v>
      </c>
      <c r="H654" s="161">
        <f>H655+H658+H663+H670</f>
        <v>16476117.849999998</v>
      </c>
      <c r="I654" s="161">
        <f t="shared" si="35"/>
        <v>99.99878122046469</v>
      </c>
      <c r="J654" s="147"/>
    </row>
    <row r="655" spans="1:9" ht="141.75" outlineLevel="5">
      <c r="A655" s="149" t="s">
        <v>773</v>
      </c>
      <c r="B655" s="150" t="s">
        <v>22</v>
      </c>
      <c r="C655" s="150" t="s">
        <v>188</v>
      </c>
      <c r="D655" s="150" t="s">
        <v>195</v>
      </c>
      <c r="E655" s="150" t="s">
        <v>774</v>
      </c>
      <c r="F655" s="150" t="s">
        <v>25</v>
      </c>
      <c r="G655" s="151">
        <f>G656</f>
        <v>484246.3100000001</v>
      </c>
      <c r="H655" s="158">
        <f>H656</f>
        <v>484246.3100000001</v>
      </c>
      <c r="I655" s="158">
        <f t="shared" si="35"/>
        <v>100</v>
      </c>
    </row>
    <row r="656" spans="1:9" ht="31.5" outlineLevel="6">
      <c r="A656" s="149" t="s">
        <v>343</v>
      </c>
      <c r="B656" s="150" t="s">
        <v>22</v>
      </c>
      <c r="C656" s="150" t="s">
        <v>188</v>
      </c>
      <c r="D656" s="150" t="s">
        <v>195</v>
      </c>
      <c r="E656" s="150" t="s">
        <v>775</v>
      </c>
      <c r="F656" s="150" t="s">
        <v>25</v>
      </c>
      <c r="G656" s="151">
        <f>G657</f>
        <v>484246.3100000001</v>
      </c>
      <c r="H656" s="158">
        <f>H657</f>
        <v>484246.3100000001</v>
      </c>
      <c r="I656" s="158">
        <f t="shared" si="35"/>
        <v>100</v>
      </c>
    </row>
    <row r="657" spans="1:9" ht="94.5" outlineLevel="7">
      <c r="A657" s="149" t="s">
        <v>323</v>
      </c>
      <c r="B657" s="150" t="s">
        <v>22</v>
      </c>
      <c r="C657" s="150" t="s">
        <v>188</v>
      </c>
      <c r="D657" s="150" t="s">
        <v>195</v>
      </c>
      <c r="E657" s="150" t="s">
        <v>775</v>
      </c>
      <c r="F657" s="150" t="s">
        <v>54</v>
      </c>
      <c r="G657" s="151">
        <f>1373779.26-688724.44-206231.23+5200.38+222.34</f>
        <v>484246.3100000001</v>
      </c>
      <c r="H657" s="158">
        <f>1373779.26-688724.44-206231.23+5200.38+222.34</f>
        <v>484246.3100000001</v>
      </c>
      <c r="I657" s="158">
        <f t="shared" si="35"/>
        <v>100</v>
      </c>
    </row>
    <row r="658" spans="1:9" ht="78.75" outlineLevel="5">
      <c r="A658" s="149" t="s">
        <v>776</v>
      </c>
      <c r="B658" s="150" t="s">
        <v>22</v>
      </c>
      <c r="C658" s="150" t="s">
        <v>188</v>
      </c>
      <c r="D658" s="150" t="s">
        <v>195</v>
      </c>
      <c r="E658" s="150" t="s">
        <v>777</v>
      </c>
      <c r="F658" s="150" t="s">
        <v>25</v>
      </c>
      <c r="G658" s="151">
        <f>G659+G661</f>
        <v>2897595.5199999996</v>
      </c>
      <c r="H658" s="158">
        <f>H659+H661</f>
        <v>2897595.5199999996</v>
      </c>
      <c r="I658" s="158">
        <f t="shared" si="35"/>
        <v>100</v>
      </c>
    </row>
    <row r="659" spans="1:9" ht="31.5" outlineLevel="6">
      <c r="A659" s="149" t="s">
        <v>343</v>
      </c>
      <c r="B659" s="150" t="s">
        <v>22</v>
      </c>
      <c r="C659" s="150" t="s">
        <v>188</v>
      </c>
      <c r="D659" s="150" t="s">
        <v>195</v>
      </c>
      <c r="E659" s="150" t="s">
        <v>778</v>
      </c>
      <c r="F659" s="150" t="s">
        <v>25</v>
      </c>
      <c r="G659" s="151">
        <f>G660</f>
        <v>2869995.5199999996</v>
      </c>
      <c r="H659" s="158">
        <f>H660</f>
        <v>2869995.5199999996</v>
      </c>
      <c r="I659" s="158">
        <f t="shared" si="35"/>
        <v>100</v>
      </c>
    </row>
    <row r="660" spans="1:9" ht="94.5" outlineLevel="7">
      <c r="A660" s="156" t="s">
        <v>323</v>
      </c>
      <c r="B660" s="157" t="s">
        <v>22</v>
      </c>
      <c r="C660" s="157" t="s">
        <v>188</v>
      </c>
      <c r="D660" s="157" t="s">
        <v>195</v>
      </c>
      <c r="E660" s="157" t="s">
        <v>778</v>
      </c>
      <c r="F660" s="157" t="s">
        <v>54</v>
      </c>
      <c r="G660" s="158">
        <f>2099094.82+597793.03+173107.67</f>
        <v>2869995.5199999996</v>
      </c>
      <c r="H660" s="158">
        <f>2099094.82+597793.03+173107.67</f>
        <v>2869995.5199999996</v>
      </c>
      <c r="I660" s="158">
        <f t="shared" si="35"/>
        <v>100</v>
      </c>
    </row>
    <row r="661" spans="1:9" ht="78.75" outlineLevel="6">
      <c r="A661" s="149" t="s">
        <v>335</v>
      </c>
      <c r="B661" s="150" t="s">
        <v>22</v>
      </c>
      <c r="C661" s="150" t="s">
        <v>188</v>
      </c>
      <c r="D661" s="150" t="s">
        <v>195</v>
      </c>
      <c r="E661" s="150" t="s">
        <v>779</v>
      </c>
      <c r="F661" s="150" t="s">
        <v>25</v>
      </c>
      <c r="G661" s="151">
        <f>G662</f>
        <v>27600</v>
      </c>
      <c r="H661" s="158">
        <f>H662</f>
        <v>27600</v>
      </c>
      <c r="I661" s="158">
        <f t="shared" si="35"/>
        <v>100</v>
      </c>
    </row>
    <row r="662" spans="1:9" ht="94.5" outlineLevel="7">
      <c r="A662" s="149" t="s">
        <v>323</v>
      </c>
      <c r="B662" s="150" t="s">
        <v>22</v>
      </c>
      <c r="C662" s="150" t="s">
        <v>188</v>
      </c>
      <c r="D662" s="150" t="s">
        <v>195</v>
      </c>
      <c r="E662" s="150" t="s">
        <v>779</v>
      </c>
      <c r="F662" s="150" t="s">
        <v>54</v>
      </c>
      <c r="G662" s="151">
        <f>25000+2600</f>
        <v>27600</v>
      </c>
      <c r="H662" s="158">
        <f>25000+2600</f>
        <v>27600</v>
      </c>
      <c r="I662" s="158">
        <f t="shared" si="35"/>
        <v>100</v>
      </c>
    </row>
    <row r="663" spans="1:9" ht="126" outlineLevel="5">
      <c r="A663" s="149" t="s">
        <v>780</v>
      </c>
      <c r="B663" s="150" t="s">
        <v>22</v>
      </c>
      <c r="C663" s="150" t="s">
        <v>188</v>
      </c>
      <c r="D663" s="150" t="s">
        <v>195</v>
      </c>
      <c r="E663" s="150" t="s">
        <v>781</v>
      </c>
      <c r="F663" s="150" t="s">
        <v>25</v>
      </c>
      <c r="G663" s="151">
        <f>G664+G666+G668</f>
        <v>6074534.6</v>
      </c>
      <c r="H663" s="158">
        <f>H664+H666+H668</f>
        <v>6074534.6</v>
      </c>
      <c r="I663" s="158">
        <f t="shared" si="35"/>
        <v>100</v>
      </c>
    </row>
    <row r="664" spans="1:9" ht="31.5" outlineLevel="6">
      <c r="A664" s="149" t="s">
        <v>343</v>
      </c>
      <c r="B664" s="150" t="s">
        <v>22</v>
      </c>
      <c r="C664" s="150" t="s">
        <v>188</v>
      </c>
      <c r="D664" s="150" t="s">
        <v>195</v>
      </c>
      <c r="E664" s="150" t="s">
        <v>782</v>
      </c>
      <c r="F664" s="150" t="s">
        <v>25</v>
      </c>
      <c r="G664" s="151">
        <f>G665</f>
        <v>5934097.8</v>
      </c>
      <c r="H664" s="158">
        <f>H665</f>
        <v>5934097.8</v>
      </c>
      <c r="I664" s="158">
        <f t="shared" si="35"/>
        <v>100</v>
      </c>
    </row>
    <row r="665" spans="1:9" ht="94.5" outlineLevel="7">
      <c r="A665" s="149" t="s">
        <v>323</v>
      </c>
      <c r="B665" s="150" t="s">
        <v>22</v>
      </c>
      <c r="C665" s="150" t="s">
        <v>188</v>
      </c>
      <c r="D665" s="150" t="s">
        <v>195</v>
      </c>
      <c r="E665" s="150" t="s">
        <v>782</v>
      </c>
      <c r="F665" s="150" t="s">
        <v>54</v>
      </c>
      <c r="G665" s="151">
        <f>5841197.31+84089.46+15318.71-6507.68</f>
        <v>5934097.8</v>
      </c>
      <c r="H665" s="158">
        <f>5841197.31+84089.46+15318.71-6507.68</f>
        <v>5934097.8</v>
      </c>
      <c r="I665" s="158">
        <f t="shared" si="35"/>
        <v>100</v>
      </c>
    </row>
    <row r="666" spans="1:9" ht="31.5" outlineLevel="6">
      <c r="A666" s="149" t="s">
        <v>321</v>
      </c>
      <c r="B666" s="150" t="s">
        <v>22</v>
      </c>
      <c r="C666" s="150" t="s">
        <v>188</v>
      </c>
      <c r="D666" s="150" t="s">
        <v>195</v>
      </c>
      <c r="E666" s="150" t="s">
        <v>783</v>
      </c>
      <c r="F666" s="150" t="s">
        <v>25</v>
      </c>
      <c r="G666" s="151">
        <f>G667</f>
        <v>900</v>
      </c>
      <c r="H666" s="158">
        <f>H667</f>
        <v>900</v>
      </c>
      <c r="I666" s="158">
        <f t="shared" si="35"/>
        <v>100</v>
      </c>
    </row>
    <row r="667" spans="1:9" ht="94.5" outlineLevel="7">
      <c r="A667" s="149" t="s">
        <v>323</v>
      </c>
      <c r="B667" s="150" t="s">
        <v>22</v>
      </c>
      <c r="C667" s="150" t="s">
        <v>188</v>
      </c>
      <c r="D667" s="150" t="s">
        <v>195</v>
      </c>
      <c r="E667" s="150" t="s">
        <v>783</v>
      </c>
      <c r="F667" s="150" t="s">
        <v>54</v>
      </c>
      <c r="G667" s="151">
        <v>900</v>
      </c>
      <c r="H667" s="158">
        <v>900</v>
      </c>
      <c r="I667" s="158">
        <f t="shared" si="35"/>
        <v>100</v>
      </c>
    </row>
    <row r="668" spans="1:9" ht="78.75" outlineLevel="6">
      <c r="A668" s="149" t="s">
        <v>335</v>
      </c>
      <c r="B668" s="150" t="s">
        <v>22</v>
      </c>
      <c r="C668" s="150" t="s">
        <v>188</v>
      </c>
      <c r="D668" s="150" t="s">
        <v>195</v>
      </c>
      <c r="E668" s="150" t="s">
        <v>784</v>
      </c>
      <c r="F668" s="150" t="s">
        <v>25</v>
      </c>
      <c r="G668" s="151">
        <f>G669</f>
        <v>139536.8</v>
      </c>
      <c r="H668" s="158">
        <f>H669</f>
        <v>139536.8</v>
      </c>
      <c r="I668" s="158">
        <f t="shared" si="35"/>
        <v>100</v>
      </c>
    </row>
    <row r="669" spans="1:9" ht="94.5" outlineLevel="7">
      <c r="A669" s="149" t="s">
        <v>323</v>
      </c>
      <c r="B669" s="150" t="s">
        <v>22</v>
      </c>
      <c r="C669" s="150" t="s">
        <v>188</v>
      </c>
      <c r="D669" s="150" t="s">
        <v>195</v>
      </c>
      <c r="E669" s="150" t="s">
        <v>784</v>
      </c>
      <c r="F669" s="150" t="s">
        <v>54</v>
      </c>
      <c r="G669" s="151">
        <f>60482+72547.12+6507.68</f>
        <v>139536.8</v>
      </c>
      <c r="H669" s="158">
        <f>60482+72547.12+6507.68</f>
        <v>139536.8</v>
      </c>
      <c r="I669" s="158">
        <f t="shared" si="35"/>
        <v>100</v>
      </c>
    </row>
    <row r="670" spans="1:9" ht="157.5" outlineLevel="5">
      <c r="A670" s="149" t="s">
        <v>785</v>
      </c>
      <c r="B670" s="150" t="s">
        <v>22</v>
      </c>
      <c r="C670" s="150" t="s">
        <v>188</v>
      </c>
      <c r="D670" s="150" t="s">
        <v>195</v>
      </c>
      <c r="E670" s="150" t="s">
        <v>786</v>
      </c>
      <c r="F670" s="150" t="s">
        <v>25</v>
      </c>
      <c r="G670" s="151">
        <f>G671+G673+G675</f>
        <v>7019942.229999999</v>
      </c>
      <c r="H670" s="158">
        <f>H671+H673+H675</f>
        <v>7019741.419999999</v>
      </c>
      <c r="I670" s="158">
        <f t="shared" si="35"/>
        <v>99.99713943514888</v>
      </c>
    </row>
    <row r="671" spans="1:9" ht="31.5" outlineLevel="6">
      <c r="A671" s="149" t="s">
        <v>343</v>
      </c>
      <c r="B671" s="150" t="s">
        <v>22</v>
      </c>
      <c r="C671" s="150" t="s">
        <v>188</v>
      </c>
      <c r="D671" s="150" t="s">
        <v>195</v>
      </c>
      <c r="E671" s="150" t="s">
        <v>787</v>
      </c>
      <c r="F671" s="150" t="s">
        <v>25</v>
      </c>
      <c r="G671" s="151">
        <f>G672</f>
        <v>6884130.259999999</v>
      </c>
      <c r="H671" s="158">
        <f>H672</f>
        <v>6884130.259999999</v>
      </c>
      <c r="I671" s="158">
        <f t="shared" si="35"/>
        <v>100</v>
      </c>
    </row>
    <row r="672" spans="1:9" ht="94.5" outlineLevel="7">
      <c r="A672" s="149" t="s">
        <v>323</v>
      </c>
      <c r="B672" s="150" t="s">
        <v>22</v>
      </c>
      <c r="C672" s="150" t="s">
        <v>188</v>
      </c>
      <c r="D672" s="150" t="s">
        <v>195</v>
      </c>
      <c r="E672" s="150" t="s">
        <v>787</v>
      </c>
      <c r="F672" s="150" t="s">
        <v>54</v>
      </c>
      <c r="G672" s="151">
        <f>7012233.27-69200-20900.32-38002.69</f>
        <v>6884130.259999999</v>
      </c>
      <c r="H672" s="158">
        <f>7012233.27-69200-20900.32-38002.69</f>
        <v>6884130.259999999</v>
      </c>
      <c r="I672" s="158">
        <f t="shared" si="35"/>
        <v>100</v>
      </c>
    </row>
    <row r="673" spans="1:9" ht="31.5" outlineLevel="6">
      <c r="A673" s="149" t="s">
        <v>321</v>
      </c>
      <c r="B673" s="150" t="s">
        <v>22</v>
      </c>
      <c r="C673" s="150" t="s">
        <v>188</v>
      </c>
      <c r="D673" s="150" t="s">
        <v>195</v>
      </c>
      <c r="E673" s="150" t="s">
        <v>788</v>
      </c>
      <c r="F673" s="150" t="s">
        <v>25</v>
      </c>
      <c r="G673" s="151">
        <f>G674</f>
        <v>975</v>
      </c>
      <c r="H673" s="158">
        <f>H674</f>
        <v>774.19</v>
      </c>
      <c r="I673" s="158">
        <f t="shared" si="35"/>
        <v>79.40410256410257</v>
      </c>
    </row>
    <row r="674" spans="1:9" ht="94.5" outlineLevel="7">
      <c r="A674" s="149" t="s">
        <v>323</v>
      </c>
      <c r="B674" s="150" t="s">
        <v>22</v>
      </c>
      <c r="C674" s="150" t="s">
        <v>188</v>
      </c>
      <c r="D674" s="150" t="s">
        <v>195</v>
      </c>
      <c r="E674" s="150" t="s">
        <v>788</v>
      </c>
      <c r="F674" s="150" t="s">
        <v>54</v>
      </c>
      <c r="G674" s="151">
        <f>2250-1275</f>
        <v>975</v>
      </c>
      <c r="H674" s="158">
        <v>774.19</v>
      </c>
      <c r="I674" s="158">
        <f t="shared" si="35"/>
        <v>79.40410256410257</v>
      </c>
    </row>
    <row r="675" spans="1:9" ht="78.75" outlineLevel="6">
      <c r="A675" s="149" t="s">
        <v>335</v>
      </c>
      <c r="B675" s="150" t="s">
        <v>22</v>
      </c>
      <c r="C675" s="150" t="s">
        <v>188</v>
      </c>
      <c r="D675" s="150" t="s">
        <v>195</v>
      </c>
      <c r="E675" s="150" t="s">
        <v>789</v>
      </c>
      <c r="F675" s="150" t="s">
        <v>25</v>
      </c>
      <c r="G675" s="151">
        <f>G676</f>
        <v>134836.97</v>
      </c>
      <c r="H675" s="158">
        <f>H676</f>
        <v>134836.97</v>
      </c>
      <c r="I675" s="158">
        <f t="shared" si="35"/>
        <v>100</v>
      </c>
    </row>
    <row r="676" spans="1:9" ht="94.5" outlineLevel="7">
      <c r="A676" s="149" t="s">
        <v>323</v>
      </c>
      <c r="B676" s="150" t="s">
        <v>22</v>
      </c>
      <c r="C676" s="150" t="s">
        <v>188</v>
      </c>
      <c r="D676" s="150" t="s">
        <v>195</v>
      </c>
      <c r="E676" s="150" t="s">
        <v>789</v>
      </c>
      <c r="F676" s="150" t="s">
        <v>54</v>
      </c>
      <c r="G676" s="151">
        <f>61382+39600+33854.97</f>
        <v>134836.97</v>
      </c>
      <c r="H676" s="158">
        <f>61382+39600+33854.97</f>
        <v>134836.97</v>
      </c>
      <c r="I676" s="158">
        <f t="shared" si="35"/>
        <v>100</v>
      </c>
    </row>
    <row r="677" spans="1:10" s="148" customFormat="1" ht="63" outlineLevel="3">
      <c r="A677" s="144" t="s">
        <v>315</v>
      </c>
      <c r="B677" s="145" t="s">
        <v>22</v>
      </c>
      <c r="C677" s="145" t="s">
        <v>188</v>
      </c>
      <c r="D677" s="145" t="s">
        <v>195</v>
      </c>
      <c r="E677" s="145" t="s">
        <v>316</v>
      </c>
      <c r="F677" s="145" t="s">
        <v>25</v>
      </c>
      <c r="G677" s="146">
        <f>G678</f>
        <v>165338</v>
      </c>
      <c r="H677" s="161">
        <f>H678</f>
        <v>108679</v>
      </c>
      <c r="I677" s="161">
        <f t="shared" si="35"/>
        <v>65.73141080695302</v>
      </c>
      <c r="J677" s="147"/>
    </row>
    <row r="678" spans="1:10" s="148" customFormat="1" ht="31.5" outlineLevel="4">
      <c r="A678" s="144" t="s">
        <v>317</v>
      </c>
      <c r="B678" s="145" t="s">
        <v>22</v>
      </c>
      <c r="C678" s="145" t="s">
        <v>188</v>
      </c>
      <c r="D678" s="145" t="s">
        <v>195</v>
      </c>
      <c r="E678" s="145" t="s">
        <v>318</v>
      </c>
      <c r="F678" s="145" t="s">
        <v>25</v>
      </c>
      <c r="G678" s="146">
        <f>G679+G683</f>
        <v>165338</v>
      </c>
      <c r="H678" s="161">
        <f>H679+H683</f>
        <v>108679</v>
      </c>
      <c r="I678" s="161">
        <f t="shared" si="35"/>
        <v>65.73141080695302</v>
      </c>
      <c r="J678" s="147"/>
    </row>
    <row r="679" spans="1:9" ht="63" outlineLevel="5">
      <c r="A679" s="149" t="s">
        <v>337</v>
      </c>
      <c r="B679" s="150" t="s">
        <v>22</v>
      </c>
      <c r="C679" s="150" t="s">
        <v>188</v>
      </c>
      <c r="D679" s="150" t="s">
        <v>195</v>
      </c>
      <c r="E679" s="150" t="s">
        <v>320</v>
      </c>
      <c r="F679" s="150" t="s">
        <v>25</v>
      </c>
      <c r="G679" s="151">
        <f>G680</f>
        <v>100845.08</v>
      </c>
      <c r="H679" s="158">
        <f>H680</f>
        <v>54360</v>
      </c>
      <c r="I679" s="158">
        <f t="shared" si="35"/>
        <v>53.90446415432463</v>
      </c>
    </row>
    <row r="680" spans="1:9" ht="31.5" outlineLevel="6">
      <c r="A680" s="149" t="s">
        <v>321</v>
      </c>
      <c r="B680" s="150" t="s">
        <v>22</v>
      </c>
      <c r="C680" s="150" t="s">
        <v>188</v>
      </c>
      <c r="D680" s="150" t="s">
        <v>195</v>
      </c>
      <c r="E680" s="150" t="s">
        <v>322</v>
      </c>
      <c r="F680" s="150" t="s">
        <v>25</v>
      </c>
      <c r="G680" s="151">
        <f>G681+G682</f>
        <v>100845.08</v>
      </c>
      <c r="H680" s="158">
        <f>H681+H682</f>
        <v>54360</v>
      </c>
      <c r="I680" s="158">
        <f t="shared" si="35"/>
        <v>53.90446415432463</v>
      </c>
    </row>
    <row r="681" spans="1:9" ht="94.5" outlineLevel="7">
      <c r="A681" s="149" t="s">
        <v>323</v>
      </c>
      <c r="B681" s="150" t="s">
        <v>22</v>
      </c>
      <c r="C681" s="150" t="s">
        <v>188</v>
      </c>
      <c r="D681" s="150" t="s">
        <v>195</v>
      </c>
      <c r="E681" s="150" t="s">
        <v>322</v>
      </c>
      <c r="F681" s="150" t="s">
        <v>54</v>
      </c>
      <c r="G681" s="151">
        <v>63300</v>
      </c>
      <c r="H681" s="158">
        <v>19810</v>
      </c>
      <c r="I681" s="158">
        <f t="shared" si="35"/>
        <v>31.295418641390206</v>
      </c>
    </row>
    <row r="682" spans="1:9" ht="31.5" outlineLevel="7">
      <c r="A682" s="149" t="s">
        <v>324</v>
      </c>
      <c r="B682" s="150" t="s">
        <v>22</v>
      </c>
      <c r="C682" s="150" t="s">
        <v>188</v>
      </c>
      <c r="D682" s="150" t="s">
        <v>195</v>
      </c>
      <c r="E682" s="150" t="s">
        <v>322</v>
      </c>
      <c r="F682" s="150" t="s">
        <v>325</v>
      </c>
      <c r="G682" s="151">
        <v>37545.08</v>
      </c>
      <c r="H682" s="158">
        <v>34550</v>
      </c>
      <c r="I682" s="158">
        <f t="shared" si="35"/>
        <v>92.02270976649936</v>
      </c>
    </row>
    <row r="683" spans="1:9" ht="15.75" outlineLevel="5">
      <c r="A683" s="149" t="s">
        <v>338</v>
      </c>
      <c r="B683" s="150" t="s">
        <v>22</v>
      </c>
      <c r="C683" s="150" t="s">
        <v>188</v>
      </c>
      <c r="D683" s="150" t="s">
        <v>195</v>
      </c>
      <c r="E683" s="150" t="s">
        <v>339</v>
      </c>
      <c r="F683" s="150" t="s">
        <v>25</v>
      </c>
      <c r="G683" s="151">
        <f>G684</f>
        <v>64492.92</v>
      </c>
      <c r="H683" s="158">
        <f>H684</f>
        <v>54319</v>
      </c>
      <c r="I683" s="158">
        <f t="shared" si="35"/>
        <v>84.2247490112093</v>
      </c>
    </row>
    <row r="684" spans="1:9" ht="31.5" outlineLevel="6">
      <c r="A684" s="149" t="s">
        <v>321</v>
      </c>
      <c r="B684" s="150" t="s">
        <v>22</v>
      </c>
      <c r="C684" s="150" t="s">
        <v>188</v>
      </c>
      <c r="D684" s="150" t="s">
        <v>195</v>
      </c>
      <c r="E684" s="150" t="s">
        <v>340</v>
      </c>
      <c r="F684" s="150" t="s">
        <v>25</v>
      </c>
      <c r="G684" s="151">
        <f>G685</f>
        <v>64492.92</v>
      </c>
      <c r="H684" s="158">
        <f>H685</f>
        <v>54319</v>
      </c>
      <c r="I684" s="158">
        <f t="shared" si="35"/>
        <v>84.2247490112093</v>
      </c>
    </row>
    <row r="685" spans="1:9" ht="31.5" outlineLevel="7">
      <c r="A685" s="149" t="s">
        <v>324</v>
      </c>
      <c r="B685" s="150" t="s">
        <v>22</v>
      </c>
      <c r="C685" s="150" t="s">
        <v>188</v>
      </c>
      <c r="D685" s="150" t="s">
        <v>195</v>
      </c>
      <c r="E685" s="150" t="s">
        <v>340</v>
      </c>
      <c r="F685" s="150" t="s">
        <v>325</v>
      </c>
      <c r="G685" s="151">
        <v>64492.92</v>
      </c>
      <c r="H685" s="158">
        <v>54319</v>
      </c>
      <c r="I685" s="158">
        <f t="shared" si="35"/>
        <v>84.2247490112093</v>
      </c>
    </row>
    <row r="686" spans="1:10" s="148" customFormat="1" ht="15.75" outlineLevel="2">
      <c r="A686" s="144" t="s">
        <v>204</v>
      </c>
      <c r="B686" s="145" t="s">
        <v>22</v>
      </c>
      <c r="C686" s="145" t="s">
        <v>188</v>
      </c>
      <c r="D686" s="145" t="s">
        <v>205</v>
      </c>
      <c r="E686" s="145" t="s">
        <v>313</v>
      </c>
      <c r="F686" s="145" t="s">
        <v>25</v>
      </c>
      <c r="G686" s="146">
        <f>G687+G692</f>
        <v>857742.29</v>
      </c>
      <c r="H686" s="161">
        <f>H687+H692</f>
        <v>816375.99</v>
      </c>
      <c r="I686" s="161">
        <f t="shared" si="35"/>
        <v>95.17730436259589</v>
      </c>
      <c r="J686" s="147"/>
    </row>
    <row r="687" spans="1:10" s="148" customFormat="1" ht="47.25" outlineLevel="3">
      <c r="A687" s="144" t="s">
        <v>347</v>
      </c>
      <c r="B687" s="145" t="s">
        <v>22</v>
      </c>
      <c r="C687" s="145" t="s">
        <v>188</v>
      </c>
      <c r="D687" s="145" t="s">
        <v>205</v>
      </c>
      <c r="E687" s="145" t="s">
        <v>348</v>
      </c>
      <c r="F687" s="145" t="s">
        <v>25</v>
      </c>
      <c r="G687" s="146">
        <f aca="true" t="shared" si="36" ref="G687:H690">G688</f>
        <v>837822.0700000001</v>
      </c>
      <c r="H687" s="161">
        <f t="shared" si="36"/>
        <v>796455.77</v>
      </c>
      <c r="I687" s="161">
        <f t="shared" si="35"/>
        <v>95.06263901594284</v>
      </c>
      <c r="J687" s="147"/>
    </row>
    <row r="688" spans="1:10" s="148" customFormat="1" ht="47.25" outlineLevel="4">
      <c r="A688" s="144" t="s">
        <v>349</v>
      </c>
      <c r="B688" s="145" t="s">
        <v>22</v>
      </c>
      <c r="C688" s="145" t="s">
        <v>188</v>
      </c>
      <c r="D688" s="145" t="s">
        <v>205</v>
      </c>
      <c r="E688" s="145" t="s">
        <v>350</v>
      </c>
      <c r="F688" s="145" t="s">
        <v>25</v>
      </c>
      <c r="G688" s="146">
        <f t="shared" si="36"/>
        <v>837822.0700000001</v>
      </c>
      <c r="H688" s="161">
        <f t="shared" si="36"/>
        <v>796455.77</v>
      </c>
      <c r="I688" s="161">
        <f t="shared" si="35"/>
        <v>95.06263901594284</v>
      </c>
      <c r="J688" s="147"/>
    </row>
    <row r="689" spans="1:9" ht="47.25" outlineLevel="5">
      <c r="A689" s="149" t="s">
        <v>355</v>
      </c>
      <c r="B689" s="150" t="s">
        <v>22</v>
      </c>
      <c r="C689" s="150" t="s">
        <v>188</v>
      </c>
      <c r="D689" s="150" t="s">
        <v>205</v>
      </c>
      <c r="E689" s="150" t="s">
        <v>356</v>
      </c>
      <c r="F689" s="150" t="s">
        <v>25</v>
      </c>
      <c r="G689" s="151">
        <f t="shared" si="36"/>
        <v>837822.0700000001</v>
      </c>
      <c r="H689" s="158">
        <f t="shared" si="36"/>
        <v>796455.77</v>
      </c>
      <c r="I689" s="158">
        <f t="shared" si="35"/>
        <v>95.06263901594284</v>
      </c>
    </row>
    <row r="690" spans="1:9" ht="31.5" outlineLevel="6">
      <c r="A690" s="149" t="s">
        <v>353</v>
      </c>
      <c r="B690" s="150" t="s">
        <v>22</v>
      </c>
      <c r="C690" s="150" t="s">
        <v>188</v>
      </c>
      <c r="D690" s="150" t="s">
        <v>205</v>
      </c>
      <c r="E690" s="150" t="s">
        <v>357</v>
      </c>
      <c r="F690" s="150" t="s">
        <v>25</v>
      </c>
      <c r="G690" s="151">
        <f t="shared" si="36"/>
        <v>837822.0700000001</v>
      </c>
      <c r="H690" s="158">
        <f t="shared" si="36"/>
        <v>796455.77</v>
      </c>
      <c r="I690" s="158">
        <f t="shared" si="35"/>
        <v>95.06263901594284</v>
      </c>
    </row>
    <row r="691" spans="1:9" ht="31.5" outlineLevel="7">
      <c r="A691" s="149" t="s">
        <v>324</v>
      </c>
      <c r="B691" s="150" t="s">
        <v>22</v>
      </c>
      <c r="C691" s="150" t="s">
        <v>188</v>
      </c>
      <c r="D691" s="150" t="s">
        <v>205</v>
      </c>
      <c r="E691" s="150" t="s">
        <v>357</v>
      </c>
      <c r="F691" s="150" t="s">
        <v>325</v>
      </c>
      <c r="G691" s="151">
        <f>857742.29-19920.22</f>
        <v>837822.0700000001</v>
      </c>
      <c r="H691" s="158">
        <v>796455.77</v>
      </c>
      <c r="I691" s="158">
        <f t="shared" si="35"/>
        <v>95.06263901594284</v>
      </c>
    </row>
    <row r="692" spans="1:9" ht="15.75" outlineLevel="7">
      <c r="A692" s="168" t="s">
        <v>329</v>
      </c>
      <c r="B692" s="145" t="s">
        <v>22</v>
      </c>
      <c r="C692" s="145" t="s">
        <v>188</v>
      </c>
      <c r="D692" s="145" t="s">
        <v>205</v>
      </c>
      <c r="E692" s="169" t="s">
        <v>330</v>
      </c>
      <c r="F692" s="169" t="s">
        <v>25</v>
      </c>
      <c r="G692" s="146">
        <f>G693</f>
        <v>19920.22</v>
      </c>
      <c r="H692" s="161">
        <f>H693</f>
        <v>19920.22</v>
      </c>
      <c r="I692" s="161">
        <f t="shared" si="35"/>
        <v>100</v>
      </c>
    </row>
    <row r="693" spans="1:9" ht="31.5" outlineLevel="7">
      <c r="A693" s="167" t="s">
        <v>577</v>
      </c>
      <c r="B693" s="150" t="s">
        <v>22</v>
      </c>
      <c r="C693" s="179" t="s">
        <v>188</v>
      </c>
      <c r="D693" s="179" t="s">
        <v>205</v>
      </c>
      <c r="E693" s="179" t="s">
        <v>461</v>
      </c>
      <c r="F693" s="179" t="s">
        <v>25</v>
      </c>
      <c r="G693" s="151">
        <f>G694+G695</f>
        <v>19920.22</v>
      </c>
      <c r="H693" s="158">
        <f>H694+H695</f>
        <v>19920.22</v>
      </c>
      <c r="I693" s="158">
        <f t="shared" si="35"/>
        <v>100</v>
      </c>
    </row>
    <row r="694" spans="1:9" ht="94.5" outlineLevel="7">
      <c r="A694" s="156" t="s">
        <v>323</v>
      </c>
      <c r="B694" s="150" t="s">
        <v>22</v>
      </c>
      <c r="C694" s="180" t="s">
        <v>188</v>
      </c>
      <c r="D694" s="180" t="s">
        <v>205</v>
      </c>
      <c r="E694" s="180" t="s">
        <v>461</v>
      </c>
      <c r="F694" s="180" t="s">
        <v>54</v>
      </c>
      <c r="G694" s="151">
        <f>19420.22</f>
        <v>19420.22</v>
      </c>
      <c r="H694" s="158">
        <f>19420.22</f>
        <v>19420.22</v>
      </c>
      <c r="I694" s="158">
        <f t="shared" si="35"/>
        <v>100</v>
      </c>
    </row>
    <row r="695" spans="1:9" ht="15.75" outlineLevel="7">
      <c r="A695" s="167" t="s">
        <v>411</v>
      </c>
      <c r="B695" s="150" t="s">
        <v>22</v>
      </c>
      <c r="C695" s="179" t="s">
        <v>188</v>
      </c>
      <c r="D695" s="179" t="s">
        <v>205</v>
      </c>
      <c r="E695" s="179" t="s">
        <v>461</v>
      </c>
      <c r="F695" s="179" t="s">
        <v>293</v>
      </c>
      <c r="G695" s="151">
        <v>500</v>
      </c>
      <c r="H695" s="158">
        <v>500</v>
      </c>
      <c r="I695" s="158">
        <f t="shared" si="35"/>
        <v>100</v>
      </c>
    </row>
    <row r="696" spans="1:10" s="148" customFormat="1" ht="15.75" outlineLevel="1">
      <c r="A696" s="144" t="s">
        <v>733</v>
      </c>
      <c r="B696" s="145" t="s">
        <v>22</v>
      </c>
      <c r="C696" s="145" t="s">
        <v>201</v>
      </c>
      <c r="D696" s="145" t="s">
        <v>189</v>
      </c>
      <c r="E696" s="145" t="s">
        <v>313</v>
      </c>
      <c r="F696" s="145" t="s">
        <v>25</v>
      </c>
      <c r="G696" s="146">
        <f>G697+G732+G788+G818+G833</f>
        <v>1329257275.7300003</v>
      </c>
      <c r="H696" s="161">
        <f>H697+H732+H788+H818+H833</f>
        <v>1320116901.79</v>
      </c>
      <c r="I696" s="161">
        <f t="shared" si="35"/>
        <v>99.31236983939165</v>
      </c>
      <c r="J696" s="147"/>
    </row>
    <row r="697" spans="1:10" s="148" customFormat="1" ht="15.75" outlineLevel="2">
      <c r="A697" s="144" t="s">
        <v>228</v>
      </c>
      <c r="B697" s="145" t="s">
        <v>22</v>
      </c>
      <c r="C697" s="145" t="s">
        <v>201</v>
      </c>
      <c r="D697" s="145" t="s">
        <v>188</v>
      </c>
      <c r="E697" s="145" t="s">
        <v>313</v>
      </c>
      <c r="F697" s="145" t="s">
        <v>25</v>
      </c>
      <c r="G697" s="146">
        <f>G698+G727</f>
        <v>547680472.92</v>
      </c>
      <c r="H697" s="161">
        <f>H698+H727</f>
        <v>540122645.7</v>
      </c>
      <c r="I697" s="161">
        <f t="shared" si="35"/>
        <v>98.62002981780512</v>
      </c>
      <c r="J697" s="147"/>
    </row>
    <row r="698" spans="1:10" s="148" customFormat="1" ht="47.25" outlineLevel="3">
      <c r="A698" s="144" t="s">
        <v>734</v>
      </c>
      <c r="B698" s="145" t="s">
        <v>22</v>
      </c>
      <c r="C698" s="145" t="s">
        <v>201</v>
      </c>
      <c r="D698" s="145" t="s">
        <v>188</v>
      </c>
      <c r="E698" s="145" t="s">
        <v>735</v>
      </c>
      <c r="F698" s="145" t="s">
        <v>25</v>
      </c>
      <c r="G698" s="146">
        <f>G699+G713</f>
        <v>545368266.92</v>
      </c>
      <c r="H698" s="161">
        <f>H699+H713</f>
        <v>537810439.7</v>
      </c>
      <c r="I698" s="161">
        <f t="shared" si="35"/>
        <v>98.61417913757924</v>
      </c>
      <c r="J698" s="147"/>
    </row>
    <row r="699" spans="1:10" s="148" customFormat="1" ht="31.5" outlineLevel="4">
      <c r="A699" s="144" t="s">
        <v>790</v>
      </c>
      <c r="B699" s="145" t="s">
        <v>22</v>
      </c>
      <c r="C699" s="145" t="s">
        <v>201</v>
      </c>
      <c r="D699" s="145" t="s">
        <v>188</v>
      </c>
      <c r="E699" s="145" t="s">
        <v>791</v>
      </c>
      <c r="F699" s="145" t="s">
        <v>25</v>
      </c>
      <c r="G699" s="146">
        <f>G700+G707+G710</f>
        <v>537977897.88</v>
      </c>
      <c r="H699" s="161">
        <f>H700+H707+H710</f>
        <v>530420070.66</v>
      </c>
      <c r="I699" s="161">
        <f t="shared" si="35"/>
        <v>98.59514168708733</v>
      </c>
      <c r="J699" s="147"/>
    </row>
    <row r="700" spans="1:9" ht="78.75" outlineLevel="5">
      <c r="A700" s="149" t="s">
        <v>792</v>
      </c>
      <c r="B700" s="150" t="s">
        <v>22</v>
      </c>
      <c r="C700" s="150" t="s">
        <v>201</v>
      </c>
      <c r="D700" s="150" t="s">
        <v>188</v>
      </c>
      <c r="E700" s="150" t="s">
        <v>793</v>
      </c>
      <c r="F700" s="150" t="s">
        <v>25</v>
      </c>
      <c r="G700" s="151">
        <f>G701+G703+G705</f>
        <v>326503066.52</v>
      </c>
      <c r="H700" s="158">
        <f>H701+H703+H705</f>
        <v>318987158.57</v>
      </c>
      <c r="I700" s="158">
        <f t="shared" si="35"/>
        <v>97.69805900137247</v>
      </c>
    </row>
    <row r="701" spans="1:9" ht="78.75" outlineLevel="6">
      <c r="A701" s="149" t="s">
        <v>794</v>
      </c>
      <c r="B701" s="150" t="s">
        <v>22</v>
      </c>
      <c r="C701" s="150" t="s">
        <v>201</v>
      </c>
      <c r="D701" s="150" t="s">
        <v>188</v>
      </c>
      <c r="E701" s="150" t="s">
        <v>795</v>
      </c>
      <c r="F701" s="150" t="s">
        <v>25</v>
      </c>
      <c r="G701" s="151">
        <f>G702</f>
        <v>203716</v>
      </c>
      <c r="H701" s="158">
        <f>H702</f>
        <v>203716</v>
      </c>
      <c r="I701" s="158">
        <f t="shared" si="35"/>
        <v>100</v>
      </c>
    </row>
    <row r="702" spans="1:9" ht="47.25" outlineLevel="7">
      <c r="A702" s="149" t="s">
        <v>386</v>
      </c>
      <c r="B702" s="150" t="s">
        <v>22</v>
      </c>
      <c r="C702" s="150" t="s">
        <v>201</v>
      </c>
      <c r="D702" s="150" t="s">
        <v>188</v>
      </c>
      <c r="E702" s="150" t="s">
        <v>795</v>
      </c>
      <c r="F702" s="150" t="s">
        <v>273</v>
      </c>
      <c r="G702" s="151">
        <f>488918.78-285202.78</f>
        <v>203716</v>
      </c>
      <c r="H702" s="158">
        <f>488918.78-285202.78</f>
        <v>203716</v>
      </c>
      <c r="I702" s="158">
        <f t="shared" si="35"/>
        <v>100</v>
      </c>
    </row>
    <row r="703" spans="1:9" ht="78.75" outlineLevel="6">
      <c r="A703" s="149" t="s">
        <v>796</v>
      </c>
      <c r="B703" s="150" t="s">
        <v>22</v>
      </c>
      <c r="C703" s="150" t="s">
        <v>201</v>
      </c>
      <c r="D703" s="150" t="s">
        <v>188</v>
      </c>
      <c r="E703" s="150" t="s">
        <v>797</v>
      </c>
      <c r="F703" s="150" t="s">
        <v>25</v>
      </c>
      <c r="G703" s="151">
        <f>G704</f>
        <v>326284000</v>
      </c>
      <c r="H703" s="158">
        <f>H704</f>
        <v>318768092.05</v>
      </c>
      <c r="I703" s="158">
        <f t="shared" si="35"/>
        <v>97.69651348211987</v>
      </c>
    </row>
    <row r="704" spans="1:9" ht="47.25" outlineLevel="7">
      <c r="A704" s="149" t="s">
        <v>386</v>
      </c>
      <c r="B704" s="150" t="s">
        <v>22</v>
      </c>
      <c r="C704" s="150" t="s">
        <v>201</v>
      </c>
      <c r="D704" s="150" t="s">
        <v>188</v>
      </c>
      <c r="E704" s="150" t="s">
        <v>797</v>
      </c>
      <c r="F704" s="150" t="s">
        <v>273</v>
      </c>
      <c r="G704" s="151">
        <f>335745600-9461600</f>
        <v>326284000</v>
      </c>
      <c r="H704" s="158">
        <v>318768092.05</v>
      </c>
      <c r="I704" s="158">
        <f t="shared" si="35"/>
        <v>97.69651348211987</v>
      </c>
    </row>
    <row r="705" spans="1:9" ht="78.75" outlineLevel="6">
      <c r="A705" s="149" t="s">
        <v>794</v>
      </c>
      <c r="B705" s="150" t="s">
        <v>22</v>
      </c>
      <c r="C705" s="150" t="s">
        <v>201</v>
      </c>
      <c r="D705" s="150" t="s">
        <v>188</v>
      </c>
      <c r="E705" s="150" t="s">
        <v>798</v>
      </c>
      <c r="F705" s="150" t="s">
        <v>25</v>
      </c>
      <c r="G705" s="151">
        <f>G706</f>
        <v>15350.52</v>
      </c>
      <c r="H705" s="158">
        <f>H706</f>
        <v>15350.52</v>
      </c>
      <c r="I705" s="158">
        <f t="shared" si="35"/>
        <v>100</v>
      </c>
    </row>
    <row r="706" spans="1:9" ht="47.25" outlineLevel="7">
      <c r="A706" s="149" t="s">
        <v>386</v>
      </c>
      <c r="B706" s="150" t="s">
        <v>22</v>
      </c>
      <c r="C706" s="150" t="s">
        <v>201</v>
      </c>
      <c r="D706" s="150" t="s">
        <v>188</v>
      </c>
      <c r="E706" s="150" t="s">
        <v>798</v>
      </c>
      <c r="F706" s="150" t="s">
        <v>273</v>
      </c>
      <c r="G706" s="151">
        <f>30701.13-15350.61</f>
        <v>15350.52</v>
      </c>
      <c r="H706" s="158">
        <f>30701.13-15350.61</f>
        <v>15350.52</v>
      </c>
      <c r="I706" s="158">
        <f t="shared" si="35"/>
        <v>100</v>
      </c>
    </row>
    <row r="707" spans="1:9" ht="63" outlineLevel="5">
      <c r="A707" s="149" t="s">
        <v>799</v>
      </c>
      <c r="B707" s="150" t="s">
        <v>22</v>
      </c>
      <c r="C707" s="150" t="s">
        <v>201</v>
      </c>
      <c r="D707" s="150" t="s">
        <v>188</v>
      </c>
      <c r="E707" s="150" t="s">
        <v>800</v>
      </c>
      <c r="F707" s="150" t="s">
        <v>25</v>
      </c>
      <c r="G707" s="151">
        <f>G708</f>
        <v>203242823.92</v>
      </c>
      <c r="H707" s="158">
        <f>H708</f>
        <v>203242823.92</v>
      </c>
      <c r="I707" s="158">
        <f t="shared" si="35"/>
        <v>100</v>
      </c>
    </row>
    <row r="708" spans="1:9" ht="78.75" outlineLevel="6">
      <c r="A708" s="149" t="s">
        <v>431</v>
      </c>
      <c r="B708" s="150" t="s">
        <v>22</v>
      </c>
      <c r="C708" s="150" t="s">
        <v>201</v>
      </c>
      <c r="D708" s="150" t="s">
        <v>188</v>
      </c>
      <c r="E708" s="150" t="s">
        <v>801</v>
      </c>
      <c r="F708" s="150" t="s">
        <v>25</v>
      </c>
      <c r="G708" s="151">
        <f>G709</f>
        <v>203242823.92</v>
      </c>
      <c r="H708" s="158">
        <f>H709</f>
        <v>203242823.92</v>
      </c>
      <c r="I708" s="158">
        <f t="shared" si="35"/>
        <v>100</v>
      </c>
    </row>
    <row r="709" spans="1:9" ht="47.25" outlineLevel="7">
      <c r="A709" s="149" t="s">
        <v>386</v>
      </c>
      <c r="B709" s="150" t="s">
        <v>22</v>
      </c>
      <c r="C709" s="150" t="s">
        <v>201</v>
      </c>
      <c r="D709" s="150" t="s">
        <v>188</v>
      </c>
      <c r="E709" s="150" t="s">
        <v>801</v>
      </c>
      <c r="F709" s="150" t="s">
        <v>273</v>
      </c>
      <c r="G709" s="151">
        <f>204543626.85-1300802.93</f>
        <v>203242823.92</v>
      </c>
      <c r="H709" s="158">
        <f>204543626.85-1300802.93</f>
        <v>203242823.92</v>
      </c>
      <c r="I709" s="158">
        <f t="shared" si="35"/>
        <v>100</v>
      </c>
    </row>
    <row r="710" spans="1:9" ht="31.5" outlineLevel="5">
      <c r="A710" s="149" t="s">
        <v>802</v>
      </c>
      <c r="B710" s="150" t="s">
        <v>22</v>
      </c>
      <c r="C710" s="150" t="s">
        <v>201</v>
      </c>
      <c r="D710" s="150" t="s">
        <v>188</v>
      </c>
      <c r="E710" s="150" t="s">
        <v>803</v>
      </c>
      <c r="F710" s="150" t="s">
        <v>25</v>
      </c>
      <c r="G710" s="151">
        <f>G711</f>
        <v>8232007.44</v>
      </c>
      <c r="H710" s="158">
        <f>H711</f>
        <v>8190088.17</v>
      </c>
      <c r="I710" s="158">
        <f t="shared" si="35"/>
        <v>99.49077706372917</v>
      </c>
    </row>
    <row r="711" spans="1:9" ht="78.75" outlineLevel="6">
      <c r="A711" s="149" t="s">
        <v>335</v>
      </c>
      <c r="B711" s="150" t="s">
        <v>22</v>
      </c>
      <c r="C711" s="150" t="s">
        <v>201</v>
      </c>
      <c r="D711" s="150" t="s">
        <v>188</v>
      </c>
      <c r="E711" s="150" t="s">
        <v>804</v>
      </c>
      <c r="F711" s="150" t="s">
        <v>25</v>
      </c>
      <c r="G711" s="151">
        <f>G712</f>
        <v>8232007.44</v>
      </c>
      <c r="H711" s="158">
        <f>H712</f>
        <v>8190088.17</v>
      </c>
      <c r="I711" s="158">
        <f t="shared" si="35"/>
        <v>99.49077706372917</v>
      </c>
    </row>
    <row r="712" spans="1:9" ht="47.25" outlineLevel="7">
      <c r="A712" s="149" t="s">
        <v>386</v>
      </c>
      <c r="B712" s="150" t="s">
        <v>22</v>
      </c>
      <c r="C712" s="150" t="s">
        <v>201</v>
      </c>
      <c r="D712" s="150" t="s">
        <v>188</v>
      </c>
      <c r="E712" s="150" t="s">
        <v>804</v>
      </c>
      <c r="F712" s="150" t="s">
        <v>273</v>
      </c>
      <c r="G712" s="151">
        <f>8012033+219974.44</f>
        <v>8232007.44</v>
      </c>
      <c r="H712" s="158">
        <v>8190088.17</v>
      </c>
      <c r="I712" s="158">
        <f t="shared" si="35"/>
        <v>99.49077706372917</v>
      </c>
    </row>
    <row r="713" spans="1:10" s="148" customFormat="1" ht="47.25" outlineLevel="4">
      <c r="A713" s="144" t="s">
        <v>736</v>
      </c>
      <c r="B713" s="145" t="s">
        <v>22</v>
      </c>
      <c r="C713" s="145" t="s">
        <v>201</v>
      </c>
      <c r="D713" s="145" t="s">
        <v>188</v>
      </c>
      <c r="E713" s="145" t="s">
        <v>737</v>
      </c>
      <c r="F713" s="145" t="s">
        <v>25</v>
      </c>
      <c r="G713" s="146">
        <f>G714+G722+G717</f>
        <v>7390369.04</v>
      </c>
      <c r="H713" s="161">
        <f>H714+H722+H717</f>
        <v>7390369.04</v>
      </c>
      <c r="I713" s="161">
        <f t="shared" si="35"/>
        <v>100</v>
      </c>
      <c r="J713" s="147"/>
    </row>
    <row r="714" spans="1:9" ht="31.5" outlineLevel="5">
      <c r="A714" s="149" t="s">
        <v>805</v>
      </c>
      <c r="B714" s="150" t="s">
        <v>22</v>
      </c>
      <c r="C714" s="150" t="s">
        <v>201</v>
      </c>
      <c r="D714" s="150" t="s">
        <v>188</v>
      </c>
      <c r="E714" s="150" t="s">
        <v>806</v>
      </c>
      <c r="F714" s="150" t="s">
        <v>25</v>
      </c>
      <c r="G714" s="151">
        <f>G715</f>
        <v>715122.71</v>
      </c>
      <c r="H714" s="158">
        <f>H715</f>
        <v>715122.71</v>
      </c>
      <c r="I714" s="158">
        <f t="shared" si="35"/>
        <v>100</v>
      </c>
    </row>
    <row r="715" spans="1:9" ht="31.5" outlineLevel="6">
      <c r="A715" s="149" t="s">
        <v>353</v>
      </c>
      <c r="B715" s="150" t="s">
        <v>22</v>
      </c>
      <c r="C715" s="150" t="s">
        <v>201</v>
      </c>
      <c r="D715" s="150" t="s">
        <v>188</v>
      </c>
      <c r="E715" s="150" t="s">
        <v>807</v>
      </c>
      <c r="F715" s="150" t="s">
        <v>25</v>
      </c>
      <c r="G715" s="151">
        <f>G716</f>
        <v>715122.71</v>
      </c>
      <c r="H715" s="158">
        <f>H716</f>
        <v>715122.71</v>
      </c>
      <c r="I715" s="158">
        <f aca="true" t="shared" si="37" ref="I715:I778">H715/G715*100</f>
        <v>100</v>
      </c>
    </row>
    <row r="716" spans="1:9" ht="47.25" outlineLevel="7">
      <c r="A716" s="149" t="s">
        <v>386</v>
      </c>
      <c r="B716" s="150" t="s">
        <v>22</v>
      </c>
      <c r="C716" s="150" t="s">
        <v>201</v>
      </c>
      <c r="D716" s="150" t="s">
        <v>188</v>
      </c>
      <c r="E716" s="150" t="s">
        <v>807</v>
      </c>
      <c r="F716" s="150" t="s">
        <v>273</v>
      </c>
      <c r="G716" s="151">
        <f>1187188-472065.29</f>
        <v>715122.71</v>
      </c>
      <c r="H716" s="158">
        <f>1187188-472065.29</f>
        <v>715122.71</v>
      </c>
      <c r="I716" s="158">
        <f t="shared" si="37"/>
        <v>100</v>
      </c>
    </row>
    <row r="717" spans="1:9" ht="47.25" outlineLevel="7">
      <c r="A717" s="149" t="s">
        <v>742</v>
      </c>
      <c r="B717" s="150" t="s">
        <v>22</v>
      </c>
      <c r="C717" s="150" t="s">
        <v>201</v>
      </c>
      <c r="D717" s="150" t="s">
        <v>188</v>
      </c>
      <c r="E717" s="150" t="s">
        <v>743</v>
      </c>
      <c r="F717" s="150" t="s">
        <v>25</v>
      </c>
      <c r="G717" s="151">
        <f>G718+G720</f>
        <v>5595319.38</v>
      </c>
      <c r="H717" s="158">
        <f>H718+H720</f>
        <v>5595319.38</v>
      </c>
      <c r="I717" s="158">
        <f t="shared" si="37"/>
        <v>100</v>
      </c>
    </row>
    <row r="718" spans="1:9" ht="31.5" outlineLevel="7">
      <c r="A718" s="149" t="s">
        <v>612</v>
      </c>
      <c r="B718" s="150" t="s">
        <v>22</v>
      </c>
      <c r="C718" s="150" t="s">
        <v>201</v>
      </c>
      <c r="D718" s="150" t="s">
        <v>188</v>
      </c>
      <c r="E718" s="150" t="s">
        <v>744</v>
      </c>
      <c r="F718" s="150" t="s">
        <v>25</v>
      </c>
      <c r="G718" s="151">
        <f>G719</f>
        <v>4040309.38</v>
      </c>
      <c r="H718" s="158">
        <f>H719</f>
        <v>4040309.38</v>
      </c>
      <c r="I718" s="158">
        <f t="shared" si="37"/>
        <v>100</v>
      </c>
    </row>
    <row r="719" spans="1:9" ht="47.25" outlineLevel="7">
      <c r="A719" s="149" t="s">
        <v>386</v>
      </c>
      <c r="B719" s="150" t="s">
        <v>22</v>
      </c>
      <c r="C719" s="150" t="s">
        <v>201</v>
      </c>
      <c r="D719" s="150" t="s">
        <v>188</v>
      </c>
      <c r="E719" s="150" t="s">
        <v>744</v>
      </c>
      <c r="F719" s="150" t="s">
        <v>273</v>
      </c>
      <c r="G719" s="151">
        <f>944051+3729158.5-632900.12</f>
        <v>4040309.38</v>
      </c>
      <c r="H719" s="158">
        <f>944051+3729158.5-632900.12</f>
        <v>4040309.38</v>
      </c>
      <c r="I719" s="158">
        <f t="shared" si="37"/>
        <v>100</v>
      </c>
    </row>
    <row r="720" spans="1:9" ht="31.5" outlineLevel="7">
      <c r="A720" s="149" t="s">
        <v>353</v>
      </c>
      <c r="B720" s="150" t="s">
        <v>22</v>
      </c>
      <c r="C720" s="150" t="s">
        <v>201</v>
      </c>
      <c r="D720" s="150" t="s">
        <v>188</v>
      </c>
      <c r="E720" s="150" t="s">
        <v>808</v>
      </c>
      <c r="F720" s="150" t="s">
        <v>25</v>
      </c>
      <c r="G720" s="151">
        <f>G721</f>
        <v>1555010</v>
      </c>
      <c r="H720" s="158">
        <f>H721</f>
        <v>1555010</v>
      </c>
      <c r="I720" s="158">
        <f t="shared" si="37"/>
        <v>100</v>
      </c>
    </row>
    <row r="721" spans="1:9" ht="47.25" outlineLevel="7">
      <c r="A721" s="149" t="s">
        <v>386</v>
      </c>
      <c r="B721" s="150" t="s">
        <v>22</v>
      </c>
      <c r="C721" s="150" t="s">
        <v>201</v>
      </c>
      <c r="D721" s="150" t="s">
        <v>188</v>
      </c>
      <c r="E721" s="150" t="s">
        <v>808</v>
      </c>
      <c r="F721" s="150" t="s">
        <v>273</v>
      </c>
      <c r="G721" s="151">
        <v>1555010</v>
      </c>
      <c r="H721" s="158">
        <v>1555010</v>
      </c>
      <c r="I721" s="158">
        <f t="shared" si="37"/>
        <v>100</v>
      </c>
    </row>
    <row r="722" spans="1:9" ht="47.25" outlineLevel="5">
      <c r="A722" s="149" t="s">
        <v>809</v>
      </c>
      <c r="B722" s="150" t="s">
        <v>22</v>
      </c>
      <c r="C722" s="150" t="s">
        <v>201</v>
      </c>
      <c r="D722" s="150" t="s">
        <v>188</v>
      </c>
      <c r="E722" s="150" t="s">
        <v>810</v>
      </c>
      <c r="F722" s="150" t="s">
        <v>25</v>
      </c>
      <c r="G722" s="151">
        <f>G725+G723</f>
        <v>1079926.95</v>
      </c>
      <c r="H722" s="158">
        <f>H725+H723</f>
        <v>1079926.95</v>
      </c>
      <c r="I722" s="158">
        <f t="shared" si="37"/>
        <v>100</v>
      </c>
    </row>
    <row r="723" spans="1:9" ht="31.5" outlineLevel="5">
      <c r="A723" s="149" t="s">
        <v>612</v>
      </c>
      <c r="B723" s="150" t="s">
        <v>22</v>
      </c>
      <c r="C723" s="150" t="s">
        <v>201</v>
      </c>
      <c r="D723" s="150" t="s">
        <v>188</v>
      </c>
      <c r="E723" s="150" t="s">
        <v>811</v>
      </c>
      <c r="F723" s="150" t="s">
        <v>25</v>
      </c>
      <c r="G723" s="151">
        <f>G724</f>
        <v>887050</v>
      </c>
      <c r="H723" s="158">
        <f>H724</f>
        <v>887050</v>
      </c>
      <c r="I723" s="158">
        <f t="shared" si="37"/>
        <v>100</v>
      </c>
    </row>
    <row r="724" spans="1:9" ht="47.25" outlineLevel="5">
      <c r="A724" s="149" t="s">
        <v>386</v>
      </c>
      <c r="B724" s="150" t="s">
        <v>22</v>
      </c>
      <c r="C724" s="150" t="s">
        <v>201</v>
      </c>
      <c r="D724" s="150" t="s">
        <v>188</v>
      </c>
      <c r="E724" s="150" t="s">
        <v>811</v>
      </c>
      <c r="F724" s="150" t="s">
        <v>273</v>
      </c>
      <c r="G724" s="151">
        <f>887050</f>
        <v>887050</v>
      </c>
      <c r="H724" s="158">
        <f>887050</f>
        <v>887050</v>
      </c>
      <c r="I724" s="158">
        <f t="shared" si="37"/>
        <v>100</v>
      </c>
    </row>
    <row r="725" spans="1:9" ht="31.5" outlineLevel="6">
      <c r="A725" s="149" t="s">
        <v>353</v>
      </c>
      <c r="B725" s="150" t="s">
        <v>22</v>
      </c>
      <c r="C725" s="150" t="s">
        <v>201</v>
      </c>
      <c r="D725" s="150" t="s">
        <v>188</v>
      </c>
      <c r="E725" s="150" t="s">
        <v>812</v>
      </c>
      <c r="F725" s="150" t="s">
        <v>25</v>
      </c>
      <c r="G725" s="151">
        <f>G726</f>
        <v>192876.95</v>
      </c>
      <c r="H725" s="158">
        <f>H726</f>
        <v>192876.95</v>
      </c>
      <c r="I725" s="158">
        <f t="shared" si="37"/>
        <v>100</v>
      </c>
    </row>
    <row r="726" spans="1:9" ht="47.25" outlineLevel="7">
      <c r="A726" s="149" t="s">
        <v>386</v>
      </c>
      <c r="B726" s="150" t="s">
        <v>22</v>
      </c>
      <c r="C726" s="150" t="s">
        <v>201</v>
      </c>
      <c r="D726" s="150" t="s">
        <v>188</v>
      </c>
      <c r="E726" s="150" t="s">
        <v>812</v>
      </c>
      <c r="F726" s="150" t="s">
        <v>273</v>
      </c>
      <c r="G726" s="151">
        <f>180030-30856+43702.95</f>
        <v>192876.95</v>
      </c>
      <c r="H726" s="158">
        <f>180030-30856+43702.95</f>
        <v>192876.95</v>
      </c>
      <c r="I726" s="158">
        <f t="shared" si="37"/>
        <v>100</v>
      </c>
    </row>
    <row r="727" spans="1:10" s="148" customFormat="1" ht="47.25" outlineLevel="3">
      <c r="A727" s="144" t="s">
        <v>347</v>
      </c>
      <c r="B727" s="145" t="s">
        <v>22</v>
      </c>
      <c r="C727" s="145" t="s">
        <v>201</v>
      </c>
      <c r="D727" s="145" t="s">
        <v>188</v>
      </c>
      <c r="E727" s="145" t="s">
        <v>348</v>
      </c>
      <c r="F727" s="145" t="s">
        <v>25</v>
      </c>
      <c r="G727" s="146">
        <f aca="true" t="shared" si="38" ref="G727:H730">G728</f>
        <v>2312206</v>
      </c>
      <c r="H727" s="161">
        <f t="shared" si="38"/>
        <v>2312206</v>
      </c>
      <c r="I727" s="161">
        <f t="shared" si="37"/>
        <v>100</v>
      </c>
      <c r="J727" s="147"/>
    </row>
    <row r="728" spans="1:10" s="148" customFormat="1" ht="47.25" outlineLevel="4">
      <c r="A728" s="144" t="s">
        <v>349</v>
      </c>
      <c r="B728" s="145" t="s">
        <v>22</v>
      </c>
      <c r="C728" s="145" t="s">
        <v>201</v>
      </c>
      <c r="D728" s="145" t="s">
        <v>188</v>
      </c>
      <c r="E728" s="145" t="s">
        <v>350</v>
      </c>
      <c r="F728" s="145" t="s">
        <v>25</v>
      </c>
      <c r="G728" s="146">
        <f t="shared" si="38"/>
        <v>2312206</v>
      </c>
      <c r="H728" s="161">
        <f t="shared" si="38"/>
        <v>2312206</v>
      </c>
      <c r="I728" s="161">
        <f t="shared" si="37"/>
        <v>100</v>
      </c>
      <c r="J728" s="147"/>
    </row>
    <row r="729" spans="1:9" ht="31.5" outlineLevel="5">
      <c r="A729" s="149" t="s">
        <v>418</v>
      </c>
      <c r="B729" s="150" t="s">
        <v>22</v>
      </c>
      <c r="C729" s="150" t="s">
        <v>201</v>
      </c>
      <c r="D729" s="150" t="s">
        <v>188</v>
      </c>
      <c r="E729" s="150" t="s">
        <v>419</v>
      </c>
      <c r="F729" s="150" t="s">
        <v>25</v>
      </c>
      <c r="G729" s="151">
        <f t="shared" si="38"/>
        <v>2312206</v>
      </c>
      <c r="H729" s="158">
        <f t="shared" si="38"/>
        <v>2312206</v>
      </c>
      <c r="I729" s="158">
        <f t="shared" si="37"/>
        <v>100</v>
      </c>
    </row>
    <row r="730" spans="1:9" ht="31.5" outlineLevel="6">
      <c r="A730" s="149" t="s">
        <v>353</v>
      </c>
      <c r="B730" s="150" t="s">
        <v>22</v>
      </c>
      <c r="C730" s="150" t="s">
        <v>201</v>
      </c>
      <c r="D730" s="150" t="s">
        <v>188</v>
      </c>
      <c r="E730" s="150" t="s">
        <v>420</v>
      </c>
      <c r="F730" s="150" t="s">
        <v>25</v>
      </c>
      <c r="G730" s="151">
        <f t="shared" si="38"/>
        <v>2312206</v>
      </c>
      <c r="H730" s="158">
        <f t="shared" si="38"/>
        <v>2312206</v>
      </c>
      <c r="I730" s="158">
        <f t="shared" si="37"/>
        <v>100</v>
      </c>
    </row>
    <row r="731" spans="1:9" ht="47.25" outlineLevel="7">
      <c r="A731" s="149" t="s">
        <v>386</v>
      </c>
      <c r="B731" s="150" t="s">
        <v>22</v>
      </c>
      <c r="C731" s="150" t="s">
        <v>201</v>
      </c>
      <c r="D731" s="150" t="s">
        <v>188</v>
      </c>
      <c r="E731" s="150" t="s">
        <v>420</v>
      </c>
      <c r="F731" s="150" t="s">
        <v>273</v>
      </c>
      <c r="G731" s="151">
        <f>2382758+10000-80552</f>
        <v>2312206</v>
      </c>
      <c r="H731" s="158">
        <f>2382758+10000-80552</f>
        <v>2312206</v>
      </c>
      <c r="I731" s="158">
        <f t="shared" si="37"/>
        <v>100</v>
      </c>
    </row>
    <row r="732" spans="1:10" s="148" customFormat="1" ht="15.75" outlineLevel="2">
      <c r="A732" s="144" t="s">
        <v>229</v>
      </c>
      <c r="B732" s="145" t="s">
        <v>22</v>
      </c>
      <c r="C732" s="145" t="s">
        <v>201</v>
      </c>
      <c r="D732" s="145" t="s">
        <v>191</v>
      </c>
      <c r="E732" s="145" t="s">
        <v>313</v>
      </c>
      <c r="F732" s="145" t="s">
        <v>25</v>
      </c>
      <c r="G732" s="146">
        <f>G733+G783</f>
        <v>483445674.92000014</v>
      </c>
      <c r="H732" s="161">
        <f>H733+H783</f>
        <v>483351463.4900001</v>
      </c>
      <c r="I732" s="161">
        <f t="shared" si="37"/>
        <v>99.98051250949435</v>
      </c>
      <c r="J732" s="147"/>
    </row>
    <row r="733" spans="1:10" s="148" customFormat="1" ht="47.25" outlineLevel="3">
      <c r="A733" s="144" t="s">
        <v>734</v>
      </c>
      <c r="B733" s="145" t="s">
        <v>22</v>
      </c>
      <c r="C733" s="145" t="s">
        <v>201</v>
      </c>
      <c r="D733" s="145" t="s">
        <v>191</v>
      </c>
      <c r="E733" s="145" t="s">
        <v>735</v>
      </c>
      <c r="F733" s="145" t="s">
        <v>25</v>
      </c>
      <c r="G733" s="146">
        <f>G745+G769+G734</f>
        <v>482381722.92000014</v>
      </c>
      <c r="H733" s="161">
        <f>H745+H769+H734</f>
        <v>482287511.4900001</v>
      </c>
      <c r="I733" s="161">
        <f t="shared" si="37"/>
        <v>99.98046952744608</v>
      </c>
      <c r="J733" s="147"/>
    </row>
    <row r="734" spans="1:10" s="148" customFormat="1" ht="31.5" outlineLevel="3">
      <c r="A734" s="144" t="s">
        <v>790</v>
      </c>
      <c r="B734" s="145" t="s">
        <v>22</v>
      </c>
      <c r="C734" s="145" t="s">
        <v>201</v>
      </c>
      <c r="D734" s="145" t="s">
        <v>191</v>
      </c>
      <c r="E734" s="145" t="s">
        <v>791</v>
      </c>
      <c r="F734" s="145" t="s">
        <v>25</v>
      </c>
      <c r="G734" s="146">
        <f>G735+G742</f>
        <v>11707267.1</v>
      </c>
      <c r="H734" s="161">
        <f>H735+H742</f>
        <v>11707267.1</v>
      </c>
      <c r="I734" s="161">
        <f t="shared" si="37"/>
        <v>100</v>
      </c>
      <c r="J734" s="147"/>
    </row>
    <row r="735" spans="1:10" s="148" customFormat="1" ht="78.75" outlineLevel="3">
      <c r="A735" s="149" t="s">
        <v>792</v>
      </c>
      <c r="B735" s="150" t="s">
        <v>22</v>
      </c>
      <c r="C735" s="150" t="s">
        <v>201</v>
      </c>
      <c r="D735" s="150" t="s">
        <v>191</v>
      </c>
      <c r="E735" s="150" t="s">
        <v>793</v>
      </c>
      <c r="F735" s="150" t="s">
        <v>25</v>
      </c>
      <c r="G735" s="151">
        <f>G736+G738+G740</f>
        <v>8465645.08</v>
      </c>
      <c r="H735" s="158">
        <f>H736+H738+H740</f>
        <v>8465645.08</v>
      </c>
      <c r="I735" s="158">
        <f t="shared" si="37"/>
        <v>100</v>
      </c>
      <c r="J735" s="147"/>
    </row>
    <row r="736" spans="1:10" s="148" customFormat="1" ht="78.75" outlineLevel="3">
      <c r="A736" s="149" t="s">
        <v>794</v>
      </c>
      <c r="B736" s="150" t="s">
        <v>22</v>
      </c>
      <c r="C736" s="150" t="s">
        <v>201</v>
      </c>
      <c r="D736" s="150" t="s">
        <v>191</v>
      </c>
      <c r="E736" s="150" t="s">
        <v>795</v>
      </c>
      <c r="F736" s="150" t="s">
        <v>25</v>
      </c>
      <c r="G736" s="151">
        <f>G737</f>
        <v>144011.59</v>
      </c>
      <c r="H736" s="158">
        <f>H737</f>
        <v>144011.59</v>
      </c>
      <c r="I736" s="158">
        <f t="shared" si="37"/>
        <v>100</v>
      </c>
      <c r="J736" s="147"/>
    </row>
    <row r="737" spans="1:10" s="148" customFormat="1" ht="47.25" outlineLevel="3">
      <c r="A737" s="149" t="s">
        <v>386</v>
      </c>
      <c r="B737" s="150" t="s">
        <v>22</v>
      </c>
      <c r="C737" s="150" t="s">
        <v>201</v>
      </c>
      <c r="D737" s="150" t="s">
        <v>191</v>
      </c>
      <c r="E737" s="150" t="s">
        <v>795</v>
      </c>
      <c r="F737" s="150" t="s">
        <v>273</v>
      </c>
      <c r="G737" s="151">
        <f>144011.59</f>
        <v>144011.59</v>
      </c>
      <c r="H737" s="158">
        <f>144011.59</f>
        <v>144011.59</v>
      </c>
      <c r="I737" s="158">
        <f t="shared" si="37"/>
        <v>100</v>
      </c>
      <c r="J737" s="147"/>
    </row>
    <row r="738" spans="1:10" s="148" customFormat="1" ht="78.75" outlineLevel="3">
      <c r="A738" s="149" t="s">
        <v>794</v>
      </c>
      <c r="B738" s="150" t="s">
        <v>22</v>
      </c>
      <c r="C738" s="150" t="s">
        <v>201</v>
      </c>
      <c r="D738" s="150" t="s">
        <v>191</v>
      </c>
      <c r="E738" s="150" t="s">
        <v>798</v>
      </c>
      <c r="F738" s="150" t="s">
        <v>25</v>
      </c>
      <c r="G738" s="151">
        <f>G739</f>
        <v>7919.49</v>
      </c>
      <c r="H738" s="158">
        <f>H739</f>
        <v>7919.49</v>
      </c>
      <c r="I738" s="158">
        <f t="shared" si="37"/>
        <v>100</v>
      </c>
      <c r="J738" s="147"/>
    </row>
    <row r="739" spans="1:10" s="148" customFormat="1" ht="47.25" outlineLevel="3">
      <c r="A739" s="149" t="s">
        <v>386</v>
      </c>
      <c r="B739" s="150" t="s">
        <v>22</v>
      </c>
      <c r="C739" s="150" t="s">
        <v>201</v>
      </c>
      <c r="D739" s="150" t="s">
        <v>191</v>
      </c>
      <c r="E739" s="150" t="s">
        <v>798</v>
      </c>
      <c r="F739" s="150" t="s">
        <v>273</v>
      </c>
      <c r="G739" s="151">
        <v>7919.49</v>
      </c>
      <c r="H739" s="158">
        <v>7919.49</v>
      </c>
      <c r="I739" s="158">
        <f t="shared" si="37"/>
        <v>100</v>
      </c>
      <c r="J739" s="147"/>
    </row>
    <row r="740" spans="1:10" s="148" customFormat="1" ht="63" outlineLevel="3">
      <c r="A740" s="149" t="s">
        <v>813</v>
      </c>
      <c r="B740" s="150" t="s">
        <v>22</v>
      </c>
      <c r="C740" s="150" t="s">
        <v>201</v>
      </c>
      <c r="D740" s="150" t="s">
        <v>191</v>
      </c>
      <c r="E740" s="150" t="s">
        <v>814</v>
      </c>
      <c r="F740" s="150" t="s">
        <v>25</v>
      </c>
      <c r="G740" s="151">
        <f>G741</f>
        <v>8313714</v>
      </c>
      <c r="H740" s="158">
        <f>H741</f>
        <v>8313714</v>
      </c>
      <c r="I740" s="158">
        <f t="shared" si="37"/>
        <v>100</v>
      </c>
      <c r="J740" s="147"/>
    </row>
    <row r="741" spans="1:10" s="148" customFormat="1" ht="47.25" outlineLevel="3">
      <c r="A741" s="149" t="s">
        <v>386</v>
      </c>
      <c r="B741" s="150" t="s">
        <v>22</v>
      </c>
      <c r="C741" s="150" t="s">
        <v>201</v>
      </c>
      <c r="D741" s="150" t="s">
        <v>191</v>
      </c>
      <c r="E741" s="150" t="s">
        <v>814</v>
      </c>
      <c r="F741" s="150" t="s">
        <v>273</v>
      </c>
      <c r="G741" s="151">
        <f>8313714</f>
        <v>8313714</v>
      </c>
      <c r="H741" s="158">
        <f>8313714</f>
        <v>8313714</v>
      </c>
      <c r="I741" s="158">
        <f t="shared" si="37"/>
        <v>100</v>
      </c>
      <c r="J741" s="147"/>
    </row>
    <row r="742" spans="1:10" s="148" customFormat="1" ht="63" outlineLevel="3">
      <c r="A742" s="149" t="s">
        <v>799</v>
      </c>
      <c r="B742" s="150" t="s">
        <v>22</v>
      </c>
      <c r="C742" s="150" t="s">
        <v>201</v>
      </c>
      <c r="D742" s="150" t="s">
        <v>191</v>
      </c>
      <c r="E742" s="150" t="s">
        <v>800</v>
      </c>
      <c r="F742" s="150" t="s">
        <v>25</v>
      </c>
      <c r="G742" s="151">
        <f>G743</f>
        <v>3241622.02</v>
      </c>
      <c r="H742" s="158">
        <f>H743</f>
        <v>3241622.02</v>
      </c>
      <c r="I742" s="158">
        <f t="shared" si="37"/>
        <v>100</v>
      </c>
      <c r="J742" s="147"/>
    </row>
    <row r="743" spans="1:10" s="148" customFormat="1" ht="78.75" outlineLevel="3">
      <c r="A743" s="149" t="s">
        <v>431</v>
      </c>
      <c r="B743" s="150" t="s">
        <v>22</v>
      </c>
      <c r="C743" s="150" t="s">
        <v>201</v>
      </c>
      <c r="D743" s="150" t="s">
        <v>191</v>
      </c>
      <c r="E743" s="150" t="s">
        <v>801</v>
      </c>
      <c r="F743" s="150" t="s">
        <v>25</v>
      </c>
      <c r="G743" s="151">
        <f>G744</f>
        <v>3241622.02</v>
      </c>
      <c r="H743" s="158">
        <f>H744</f>
        <v>3241622.02</v>
      </c>
      <c r="I743" s="158">
        <f t="shared" si="37"/>
        <v>100</v>
      </c>
      <c r="J743" s="147"/>
    </row>
    <row r="744" spans="1:10" s="148" customFormat="1" ht="47.25" outlineLevel="3">
      <c r="A744" s="149" t="s">
        <v>386</v>
      </c>
      <c r="B744" s="150" t="s">
        <v>22</v>
      </c>
      <c r="C744" s="150" t="s">
        <v>201</v>
      </c>
      <c r="D744" s="150" t="s">
        <v>191</v>
      </c>
      <c r="E744" s="150" t="s">
        <v>801</v>
      </c>
      <c r="F744" s="150" t="s">
        <v>273</v>
      </c>
      <c r="G744" s="151">
        <f>3241622.02</f>
        <v>3241622.02</v>
      </c>
      <c r="H744" s="158">
        <f>3241622.02</f>
        <v>3241622.02</v>
      </c>
      <c r="I744" s="158">
        <f t="shared" si="37"/>
        <v>100</v>
      </c>
      <c r="J744" s="147"/>
    </row>
    <row r="745" spans="1:10" s="148" customFormat="1" ht="63" outlineLevel="4">
      <c r="A745" s="144" t="s">
        <v>815</v>
      </c>
      <c r="B745" s="145" t="s">
        <v>22</v>
      </c>
      <c r="C745" s="145" t="s">
        <v>201</v>
      </c>
      <c r="D745" s="145" t="s">
        <v>191</v>
      </c>
      <c r="E745" s="145" t="s">
        <v>816</v>
      </c>
      <c r="F745" s="145" t="s">
        <v>25</v>
      </c>
      <c r="G745" s="146">
        <f>G746+G753+G760+G763+G766</f>
        <v>461690244.0800001</v>
      </c>
      <c r="H745" s="161">
        <f>H746+H753+H760+H763+H766</f>
        <v>461617571.30000013</v>
      </c>
      <c r="I745" s="161">
        <f t="shared" si="37"/>
        <v>99.98425940748547</v>
      </c>
      <c r="J745" s="147"/>
    </row>
    <row r="746" spans="1:9" ht="63" outlineLevel="5">
      <c r="A746" s="149" t="s">
        <v>817</v>
      </c>
      <c r="B746" s="150" t="s">
        <v>22</v>
      </c>
      <c r="C746" s="150" t="s">
        <v>201</v>
      </c>
      <c r="D746" s="150" t="s">
        <v>191</v>
      </c>
      <c r="E746" s="150" t="s">
        <v>818</v>
      </c>
      <c r="F746" s="150" t="s">
        <v>25</v>
      </c>
      <c r="G746" s="151">
        <f>G747+G749+G751</f>
        <v>134781404.21000004</v>
      </c>
      <c r="H746" s="158">
        <f>H747+H749+H751</f>
        <v>134781404.21000004</v>
      </c>
      <c r="I746" s="158">
        <f t="shared" si="37"/>
        <v>100</v>
      </c>
    </row>
    <row r="747" spans="1:9" ht="78.75" outlineLevel="6">
      <c r="A747" s="149" t="s">
        <v>794</v>
      </c>
      <c r="B747" s="150" t="s">
        <v>22</v>
      </c>
      <c r="C747" s="150" t="s">
        <v>201</v>
      </c>
      <c r="D747" s="150" t="s">
        <v>191</v>
      </c>
      <c r="E747" s="150" t="s">
        <v>819</v>
      </c>
      <c r="F747" s="150" t="s">
        <v>25</v>
      </c>
      <c r="G747" s="151">
        <f>G748</f>
        <v>230386.86</v>
      </c>
      <c r="H747" s="158">
        <f>H748</f>
        <v>230386.86</v>
      </c>
      <c r="I747" s="158">
        <f t="shared" si="37"/>
        <v>100</v>
      </c>
    </row>
    <row r="748" spans="1:9" ht="47.25" outlineLevel="7">
      <c r="A748" s="149" t="s">
        <v>386</v>
      </c>
      <c r="B748" s="150" t="s">
        <v>22</v>
      </c>
      <c r="C748" s="150" t="s">
        <v>201</v>
      </c>
      <c r="D748" s="150" t="s">
        <v>191</v>
      </c>
      <c r="E748" s="150" t="s">
        <v>819</v>
      </c>
      <c r="F748" s="150" t="s">
        <v>273</v>
      </c>
      <c r="G748" s="151">
        <v>230386.86</v>
      </c>
      <c r="H748" s="158">
        <v>230386.86</v>
      </c>
      <c r="I748" s="158">
        <f t="shared" si="37"/>
        <v>100</v>
      </c>
    </row>
    <row r="749" spans="1:9" ht="63" outlineLevel="6">
      <c r="A749" s="149" t="s">
        <v>813</v>
      </c>
      <c r="B749" s="150" t="s">
        <v>22</v>
      </c>
      <c r="C749" s="150" t="s">
        <v>201</v>
      </c>
      <c r="D749" s="150" t="s">
        <v>191</v>
      </c>
      <c r="E749" s="150" t="s">
        <v>820</v>
      </c>
      <c r="F749" s="150" t="s">
        <v>25</v>
      </c>
      <c r="G749" s="151">
        <f>G750</f>
        <v>134538891.73000002</v>
      </c>
      <c r="H749" s="158">
        <f>H750</f>
        <v>134538891.73000002</v>
      </c>
      <c r="I749" s="158">
        <f t="shared" si="37"/>
        <v>100</v>
      </c>
    </row>
    <row r="750" spans="1:9" ht="47.25" outlineLevel="7">
      <c r="A750" s="149" t="s">
        <v>386</v>
      </c>
      <c r="B750" s="150" t="s">
        <v>22</v>
      </c>
      <c r="C750" s="150" t="s">
        <v>201</v>
      </c>
      <c r="D750" s="150" t="s">
        <v>191</v>
      </c>
      <c r="E750" s="150" t="s">
        <v>820</v>
      </c>
      <c r="F750" s="150" t="s">
        <v>273</v>
      </c>
      <c r="G750" s="151">
        <f>140091428.58-2162200-3390336.85</f>
        <v>134538891.73000002</v>
      </c>
      <c r="H750" s="158">
        <f>140091428.58-2162200-3390336.85</f>
        <v>134538891.73000002</v>
      </c>
      <c r="I750" s="158">
        <f t="shared" si="37"/>
        <v>100</v>
      </c>
    </row>
    <row r="751" spans="1:9" ht="78.75" outlineLevel="6">
      <c r="A751" s="149" t="s">
        <v>794</v>
      </c>
      <c r="B751" s="150" t="s">
        <v>22</v>
      </c>
      <c r="C751" s="150" t="s">
        <v>201</v>
      </c>
      <c r="D751" s="150" t="s">
        <v>191</v>
      </c>
      <c r="E751" s="150" t="s">
        <v>821</v>
      </c>
      <c r="F751" s="150" t="s">
        <v>25</v>
      </c>
      <c r="G751" s="151">
        <f>G752</f>
        <v>12125.62</v>
      </c>
      <c r="H751" s="158">
        <f>H752</f>
        <v>12125.62</v>
      </c>
      <c r="I751" s="158">
        <f t="shared" si="37"/>
        <v>100</v>
      </c>
    </row>
    <row r="752" spans="1:9" ht="47.25" outlineLevel="7">
      <c r="A752" s="149" t="s">
        <v>386</v>
      </c>
      <c r="B752" s="150" t="s">
        <v>22</v>
      </c>
      <c r="C752" s="150" t="s">
        <v>201</v>
      </c>
      <c r="D752" s="150" t="s">
        <v>191</v>
      </c>
      <c r="E752" s="150" t="s">
        <v>821</v>
      </c>
      <c r="F752" s="150" t="s">
        <v>273</v>
      </c>
      <c r="G752" s="151">
        <v>12125.62</v>
      </c>
      <c r="H752" s="158">
        <v>12125.62</v>
      </c>
      <c r="I752" s="158">
        <f t="shared" si="37"/>
        <v>100</v>
      </c>
    </row>
    <row r="753" spans="1:9" ht="63" outlineLevel="5">
      <c r="A753" s="149" t="s">
        <v>822</v>
      </c>
      <c r="B753" s="150" t="s">
        <v>22</v>
      </c>
      <c r="C753" s="150" t="s">
        <v>201</v>
      </c>
      <c r="D753" s="150" t="s">
        <v>191</v>
      </c>
      <c r="E753" s="150" t="s">
        <v>823</v>
      </c>
      <c r="F753" s="150" t="s">
        <v>25</v>
      </c>
      <c r="G753" s="151">
        <f>G754+G756+G758</f>
        <v>186942244.48000002</v>
      </c>
      <c r="H753" s="158">
        <f>H754+H756+H758</f>
        <v>186942244.48000002</v>
      </c>
      <c r="I753" s="158">
        <f t="shared" si="37"/>
        <v>100</v>
      </c>
    </row>
    <row r="754" spans="1:9" ht="78.75" outlineLevel="6">
      <c r="A754" s="149" t="s">
        <v>794</v>
      </c>
      <c r="B754" s="150" t="s">
        <v>22</v>
      </c>
      <c r="C754" s="150" t="s">
        <v>201</v>
      </c>
      <c r="D754" s="150" t="s">
        <v>191</v>
      </c>
      <c r="E754" s="150" t="s">
        <v>824</v>
      </c>
      <c r="F754" s="150" t="s">
        <v>25</v>
      </c>
      <c r="G754" s="151">
        <f>G755</f>
        <v>255558.84</v>
      </c>
      <c r="H754" s="158">
        <f>H755</f>
        <v>255558.84</v>
      </c>
      <c r="I754" s="158">
        <f t="shared" si="37"/>
        <v>100</v>
      </c>
    </row>
    <row r="755" spans="1:9" ht="47.25" outlineLevel="7">
      <c r="A755" s="149" t="s">
        <v>386</v>
      </c>
      <c r="B755" s="150" t="s">
        <v>22</v>
      </c>
      <c r="C755" s="150" t="s">
        <v>201</v>
      </c>
      <c r="D755" s="150" t="s">
        <v>191</v>
      </c>
      <c r="E755" s="150" t="s">
        <v>824</v>
      </c>
      <c r="F755" s="150" t="s">
        <v>273</v>
      </c>
      <c r="G755" s="151">
        <v>255558.84</v>
      </c>
      <c r="H755" s="158">
        <v>255558.84</v>
      </c>
      <c r="I755" s="158">
        <f t="shared" si="37"/>
        <v>100</v>
      </c>
    </row>
    <row r="756" spans="1:9" ht="63" outlineLevel="6">
      <c r="A756" s="149" t="s">
        <v>813</v>
      </c>
      <c r="B756" s="150" t="s">
        <v>22</v>
      </c>
      <c r="C756" s="150" t="s">
        <v>201</v>
      </c>
      <c r="D756" s="150" t="s">
        <v>191</v>
      </c>
      <c r="E756" s="150" t="s">
        <v>825</v>
      </c>
      <c r="F756" s="150" t="s">
        <v>25</v>
      </c>
      <c r="G756" s="151">
        <f>G757</f>
        <v>186673235.17000002</v>
      </c>
      <c r="H756" s="158">
        <f>H757</f>
        <v>186673235.17000002</v>
      </c>
      <c r="I756" s="158">
        <f t="shared" si="37"/>
        <v>100</v>
      </c>
    </row>
    <row r="757" spans="1:9" ht="47.25" outlineLevel="7">
      <c r="A757" s="149" t="s">
        <v>386</v>
      </c>
      <c r="B757" s="150" t="s">
        <v>22</v>
      </c>
      <c r="C757" s="150" t="s">
        <v>201</v>
      </c>
      <c r="D757" s="150" t="s">
        <v>191</v>
      </c>
      <c r="E757" s="150" t="s">
        <v>825</v>
      </c>
      <c r="F757" s="150" t="s">
        <v>273</v>
      </c>
      <c r="G757" s="151">
        <f>178260201.71+8413033.46</f>
        <v>186673235.17000002</v>
      </c>
      <c r="H757" s="158">
        <f>178260201.71+8413033.46</f>
        <v>186673235.17000002</v>
      </c>
      <c r="I757" s="158">
        <f t="shared" si="37"/>
        <v>100</v>
      </c>
    </row>
    <row r="758" spans="1:9" ht="78.75" outlineLevel="6">
      <c r="A758" s="149" t="s">
        <v>794</v>
      </c>
      <c r="B758" s="150" t="s">
        <v>22</v>
      </c>
      <c r="C758" s="150" t="s">
        <v>201</v>
      </c>
      <c r="D758" s="150" t="s">
        <v>191</v>
      </c>
      <c r="E758" s="150" t="s">
        <v>826</v>
      </c>
      <c r="F758" s="150" t="s">
        <v>25</v>
      </c>
      <c r="G758" s="151">
        <f>G759</f>
        <v>13450.47</v>
      </c>
      <c r="H758" s="158">
        <f>H759</f>
        <v>13450.47</v>
      </c>
      <c r="I758" s="158">
        <f t="shared" si="37"/>
        <v>100</v>
      </c>
    </row>
    <row r="759" spans="1:9" ht="47.25" outlineLevel="7">
      <c r="A759" s="149" t="s">
        <v>386</v>
      </c>
      <c r="B759" s="150" t="s">
        <v>22</v>
      </c>
      <c r="C759" s="150" t="s">
        <v>201</v>
      </c>
      <c r="D759" s="150" t="s">
        <v>191</v>
      </c>
      <c r="E759" s="150" t="s">
        <v>826</v>
      </c>
      <c r="F759" s="150" t="s">
        <v>273</v>
      </c>
      <c r="G759" s="151">
        <v>13450.47</v>
      </c>
      <c r="H759" s="158">
        <v>13450.47</v>
      </c>
      <c r="I759" s="158">
        <f t="shared" si="37"/>
        <v>100</v>
      </c>
    </row>
    <row r="760" spans="1:9" ht="63" outlineLevel="5">
      <c r="A760" s="149" t="s">
        <v>827</v>
      </c>
      <c r="B760" s="150" t="s">
        <v>22</v>
      </c>
      <c r="C760" s="150" t="s">
        <v>201</v>
      </c>
      <c r="D760" s="150" t="s">
        <v>191</v>
      </c>
      <c r="E760" s="150" t="s">
        <v>828</v>
      </c>
      <c r="F760" s="150" t="s">
        <v>25</v>
      </c>
      <c r="G760" s="151">
        <f>G761</f>
        <v>29818659.1</v>
      </c>
      <c r="H760" s="158">
        <f>H761</f>
        <v>29818659.1</v>
      </c>
      <c r="I760" s="158">
        <f t="shared" si="37"/>
        <v>100</v>
      </c>
    </row>
    <row r="761" spans="1:9" ht="63" outlineLevel="6">
      <c r="A761" s="149" t="s">
        <v>813</v>
      </c>
      <c r="B761" s="150" t="s">
        <v>22</v>
      </c>
      <c r="C761" s="150" t="s">
        <v>201</v>
      </c>
      <c r="D761" s="150" t="s">
        <v>191</v>
      </c>
      <c r="E761" s="150" t="s">
        <v>829</v>
      </c>
      <c r="F761" s="150" t="s">
        <v>25</v>
      </c>
      <c r="G761" s="151">
        <f>G762</f>
        <v>29818659.1</v>
      </c>
      <c r="H761" s="158">
        <f>H762</f>
        <v>29818659.1</v>
      </c>
      <c r="I761" s="158">
        <f t="shared" si="37"/>
        <v>100</v>
      </c>
    </row>
    <row r="762" spans="1:9" ht="47.25" outlineLevel="7">
      <c r="A762" s="149" t="s">
        <v>386</v>
      </c>
      <c r="B762" s="150" t="s">
        <v>22</v>
      </c>
      <c r="C762" s="150" t="s">
        <v>201</v>
      </c>
      <c r="D762" s="150" t="s">
        <v>191</v>
      </c>
      <c r="E762" s="150" t="s">
        <v>829</v>
      </c>
      <c r="F762" s="150" t="s">
        <v>273</v>
      </c>
      <c r="G762" s="151">
        <f>34687169.71-4868510.61</f>
        <v>29818659.1</v>
      </c>
      <c r="H762" s="158">
        <f>34687169.71-4868510.61</f>
        <v>29818659.1</v>
      </c>
      <c r="I762" s="158">
        <f t="shared" si="37"/>
        <v>100</v>
      </c>
    </row>
    <row r="763" spans="1:9" ht="94.5" outlineLevel="5">
      <c r="A763" s="149" t="s">
        <v>830</v>
      </c>
      <c r="B763" s="150" t="s">
        <v>22</v>
      </c>
      <c r="C763" s="150" t="s">
        <v>201</v>
      </c>
      <c r="D763" s="150" t="s">
        <v>191</v>
      </c>
      <c r="E763" s="150" t="s">
        <v>831</v>
      </c>
      <c r="F763" s="150" t="s">
        <v>25</v>
      </c>
      <c r="G763" s="151">
        <f>G764</f>
        <v>103908566.72</v>
      </c>
      <c r="H763" s="158">
        <f>H764</f>
        <v>103908566.72</v>
      </c>
      <c r="I763" s="158">
        <f t="shared" si="37"/>
        <v>100</v>
      </c>
    </row>
    <row r="764" spans="1:9" ht="78.75" outlineLevel="6">
      <c r="A764" s="149" t="s">
        <v>431</v>
      </c>
      <c r="B764" s="150" t="s">
        <v>22</v>
      </c>
      <c r="C764" s="150" t="s">
        <v>201</v>
      </c>
      <c r="D764" s="150" t="s">
        <v>191</v>
      </c>
      <c r="E764" s="150" t="s">
        <v>832</v>
      </c>
      <c r="F764" s="150" t="s">
        <v>25</v>
      </c>
      <c r="G764" s="151">
        <f>G765</f>
        <v>103908566.72</v>
      </c>
      <c r="H764" s="158">
        <f>H765</f>
        <v>103908566.72</v>
      </c>
      <c r="I764" s="158">
        <f t="shared" si="37"/>
        <v>100</v>
      </c>
    </row>
    <row r="765" spans="1:9" ht="47.25" outlineLevel="7">
      <c r="A765" s="149" t="s">
        <v>386</v>
      </c>
      <c r="B765" s="150" t="s">
        <v>22</v>
      </c>
      <c r="C765" s="150" t="s">
        <v>201</v>
      </c>
      <c r="D765" s="150" t="s">
        <v>191</v>
      </c>
      <c r="E765" s="150" t="s">
        <v>832</v>
      </c>
      <c r="F765" s="150" t="s">
        <v>273</v>
      </c>
      <c r="G765" s="151">
        <f>101563041.91+2345524.81</f>
        <v>103908566.72</v>
      </c>
      <c r="H765" s="158">
        <f>101563041.91+2345524.81</f>
        <v>103908566.72</v>
      </c>
      <c r="I765" s="158">
        <f t="shared" si="37"/>
        <v>100</v>
      </c>
    </row>
    <row r="766" spans="1:9" ht="31.5" outlineLevel="5">
      <c r="A766" s="149" t="s">
        <v>802</v>
      </c>
      <c r="B766" s="150" t="s">
        <v>22</v>
      </c>
      <c r="C766" s="150" t="s">
        <v>201</v>
      </c>
      <c r="D766" s="150" t="s">
        <v>191</v>
      </c>
      <c r="E766" s="150" t="s">
        <v>833</v>
      </c>
      <c r="F766" s="150" t="s">
        <v>25</v>
      </c>
      <c r="G766" s="151">
        <f>G767</f>
        <v>6239369.57</v>
      </c>
      <c r="H766" s="158">
        <f>H767</f>
        <v>6166696.79</v>
      </c>
      <c r="I766" s="158">
        <f t="shared" si="37"/>
        <v>98.8352544406181</v>
      </c>
    </row>
    <row r="767" spans="1:9" ht="78.75" outlineLevel="6">
      <c r="A767" s="149" t="s">
        <v>335</v>
      </c>
      <c r="B767" s="150" t="s">
        <v>22</v>
      </c>
      <c r="C767" s="150" t="s">
        <v>201</v>
      </c>
      <c r="D767" s="150" t="s">
        <v>191</v>
      </c>
      <c r="E767" s="150" t="s">
        <v>834</v>
      </c>
      <c r="F767" s="150" t="s">
        <v>25</v>
      </c>
      <c r="G767" s="151">
        <f>G768</f>
        <v>6239369.57</v>
      </c>
      <c r="H767" s="158">
        <f>H768</f>
        <v>6166696.79</v>
      </c>
      <c r="I767" s="158">
        <f t="shared" si="37"/>
        <v>98.8352544406181</v>
      </c>
    </row>
    <row r="768" spans="1:9" ht="47.25" outlineLevel="7">
      <c r="A768" s="149" t="s">
        <v>386</v>
      </c>
      <c r="B768" s="150" t="s">
        <v>22</v>
      </c>
      <c r="C768" s="150" t="s">
        <v>201</v>
      </c>
      <c r="D768" s="150" t="s">
        <v>191</v>
      </c>
      <c r="E768" s="150" t="s">
        <v>834</v>
      </c>
      <c r="F768" s="150" t="s">
        <v>273</v>
      </c>
      <c r="G768" s="151">
        <f>6857011-617641.43</f>
        <v>6239369.57</v>
      </c>
      <c r="H768" s="158">
        <v>6166696.79</v>
      </c>
      <c r="I768" s="158">
        <f t="shared" si="37"/>
        <v>98.8352544406181</v>
      </c>
    </row>
    <row r="769" spans="1:10" s="148" customFormat="1" ht="47.25" outlineLevel="4">
      <c r="A769" s="144" t="s">
        <v>736</v>
      </c>
      <c r="B769" s="145" t="s">
        <v>22</v>
      </c>
      <c r="C769" s="145" t="s">
        <v>201</v>
      </c>
      <c r="D769" s="145" t="s">
        <v>191</v>
      </c>
      <c r="E769" s="145" t="s">
        <v>737</v>
      </c>
      <c r="F769" s="145" t="s">
        <v>25</v>
      </c>
      <c r="G769" s="146">
        <f>G775+G770+G778</f>
        <v>8984211.74</v>
      </c>
      <c r="H769" s="161">
        <f>H775+H770+H778</f>
        <v>8962673.09</v>
      </c>
      <c r="I769" s="161">
        <f t="shared" si="37"/>
        <v>99.76026110444276</v>
      </c>
      <c r="J769" s="147"/>
    </row>
    <row r="770" spans="1:10" s="148" customFormat="1" ht="47.25" outlineLevel="4">
      <c r="A770" s="149" t="s">
        <v>742</v>
      </c>
      <c r="B770" s="150" t="s">
        <v>22</v>
      </c>
      <c r="C770" s="150" t="s">
        <v>201</v>
      </c>
      <c r="D770" s="150" t="s">
        <v>191</v>
      </c>
      <c r="E770" s="150" t="s">
        <v>743</v>
      </c>
      <c r="F770" s="150" t="s">
        <v>25</v>
      </c>
      <c r="G770" s="151">
        <f>G771+G773</f>
        <v>4618382.74</v>
      </c>
      <c r="H770" s="158">
        <f>H771+H773</f>
        <v>4614932.27</v>
      </c>
      <c r="I770" s="158">
        <f t="shared" si="37"/>
        <v>99.92528834888205</v>
      </c>
      <c r="J770" s="147"/>
    </row>
    <row r="771" spans="1:10" s="148" customFormat="1" ht="31.5" outlineLevel="4">
      <c r="A771" s="149" t="s">
        <v>612</v>
      </c>
      <c r="B771" s="150" t="s">
        <v>22</v>
      </c>
      <c r="C771" s="150" t="s">
        <v>201</v>
      </c>
      <c r="D771" s="150" t="s">
        <v>191</v>
      </c>
      <c r="E771" s="150" t="s">
        <v>744</v>
      </c>
      <c r="F771" s="150" t="s">
        <v>25</v>
      </c>
      <c r="G771" s="151">
        <f>G772</f>
        <v>4566178.74</v>
      </c>
      <c r="H771" s="158">
        <f>H772</f>
        <v>4562728.27</v>
      </c>
      <c r="I771" s="158">
        <f t="shared" si="37"/>
        <v>99.92443418892532</v>
      </c>
      <c r="J771" s="147"/>
    </row>
    <row r="772" spans="1:10" s="148" customFormat="1" ht="47.25" outlineLevel="4">
      <c r="A772" s="149" t="s">
        <v>386</v>
      </c>
      <c r="B772" s="150" t="s">
        <v>22</v>
      </c>
      <c r="C772" s="150" t="s">
        <v>201</v>
      </c>
      <c r="D772" s="150" t="s">
        <v>191</v>
      </c>
      <c r="E772" s="150" t="s">
        <v>744</v>
      </c>
      <c r="F772" s="150" t="s">
        <v>273</v>
      </c>
      <c r="G772" s="151">
        <f>9786493.98-5543497.5+323182.26</f>
        <v>4566178.74</v>
      </c>
      <c r="H772" s="158">
        <v>4562728.27</v>
      </c>
      <c r="I772" s="158">
        <f t="shared" si="37"/>
        <v>99.92443418892532</v>
      </c>
      <c r="J772" s="147"/>
    </row>
    <row r="773" spans="1:10" s="148" customFormat="1" ht="31.5" outlineLevel="4">
      <c r="A773" s="149" t="s">
        <v>353</v>
      </c>
      <c r="B773" s="150" t="s">
        <v>22</v>
      </c>
      <c r="C773" s="150" t="s">
        <v>201</v>
      </c>
      <c r="D773" s="150" t="s">
        <v>191</v>
      </c>
      <c r="E773" s="150" t="s">
        <v>808</v>
      </c>
      <c r="F773" s="150" t="s">
        <v>25</v>
      </c>
      <c r="G773" s="151">
        <f>G774</f>
        <v>52204</v>
      </c>
      <c r="H773" s="158">
        <f>H774</f>
        <v>52204</v>
      </c>
      <c r="I773" s="158">
        <f t="shared" si="37"/>
        <v>100</v>
      </c>
      <c r="J773" s="147"/>
    </row>
    <row r="774" spans="1:10" s="148" customFormat="1" ht="47.25" outlineLevel="4">
      <c r="A774" s="149" t="s">
        <v>386</v>
      </c>
      <c r="B774" s="150" t="s">
        <v>22</v>
      </c>
      <c r="C774" s="150" t="s">
        <v>201</v>
      </c>
      <c r="D774" s="150" t="s">
        <v>191</v>
      </c>
      <c r="E774" s="150" t="s">
        <v>808</v>
      </c>
      <c r="F774" s="150" t="s">
        <v>273</v>
      </c>
      <c r="G774" s="151">
        <f>52204</f>
        <v>52204</v>
      </c>
      <c r="H774" s="158">
        <f>52204</f>
        <v>52204</v>
      </c>
      <c r="I774" s="158">
        <f t="shared" si="37"/>
        <v>100</v>
      </c>
      <c r="J774" s="147"/>
    </row>
    <row r="775" spans="1:9" ht="15.75" outlineLevel="5">
      <c r="A775" s="149" t="s">
        <v>835</v>
      </c>
      <c r="B775" s="150" t="s">
        <v>22</v>
      </c>
      <c r="C775" s="150" t="s">
        <v>201</v>
      </c>
      <c r="D775" s="150" t="s">
        <v>191</v>
      </c>
      <c r="E775" s="150" t="s">
        <v>836</v>
      </c>
      <c r="F775" s="150" t="s">
        <v>25</v>
      </c>
      <c r="G775" s="151">
        <f>G776</f>
        <v>3617636</v>
      </c>
      <c r="H775" s="158">
        <f>H776</f>
        <v>3599547.82</v>
      </c>
      <c r="I775" s="158">
        <f t="shared" si="37"/>
        <v>99.5</v>
      </c>
    </row>
    <row r="776" spans="1:9" ht="31.5" outlineLevel="6">
      <c r="A776" s="149" t="s">
        <v>353</v>
      </c>
      <c r="B776" s="150" t="s">
        <v>22</v>
      </c>
      <c r="C776" s="150" t="s">
        <v>201</v>
      </c>
      <c r="D776" s="150" t="s">
        <v>191</v>
      </c>
      <c r="E776" s="150" t="s">
        <v>837</v>
      </c>
      <c r="F776" s="150" t="s">
        <v>25</v>
      </c>
      <c r="G776" s="151">
        <f>G777</f>
        <v>3617636</v>
      </c>
      <c r="H776" s="158">
        <f>H777</f>
        <v>3599547.82</v>
      </c>
      <c r="I776" s="158">
        <f t="shared" si="37"/>
        <v>99.5</v>
      </c>
    </row>
    <row r="777" spans="1:9" ht="47.25" outlineLevel="7">
      <c r="A777" s="149" t="s">
        <v>386</v>
      </c>
      <c r="B777" s="150" t="s">
        <v>22</v>
      </c>
      <c r="C777" s="150" t="s">
        <v>201</v>
      </c>
      <c r="D777" s="150" t="s">
        <v>191</v>
      </c>
      <c r="E777" s="150" t="s">
        <v>837</v>
      </c>
      <c r="F777" s="150" t="s">
        <v>273</v>
      </c>
      <c r="G777" s="151">
        <v>3617636</v>
      </c>
      <c r="H777" s="158">
        <v>3599547.82</v>
      </c>
      <c r="I777" s="158">
        <f t="shared" si="37"/>
        <v>99.5</v>
      </c>
    </row>
    <row r="778" spans="1:9" ht="47.25" outlineLevel="7">
      <c r="A778" s="149" t="s">
        <v>838</v>
      </c>
      <c r="B778" s="150" t="s">
        <v>22</v>
      </c>
      <c r="C778" s="150" t="s">
        <v>201</v>
      </c>
      <c r="D778" s="150" t="s">
        <v>191</v>
      </c>
      <c r="E778" s="150" t="s">
        <v>810</v>
      </c>
      <c r="F778" s="150" t="s">
        <v>25</v>
      </c>
      <c r="G778" s="151">
        <f>G779+G781</f>
        <v>748193</v>
      </c>
      <c r="H778" s="158">
        <f>H779+H781</f>
        <v>748193</v>
      </c>
      <c r="I778" s="158">
        <f t="shared" si="37"/>
        <v>100</v>
      </c>
    </row>
    <row r="779" spans="1:9" ht="31.5" outlineLevel="7">
      <c r="A779" s="149" t="s">
        <v>612</v>
      </c>
      <c r="B779" s="150" t="s">
        <v>22</v>
      </c>
      <c r="C779" s="150" t="s">
        <v>201</v>
      </c>
      <c r="D779" s="150" t="s">
        <v>191</v>
      </c>
      <c r="E779" s="150" t="s">
        <v>811</v>
      </c>
      <c r="F779" s="150" t="s">
        <v>25</v>
      </c>
      <c r="G779" s="151">
        <f>G780</f>
        <v>645519.8200000001</v>
      </c>
      <c r="H779" s="158">
        <f>H780</f>
        <v>645519.8200000001</v>
      </c>
      <c r="I779" s="158">
        <f aca="true" t="shared" si="39" ref="I779:I842">H779/G779*100</f>
        <v>100</v>
      </c>
    </row>
    <row r="780" spans="1:9" ht="47.25" outlineLevel="7">
      <c r="A780" s="149" t="s">
        <v>386</v>
      </c>
      <c r="B780" s="150" t="s">
        <v>22</v>
      </c>
      <c r="C780" s="150" t="s">
        <v>201</v>
      </c>
      <c r="D780" s="150" t="s">
        <v>191</v>
      </c>
      <c r="E780" s="150" t="s">
        <v>811</v>
      </c>
      <c r="F780" s="150" t="s">
        <v>273</v>
      </c>
      <c r="G780" s="151">
        <f>843817-198297.18</f>
        <v>645519.8200000001</v>
      </c>
      <c r="H780" s="158">
        <f>843817-198297.18</f>
        <v>645519.8200000001</v>
      </c>
      <c r="I780" s="158">
        <f t="shared" si="39"/>
        <v>100</v>
      </c>
    </row>
    <row r="781" spans="1:9" ht="31.5" outlineLevel="7">
      <c r="A781" s="149" t="s">
        <v>353</v>
      </c>
      <c r="B781" s="150" t="s">
        <v>22</v>
      </c>
      <c r="C781" s="150" t="s">
        <v>201</v>
      </c>
      <c r="D781" s="150" t="s">
        <v>191</v>
      </c>
      <c r="E781" s="150" t="s">
        <v>812</v>
      </c>
      <c r="F781" s="150" t="s">
        <v>25</v>
      </c>
      <c r="G781" s="151">
        <f>G782</f>
        <v>102673.18</v>
      </c>
      <c r="H781" s="158">
        <f>H782</f>
        <v>102673.18</v>
      </c>
      <c r="I781" s="158">
        <f t="shared" si="39"/>
        <v>100</v>
      </c>
    </row>
    <row r="782" spans="1:9" ht="47.25" outlineLevel="7">
      <c r="A782" s="149" t="s">
        <v>386</v>
      </c>
      <c r="B782" s="150" t="s">
        <v>22</v>
      </c>
      <c r="C782" s="150" t="s">
        <v>201</v>
      </c>
      <c r="D782" s="150" t="s">
        <v>191</v>
      </c>
      <c r="E782" s="150" t="s">
        <v>812</v>
      </c>
      <c r="F782" s="150" t="s">
        <v>273</v>
      </c>
      <c r="G782" s="151">
        <f>102673.18</f>
        <v>102673.18</v>
      </c>
      <c r="H782" s="158">
        <f>102673.18</f>
        <v>102673.18</v>
      </c>
      <c r="I782" s="158">
        <f t="shared" si="39"/>
        <v>100</v>
      </c>
    </row>
    <row r="783" spans="1:10" s="148" customFormat="1" ht="47.25" outlineLevel="3">
      <c r="A783" s="144" t="s">
        <v>347</v>
      </c>
      <c r="B783" s="145" t="s">
        <v>22</v>
      </c>
      <c r="C783" s="145" t="s">
        <v>201</v>
      </c>
      <c r="D783" s="145" t="s">
        <v>191</v>
      </c>
      <c r="E783" s="145" t="s">
        <v>348</v>
      </c>
      <c r="F783" s="145" t="s">
        <v>25</v>
      </c>
      <c r="G783" s="146">
        <f aca="true" t="shared" si="40" ref="G783:H786">G784</f>
        <v>1063952</v>
      </c>
      <c r="H783" s="161">
        <f t="shared" si="40"/>
        <v>1063952</v>
      </c>
      <c r="I783" s="161">
        <f t="shared" si="39"/>
        <v>100</v>
      </c>
      <c r="J783" s="147"/>
    </row>
    <row r="784" spans="1:10" s="148" customFormat="1" ht="47.25" outlineLevel="4">
      <c r="A784" s="144" t="s">
        <v>349</v>
      </c>
      <c r="B784" s="145" t="s">
        <v>22</v>
      </c>
      <c r="C784" s="145" t="s">
        <v>201</v>
      </c>
      <c r="D784" s="145" t="s">
        <v>191</v>
      </c>
      <c r="E784" s="145" t="s">
        <v>350</v>
      </c>
      <c r="F784" s="145" t="s">
        <v>25</v>
      </c>
      <c r="G784" s="146">
        <f t="shared" si="40"/>
        <v>1063952</v>
      </c>
      <c r="H784" s="161">
        <f t="shared" si="40"/>
        <v>1063952</v>
      </c>
      <c r="I784" s="161">
        <f t="shared" si="39"/>
        <v>100</v>
      </c>
      <c r="J784" s="147"/>
    </row>
    <row r="785" spans="1:9" ht="31.5" outlineLevel="5">
      <c r="A785" s="149" t="s">
        <v>418</v>
      </c>
      <c r="B785" s="150" t="s">
        <v>22</v>
      </c>
      <c r="C785" s="150" t="s">
        <v>201</v>
      </c>
      <c r="D785" s="150" t="s">
        <v>191</v>
      </c>
      <c r="E785" s="150" t="s">
        <v>419</v>
      </c>
      <c r="F785" s="150" t="s">
        <v>25</v>
      </c>
      <c r="G785" s="151">
        <f t="shared" si="40"/>
        <v>1063952</v>
      </c>
      <c r="H785" s="158">
        <f t="shared" si="40"/>
        <v>1063952</v>
      </c>
      <c r="I785" s="158">
        <f t="shared" si="39"/>
        <v>100</v>
      </c>
    </row>
    <row r="786" spans="1:9" ht="31.5" outlineLevel="6">
      <c r="A786" s="149" t="s">
        <v>353</v>
      </c>
      <c r="B786" s="150" t="s">
        <v>22</v>
      </c>
      <c r="C786" s="150" t="s">
        <v>201</v>
      </c>
      <c r="D786" s="150" t="s">
        <v>191</v>
      </c>
      <c r="E786" s="150" t="s">
        <v>420</v>
      </c>
      <c r="F786" s="150" t="s">
        <v>25</v>
      </c>
      <c r="G786" s="151">
        <f t="shared" si="40"/>
        <v>1063952</v>
      </c>
      <c r="H786" s="158">
        <f t="shared" si="40"/>
        <v>1063952</v>
      </c>
      <c r="I786" s="158">
        <f t="shared" si="39"/>
        <v>100</v>
      </c>
    </row>
    <row r="787" spans="1:9" ht="47.25" outlineLevel="7">
      <c r="A787" s="149" t="s">
        <v>386</v>
      </c>
      <c r="B787" s="150" t="s">
        <v>22</v>
      </c>
      <c r="C787" s="150" t="s">
        <v>201</v>
      </c>
      <c r="D787" s="150" t="s">
        <v>191</v>
      </c>
      <c r="E787" s="150" t="s">
        <v>420</v>
      </c>
      <c r="F787" s="150" t="s">
        <v>273</v>
      </c>
      <c r="G787" s="151">
        <f>963400+20000+80552</f>
        <v>1063952</v>
      </c>
      <c r="H787" s="158">
        <f>963400+20000+80552</f>
        <v>1063952</v>
      </c>
      <c r="I787" s="158">
        <f t="shared" si="39"/>
        <v>100</v>
      </c>
    </row>
    <row r="788" spans="1:10" s="148" customFormat="1" ht="15.75" outlineLevel="2">
      <c r="A788" s="144" t="s">
        <v>300</v>
      </c>
      <c r="B788" s="145" t="s">
        <v>22</v>
      </c>
      <c r="C788" s="145" t="s">
        <v>201</v>
      </c>
      <c r="D788" s="145" t="s">
        <v>193</v>
      </c>
      <c r="E788" s="145" t="s">
        <v>313</v>
      </c>
      <c r="F788" s="145" t="s">
        <v>25</v>
      </c>
      <c r="G788" s="146">
        <f>G789+G813</f>
        <v>212950944.2</v>
      </c>
      <c r="H788" s="161">
        <f>H789+H813</f>
        <v>212922702.26999998</v>
      </c>
      <c r="I788" s="161">
        <f t="shared" si="39"/>
        <v>99.98673782353673</v>
      </c>
      <c r="J788" s="147"/>
    </row>
    <row r="789" spans="1:10" s="148" customFormat="1" ht="47.25" outlineLevel="3">
      <c r="A789" s="144" t="s">
        <v>734</v>
      </c>
      <c r="B789" s="145" t="s">
        <v>22</v>
      </c>
      <c r="C789" s="145" t="s">
        <v>201</v>
      </c>
      <c r="D789" s="145" t="s">
        <v>193</v>
      </c>
      <c r="E789" s="145" t="s">
        <v>735</v>
      </c>
      <c r="F789" s="145" t="s">
        <v>25</v>
      </c>
      <c r="G789" s="146">
        <f>G790+G801</f>
        <v>211629494.2</v>
      </c>
      <c r="H789" s="161">
        <f>H790+H801</f>
        <v>211601252.26999998</v>
      </c>
      <c r="I789" s="161">
        <f t="shared" si="39"/>
        <v>99.98665501228608</v>
      </c>
      <c r="J789" s="147"/>
    </row>
    <row r="790" spans="1:10" s="148" customFormat="1" ht="63" outlineLevel="4">
      <c r="A790" s="144" t="s">
        <v>815</v>
      </c>
      <c r="B790" s="145" t="s">
        <v>22</v>
      </c>
      <c r="C790" s="145" t="s">
        <v>201</v>
      </c>
      <c r="D790" s="145" t="s">
        <v>193</v>
      </c>
      <c r="E790" s="145" t="s">
        <v>816</v>
      </c>
      <c r="F790" s="145" t="s">
        <v>25</v>
      </c>
      <c r="G790" s="146">
        <f>G791+G798</f>
        <v>209624072</v>
      </c>
      <c r="H790" s="161">
        <f>H791+H798</f>
        <v>209604389.63</v>
      </c>
      <c r="I790" s="161">
        <f t="shared" si="39"/>
        <v>99.99061063464123</v>
      </c>
      <c r="J790" s="147"/>
    </row>
    <row r="791" spans="1:9" ht="47.25" outlineLevel="5">
      <c r="A791" s="149" t="s">
        <v>839</v>
      </c>
      <c r="B791" s="150" t="s">
        <v>22</v>
      </c>
      <c r="C791" s="150" t="s">
        <v>201</v>
      </c>
      <c r="D791" s="150" t="s">
        <v>193</v>
      </c>
      <c r="E791" s="150" t="s">
        <v>840</v>
      </c>
      <c r="F791" s="150" t="s">
        <v>25</v>
      </c>
      <c r="G791" s="151">
        <f>G792+G794+G796</f>
        <v>206451978.6</v>
      </c>
      <c r="H791" s="158">
        <f>H792+H794+H796</f>
        <v>206451978.6</v>
      </c>
      <c r="I791" s="158">
        <f t="shared" si="39"/>
        <v>100</v>
      </c>
    </row>
    <row r="792" spans="1:9" ht="78.75" outlineLevel="6">
      <c r="A792" s="149" t="s">
        <v>431</v>
      </c>
      <c r="B792" s="150" t="s">
        <v>22</v>
      </c>
      <c r="C792" s="150" t="s">
        <v>201</v>
      </c>
      <c r="D792" s="150" t="s">
        <v>193</v>
      </c>
      <c r="E792" s="150" t="s">
        <v>841</v>
      </c>
      <c r="F792" s="150" t="s">
        <v>25</v>
      </c>
      <c r="G792" s="151">
        <f>G793</f>
        <v>196950490</v>
      </c>
      <c r="H792" s="158">
        <f>H793</f>
        <v>196950490</v>
      </c>
      <c r="I792" s="158">
        <f t="shared" si="39"/>
        <v>100</v>
      </c>
    </row>
    <row r="793" spans="1:9" ht="47.25" outlineLevel="7">
      <c r="A793" s="149" t="s">
        <v>386</v>
      </c>
      <c r="B793" s="150" t="s">
        <v>22</v>
      </c>
      <c r="C793" s="150" t="s">
        <v>201</v>
      </c>
      <c r="D793" s="150" t="s">
        <v>193</v>
      </c>
      <c r="E793" s="150" t="s">
        <v>841</v>
      </c>
      <c r="F793" s="150" t="s">
        <v>273</v>
      </c>
      <c r="G793" s="151">
        <f>201050490-3100000-1000000</f>
        <v>196950490</v>
      </c>
      <c r="H793" s="158">
        <f>201050490-3100000-1000000</f>
        <v>196950490</v>
      </c>
      <c r="I793" s="158">
        <f t="shared" si="39"/>
        <v>100</v>
      </c>
    </row>
    <row r="794" spans="1:9" ht="78.75" outlineLevel="6">
      <c r="A794" s="149" t="s">
        <v>794</v>
      </c>
      <c r="B794" s="150" t="s">
        <v>22</v>
      </c>
      <c r="C794" s="150" t="s">
        <v>201</v>
      </c>
      <c r="D794" s="150" t="s">
        <v>193</v>
      </c>
      <c r="E794" s="150" t="s">
        <v>842</v>
      </c>
      <c r="F794" s="150" t="s">
        <v>25</v>
      </c>
      <c r="G794" s="151">
        <f>G795</f>
        <v>6535707.48</v>
      </c>
      <c r="H794" s="158">
        <f>H795</f>
        <v>6535707.48</v>
      </c>
      <c r="I794" s="158">
        <f t="shared" si="39"/>
        <v>100</v>
      </c>
    </row>
    <row r="795" spans="1:9" ht="47.25" outlineLevel="7">
      <c r="A795" s="149" t="s">
        <v>386</v>
      </c>
      <c r="B795" s="150" t="s">
        <v>22</v>
      </c>
      <c r="C795" s="150" t="s">
        <v>201</v>
      </c>
      <c r="D795" s="150" t="s">
        <v>193</v>
      </c>
      <c r="E795" s="150" t="s">
        <v>842</v>
      </c>
      <c r="F795" s="150" t="s">
        <v>273</v>
      </c>
      <c r="G795" s="151">
        <f>5845011.44+65165.16+76026.03+549504.85</f>
        <v>6535707.48</v>
      </c>
      <c r="H795" s="158">
        <f>5845011.44+65165.16+76026.03+549504.85</f>
        <v>6535707.48</v>
      </c>
      <c r="I795" s="158">
        <f t="shared" si="39"/>
        <v>100</v>
      </c>
    </row>
    <row r="796" spans="1:9" ht="78.75" outlineLevel="6">
      <c r="A796" s="149" t="s">
        <v>794</v>
      </c>
      <c r="B796" s="150" t="s">
        <v>22</v>
      </c>
      <c r="C796" s="150" t="s">
        <v>201</v>
      </c>
      <c r="D796" s="150" t="s">
        <v>193</v>
      </c>
      <c r="E796" s="150" t="s">
        <v>843</v>
      </c>
      <c r="F796" s="150" t="s">
        <v>25</v>
      </c>
      <c r="G796" s="151">
        <f>G797</f>
        <v>2965781.12</v>
      </c>
      <c r="H796" s="158">
        <f>H797</f>
        <v>2965781.12</v>
      </c>
      <c r="I796" s="158">
        <f t="shared" si="39"/>
        <v>100</v>
      </c>
    </row>
    <row r="797" spans="1:9" ht="47.25" outlineLevel="7">
      <c r="A797" s="149" t="s">
        <v>386</v>
      </c>
      <c r="B797" s="150" t="s">
        <v>22</v>
      </c>
      <c r="C797" s="150" t="s">
        <v>201</v>
      </c>
      <c r="D797" s="150" t="s">
        <v>193</v>
      </c>
      <c r="E797" s="150" t="s">
        <v>843</v>
      </c>
      <c r="F797" s="150" t="s">
        <v>273</v>
      </c>
      <c r="G797" s="151">
        <f>2958350+3429.75+4001.37</f>
        <v>2965781.12</v>
      </c>
      <c r="H797" s="158">
        <f>2958350+3429.75+4001.37</f>
        <v>2965781.12</v>
      </c>
      <c r="I797" s="158">
        <f t="shared" si="39"/>
        <v>100</v>
      </c>
    </row>
    <row r="798" spans="1:9" ht="31.5" outlineLevel="5">
      <c r="A798" s="149" t="s">
        <v>802</v>
      </c>
      <c r="B798" s="150" t="s">
        <v>22</v>
      </c>
      <c r="C798" s="150" t="s">
        <v>201</v>
      </c>
      <c r="D798" s="150" t="s">
        <v>193</v>
      </c>
      <c r="E798" s="150" t="s">
        <v>844</v>
      </c>
      <c r="F798" s="150" t="s">
        <v>25</v>
      </c>
      <c r="G798" s="151">
        <f>G799</f>
        <v>3172093.4</v>
      </c>
      <c r="H798" s="158">
        <f>H799</f>
        <v>3152411.03</v>
      </c>
      <c r="I798" s="158">
        <f t="shared" si="39"/>
        <v>99.379514802433</v>
      </c>
    </row>
    <row r="799" spans="1:9" ht="78.75" outlineLevel="6">
      <c r="A799" s="149" t="s">
        <v>335</v>
      </c>
      <c r="B799" s="150" t="s">
        <v>22</v>
      </c>
      <c r="C799" s="150" t="s">
        <v>201</v>
      </c>
      <c r="D799" s="150" t="s">
        <v>193</v>
      </c>
      <c r="E799" s="150" t="s">
        <v>845</v>
      </c>
      <c r="F799" s="150" t="s">
        <v>25</v>
      </c>
      <c r="G799" s="151">
        <f>G800</f>
        <v>3172093.4</v>
      </c>
      <c r="H799" s="158">
        <f>H800</f>
        <v>3152411.03</v>
      </c>
      <c r="I799" s="158">
        <f t="shared" si="39"/>
        <v>99.379514802433</v>
      </c>
    </row>
    <row r="800" spans="1:9" ht="47.25" outlineLevel="7">
      <c r="A800" s="149" t="s">
        <v>386</v>
      </c>
      <c r="B800" s="150" t="s">
        <v>22</v>
      </c>
      <c r="C800" s="150" t="s">
        <v>201</v>
      </c>
      <c r="D800" s="150" t="s">
        <v>193</v>
      </c>
      <c r="E800" s="150" t="s">
        <v>845</v>
      </c>
      <c r="F800" s="150" t="s">
        <v>273</v>
      </c>
      <c r="G800" s="151">
        <f>3422320-94407.42-155819.18</f>
        <v>3172093.4</v>
      </c>
      <c r="H800" s="158">
        <v>3152411.03</v>
      </c>
      <c r="I800" s="158">
        <f t="shared" si="39"/>
        <v>99.379514802433</v>
      </c>
    </row>
    <row r="801" spans="1:10" s="148" customFormat="1" ht="47.25" outlineLevel="4">
      <c r="A801" s="144" t="s">
        <v>736</v>
      </c>
      <c r="B801" s="145" t="s">
        <v>22</v>
      </c>
      <c r="C801" s="145" t="s">
        <v>201</v>
      </c>
      <c r="D801" s="145" t="s">
        <v>193</v>
      </c>
      <c r="E801" s="145" t="s">
        <v>737</v>
      </c>
      <c r="F801" s="145" t="s">
        <v>25</v>
      </c>
      <c r="G801" s="146">
        <f>G802+G810+G805</f>
        <v>2005422.2</v>
      </c>
      <c r="H801" s="161">
        <f>H802+H810+H805</f>
        <v>1996862.6400000001</v>
      </c>
      <c r="I801" s="161">
        <f t="shared" si="39"/>
        <v>99.57317915399561</v>
      </c>
      <c r="J801" s="147"/>
    </row>
    <row r="802" spans="1:9" ht="31.5" outlineLevel="5">
      <c r="A802" s="149" t="s">
        <v>805</v>
      </c>
      <c r="B802" s="150" t="s">
        <v>22</v>
      </c>
      <c r="C802" s="150" t="s">
        <v>201</v>
      </c>
      <c r="D802" s="150" t="s">
        <v>193</v>
      </c>
      <c r="E802" s="150" t="s">
        <v>806</v>
      </c>
      <c r="F802" s="150" t="s">
        <v>25</v>
      </c>
      <c r="G802" s="151">
        <f>G803</f>
        <v>464000</v>
      </c>
      <c r="H802" s="158">
        <f>H803</f>
        <v>457427</v>
      </c>
      <c r="I802" s="158">
        <f t="shared" si="39"/>
        <v>98.58340517241379</v>
      </c>
    </row>
    <row r="803" spans="1:9" ht="31.5" outlineLevel="6">
      <c r="A803" s="149" t="s">
        <v>353</v>
      </c>
      <c r="B803" s="150" t="s">
        <v>22</v>
      </c>
      <c r="C803" s="150" t="s">
        <v>201</v>
      </c>
      <c r="D803" s="150" t="s">
        <v>193</v>
      </c>
      <c r="E803" s="150" t="s">
        <v>807</v>
      </c>
      <c r="F803" s="150" t="s">
        <v>25</v>
      </c>
      <c r="G803" s="151">
        <f>G804</f>
        <v>464000</v>
      </c>
      <c r="H803" s="158">
        <f>H804</f>
        <v>457427</v>
      </c>
      <c r="I803" s="158">
        <f t="shared" si="39"/>
        <v>98.58340517241379</v>
      </c>
    </row>
    <row r="804" spans="1:9" ht="47.25" outlineLevel="7">
      <c r="A804" s="149" t="s">
        <v>386</v>
      </c>
      <c r="B804" s="150" t="s">
        <v>22</v>
      </c>
      <c r="C804" s="150" t="s">
        <v>201</v>
      </c>
      <c r="D804" s="150" t="s">
        <v>193</v>
      </c>
      <c r="E804" s="150" t="s">
        <v>807</v>
      </c>
      <c r="F804" s="150" t="s">
        <v>273</v>
      </c>
      <c r="G804" s="151">
        <v>464000</v>
      </c>
      <c r="H804" s="158">
        <v>457427</v>
      </c>
      <c r="I804" s="158">
        <f t="shared" si="39"/>
        <v>98.58340517241379</v>
      </c>
    </row>
    <row r="805" spans="1:9" ht="47.25" outlineLevel="7">
      <c r="A805" s="149" t="s">
        <v>742</v>
      </c>
      <c r="B805" s="150" t="s">
        <v>22</v>
      </c>
      <c r="C805" s="150" t="s">
        <v>201</v>
      </c>
      <c r="D805" s="150" t="s">
        <v>193</v>
      </c>
      <c r="E805" s="150" t="s">
        <v>743</v>
      </c>
      <c r="F805" s="150" t="s">
        <v>25</v>
      </c>
      <c r="G805" s="151">
        <f>G806+G808</f>
        <v>945205.2</v>
      </c>
      <c r="H805" s="158">
        <f>H806+H808</f>
        <v>943925.64</v>
      </c>
      <c r="I805" s="158">
        <f t="shared" si="39"/>
        <v>99.86462622084602</v>
      </c>
    </row>
    <row r="806" spans="1:9" ht="31.5" outlineLevel="7">
      <c r="A806" s="149" t="s">
        <v>612</v>
      </c>
      <c r="B806" s="150" t="s">
        <v>22</v>
      </c>
      <c r="C806" s="150" t="s">
        <v>201</v>
      </c>
      <c r="D806" s="150" t="s">
        <v>193</v>
      </c>
      <c r="E806" s="150" t="s">
        <v>744</v>
      </c>
      <c r="F806" s="150" t="s">
        <v>25</v>
      </c>
      <c r="G806" s="151">
        <f>G807</f>
        <v>475205.2</v>
      </c>
      <c r="H806" s="158">
        <f>H807</f>
        <v>473925.64</v>
      </c>
      <c r="I806" s="158">
        <f t="shared" si="39"/>
        <v>99.7307352697319</v>
      </c>
    </row>
    <row r="807" spans="1:9" ht="47.25" outlineLevel="7">
      <c r="A807" s="149" t="s">
        <v>386</v>
      </c>
      <c r="B807" s="150" t="s">
        <v>22</v>
      </c>
      <c r="C807" s="150" t="s">
        <v>201</v>
      </c>
      <c r="D807" s="150" t="s">
        <v>193</v>
      </c>
      <c r="E807" s="150" t="s">
        <v>744</v>
      </c>
      <c r="F807" s="150" t="s">
        <v>273</v>
      </c>
      <c r="G807" s="151">
        <f>207125+268080.2</f>
        <v>475205.2</v>
      </c>
      <c r="H807" s="158">
        <v>473925.64</v>
      </c>
      <c r="I807" s="158">
        <f t="shared" si="39"/>
        <v>99.7307352697319</v>
      </c>
    </row>
    <row r="808" spans="1:9" ht="31.5" outlineLevel="7">
      <c r="A808" s="149" t="s">
        <v>353</v>
      </c>
      <c r="B808" s="150" t="s">
        <v>22</v>
      </c>
      <c r="C808" s="150" t="s">
        <v>201</v>
      </c>
      <c r="D808" s="150" t="s">
        <v>193</v>
      </c>
      <c r="E808" s="150" t="s">
        <v>808</v>
      </c>
      <c r="F808" s="150" t="s">
        <v>25</v>
      </c>
      <c r="G808" s="151">
        <f>G809</f>
        <v>470000</v>
      </c>
      <c r="H808" s="158">
        <f>H809</f>
        <v>470000</v>
      </c>
      <c r="I808" s="158">
        <f t="shared" si="39"/>
        <v>100</v>
      </c>
    </row>
    <row r="809" spans="1:9" ht="47.25" outlineLevel="7">
      <c r="A809" s="149" t="s">
        <v>386</v>
      </c>
      <c r="B809" s="150" t="s">
        <v>22</v>
      </c>
      <c r="C809" s="150" t="s">
        <v>201</v>
      </c>
      <c r="D809" s="150" t="s">
        <v>193</v>
      </c>
      <c r="E809" s="150" t="s">
        <v>808</v>
      </c>
      <c r="F809" s="150" t="s">
        <v>273</v>
      </c>
      <c r="G809" s="151">
        <f>470000</f>
        <v>470000</v>
      </c>
      <c r="H809" s="158">
        <f>470000</f>
        <v>470000</v>
      </c>
      <c r="I809" s="158">
        <f t="shared" si="39"/>
        <v>100</v>
      </c>
    </row>
    <row r="810" spans="1:9" ht="47.25" outlineLevel="5">
      <c r="A810" s="149" t="s">
        <v>809</v>
      </c>
      <c r="B810" s="150" t="s">
        <v>22</v>
      </c>
      <c r="C810" s="150" t="s">
        <v>201</v>
      </c>
      <c r="D810" s="150" t="s">
        <v>193</v>
      </c>
      <c r="E810" s="150" t="s">
        <v>810</v>
      </c>
      <c r="F810" s="150" t="s">
        <v>25</v>
      </c>
      <c r="G810" s="151">
        <f>G811</f>
        <v>596217</v>
      </c>
      <c r="H810" s="158">
        <f>H811</f>
        <v>595510</v>
      </c>
      <c r="I810" s="158">
        <f t="shared" si="39"/>
        <v>99.88141901354707</v>
      </c>
    </row>
    <row r="811" spans="1:9" ht="31.5" outlineLevel="6">
      <c r="A811" s="149" t="s">
        <v>353</v>
      </c>
      <c r="B811" s="150" t="s">
        <v>22</v>
      </c>
      <c r="C811" s="150" t="s">
        <v>201</v>
      </c>
      <c r="D811" s="150" t="s">
        <v>193</v>
      </c>
      <c r="E811" s="150" t="s">
        <v>812</v>
      </c>
      <c r="F811" s="150" t="s">
        <v>25</v>
      </c>
      <c r="G811" s="151">
        <f>G812</f>
        <v>596217</v>
      </c>
      <c r="H811" s="158">
        <v>595510</v>
      </c>
      <c r="I811" s="158">
        <f t="shared" si="39"/>
        <v>99.88141901354707</v>
      </c>
    </row>
    <row r="812" spans="1:9" ht="47.25" outlineLevel="7">
      <c r="A812" s="149" t="s">
        <v>386</v>
      </c>
      <c r="B812" s="150" t="s">
        <v>22</v>
      </c>
      <c r="C812" s="150" t="s">
        <v>201</v>
      </c>
      <c r="D812" s="150" t="s">
        <v>193</v>
      </c>
      <c r="E812" s="150" t="s">
        <v>812</v>
      </c>
      <c r="F812" s="150" t="s">
        <v>273</v>
      </c>
      <c r="G812" s="151">
        <f>469737+126480</f>
        <v>596217</v>
      </c>
      <c r="H812" s="158">
        <f>469737+126480</f>
        <v>596217</v>
      </c>
      <c r="I812" s="158">
        <f t="shared" si="39"/>
        <v>100</v>
      </c>
    </row>
    <row r="813" spans="1:10" s="148" customFormat="1" ht="47.25" outlineLevel="3">
      <c r="A813" s="144" t="s">
        <v>347</v>
      </c>
      <c r="B813" s="145" t="s">
        <v>22</v>
      </c>
      <c r="C813" s="145" t="s">
        <v>201</v>
      </c>
      <c r="D813" s="145" t="s">
        <v>193</v>
      </c>
      <c r="E813" s="145" t="s">
        <v>348</v>
      </c>
      <c r="F813" s="145" t="s">
        <v>25</v>
      </c>
      <c r="G813" s="146">
        <f aca="true" t="shared" si="41" ref="G813:H816">G814</f>
        <v>1321450</v>
      </c>
      <c r="H813" s="161">
        <f t="shared" si="41"/>
        <v>1321450</v>
      </c>
      <c r="I813" s="161">
        <f t="shared" si="39"/>
        <v>100</v>
      </c>
      <c r="J813" s="147"/>
    </row>
    <row r="814" spans="1:10" s="148" customFormat="1" ht="47.25" outlineLevel="4">
      <c r="A814" s="144" t="s">
        <v>349</v>
      </c>
      <c r="B814" s="145" t="s">
        <v>22</v>
      </c>
      <c r="C814" s="145" t="s">
        <v>201</v>
      </c>
      <c r="D814" s="145" t="s">
        <v>193</v>
      </c>
      <c r="E814" s="145" t="s">
        <v>350</v>
      </c>
      <c r="F814" s="145" t="s">
        <v>25</v>
      </c>
      <c r="G814" s="146">
        <f t="shared" si="41"/>
        <v>1321450</v>
      </c>
      <c r="H814" s="161">
        <f t="shared" si="41"/>
        <v>1321450</v>
      </c>
      <c r="I814" s="161">
        <f t="shared" si="39"/>
        <v>100</v>
      </c>
      <c r="J814" s="147"/>
    </row>
    <row r="815" spans="1:9" ht="31.5" outlineLevel="5">
      <c r="A815" s="149" t="s">
        <v>418</v>
      </c>
      <c r="B815" s="150" t="s">
        <v>22</v>
      </c>
      <c r="C815" s="150" t="s">
        <v>201</v>
      </c>
      <c r="D815" s="150" t="s">
        <v>193</v>
      </c>
      <c r="E815" s="150" t="s">
        <v>419</v>
      </c>
      <c r="F815" s="150" t="s">
        <v>25</v>
      </c>
      <c r="G815" s="151">
        <f t="shared" si="41"/>
        <v>1321450</v>
      </c>
      <c r="H815" s="158">
        <f t="shared" si="41"/>
        <v>1321450</v>
      </c>
      <c r="I815" s="158">
        <f t="shared" si="39"/>
        <v>100</v>
      </c>
    </row>
    <row r="816" spans="1:9" ht="31.5" outlineLevel="6">
      <c r="A816" s="149" t="s">
        <v>353</v>
      </c>
      <c r="B816" s="150" t="s">
        <v>22</v>
      </c>
      <c r="C816" s="150" t="s">
        <v>201</v>
      </c>
      <c r="D816" s="150" t="s">
        <v>193</v>
      </c>
      <c r="E816" s="150" t="s">
        <v>420</v>
      </c>
      <c r="F816" s="150" t="s">
        <v>25</v>
      </c>
      <c r="G816" s="151">
        <f t="shared" si="41"/>
        <v>1321450</v>
      </c>
      <c r="H816" s="158">
        <f t="shared" si="41"/>
        <v>1321450</v>
      </c>
      <c r="I816" s="158">
        <f t="shared" si="39"/>
        <v>100</v>
      </c>
    </row>
    <row r="817" spans="1:9" ht="47.25" outlineLevel="7">
      <c r="A817" s="149" t="s">
        <v>386</v>
      </c>
      <c r="B817" s="150" t="s">
        <v>22</v>
      </c>
      <c r="C817" s="150" t="s">
        <v>201</v>
      </c>
      <c r="D817" s="150" t="s">
        <v>193</v>
      </c>
      <c r="E817" s="150" t="s">
        <v>420</v>
      </c>
      <c r="F817" s="150" t="s">
        <v>273</v>
      </c>
      <c r="G817" s="151">
        <v>1321450</v>
      </c>
      <c r="H817" s="158">
        <v>1321450</v>
      </c>
      <c r="I817" s="158">
        <f t="shared" si="39"/>
        <v>100</v>
      </c>
    </row>
    <row r="818" spans="1:10" s="148" customFormat="1" ht="15.75" outlineLevel="2">
      <c r="A818" s="144" t="s">
        <v>301</v>
      </c>
      <c r="B818" s="145" t="s">
        <v>22</v>
      </c>
      <c r="C818" s="145" t="s">
        <v>201</v>
      </c>
      <c r="D818" s="145" t="s">
        <v>201</v>
      </c>
      <c r="E818" s="145" t="s">
        <v>313</v>
      </c>
      <c r="F818" s="145" t="s">
        <v>25</v>
      </c>
      <c r="G818" s="146">
        <f>G819</f>
        <v>12712790</v>
      </c>
      <c r="H818" s="161">
        <f>H819</f>
        <v>12702490</v>
      </c>
      <c r="I818" s="161">
        <f t="shared" si="39"/>
        <v>99.91897923272546</v>
      </c>
      <c r="J818" s="147"/>
    </row>
    <row r="819" spans="1:10" s="148" customFormat="1" ht="47.25" outlineLevel="3">
      <c r="A819" s="144" t="s">
        <v>734</v>
      </c>
      <c r="B819" s="145" t="s">
        <v>22</v>
      </c>
      <c r="C819" s="145" t="s">
        <v>201</v>
      </c>
      <c r="D819" s="145" t="s">
        <v>201</v>
      </c>
      <c r="E819" s="145" t="s">
        <v>735</v>
      </c>
      <c r="F819" s="145" t="s">
        <v>25</v>
      </c>
      <c r="G819" s="146">
        <f>G820</f>
        <v>12712790</v>
      </c>
      <c r="H819" s="161">
        <f>H820</f>
        <v>12702490</v>
      </c>
      <c r="I819" s="161">
        <f t="shared" si="39"/>
        <v>99.91897923272546</v>
      </c>
      <c r="J819" s="147"/>
    </row>
    <row r="820" spans="1:10" s="148" customFormat="1" ht="47.25" outlineLevel="4">
      <c r="A820" s="144" t="s">
        <v>846</v>
      </c>
      <c r="B820" s="145" t="s">
        <v>22</v>
      </c>
      <c r="C820" s="145" t="s">
        <v>201</v>
      </c>
      <c r="D820" s="145" t="s">
        <v>201</v>
      </c>
      <c r="E820" s="145" t="s">
        <v>847</v>
      </c>
      <c r="F820" s="145" t="s">
        <v>25</v>
      </c>
      <c r="G820" s="146">
        <f>G821+G828</f>
        <v>12712790</v>
      </c>
      <c r="H820" s="161">
        <f>H821+H828</f>
        <v>12702490</v>
      </c>
      <c r="I820" s="161">
        <f t="shared" si="39"/>
        <v>99.91897923272546</v>
      </c>
      <c r="J820" s="147"/>
    </row>
    <row r="821" spans="1:9" ht="31.5" outlineLevel="5">
      <c r="A821" s="149" t="s">
        <v>848</v>
      </c>
      <c r="B821" s="150" t="s">
        <v>22</v>
      </c>
      <c r="C821" s="150" t="s">
        <v>201</v>
      </c>
      <c r="D821" s="150" t="s">
        <v>201</v>
      </c>
      <c r="E821" s="150" t="s">
        <v>849</v>
      </c>
      <c r="F821" s="150" t="s">
        <v>25</v>
      </c>
      <c r="G821" s="151">
        <f>G822+G826+G824</f>
        <v>7574557.2</v>
      </c>
      <c r="H821" s="158">
        <f>H822+H826+H824</f>
        <v>7574557.2</v>
      </c>
      <c r="I821" s="158">
        <f t="shared" si="39"/>
        <v>100</v>
      </c>
    </row>
    <row r="822" spans="1:9" ht="31.5" outlineLevel="6">
      <c r="A822" s="149" t="s">
        <v>353</v>
      </c>
      <c r="B822" s="150" t="s">
        <v>22</v>
      </c>
      <c r="C822" s="150" t="s">
        <v>201</v>
      </c>
      <c r="D822" s="150" t="s">
        <v>201</v>
      </c>
      <c r="E822" s="150" t="s">
        <v>850</v>
      </c>
      <c r="F822" s="150" t="s">
        <v>25</v>
      </c>
      <c r="G822" s="151">
        <f>G823</f>
        <v>6782557.2</v>
      </c>
      <c r="H822" s="158">
        <f>H823</f>
        <v>6782557.2</v>
      </c>
      <c r="I822" s="158">
        <f t="shared" si="39"/>
        <v>100</v>
      </c>
    </row>
    <row r="823" spans="1:9" ht="47.25" outlineLevel="7">
      <c r="A823" s="149" t="s">
        <v>386</v>
      </c>
      <c r="B823" s="150" t="s">
        <v>22</v>
      </c>
      <c r="C823" s="150" t="s">
        <v>201</v>
      </c>
      <c r="D823" s="150" t="s">
        <v>201</v>
      </c>
      <c r="E823" s="150" t="s">
        <v>850</v>
      </c>
      <c r="F823" s="150" t="s">
        <v>273</v>
      </c>
      <c r="G823" s="151">
        <f>6822157.2-39600</f>
        <v>6782557.2</v>
      </c>
      <c r="H823" s="158">
        <f>6822157.2-39600</f>
        <v>6782557.2</v>
      </c>
      <c r="I823" s="158">
        <f t="shared" si="39"/>
        <v>100</v>
      </c>
    </row>
    <row r="824" spans="1:9" ht="47.25" outlineLevel="7">
      <c r="A824" s="156" t="s">
        <v>851</v>
      </c>
      <c r="B824" s="157" t="s">
        <v>22</v>
      </c>
      <c r="C824" s="157" t="s">
        <v>201</v>
      </c>
      <c r="D824" s="157" t="s">
        <v>201</v>
      </c>
      <c r="E824" s="157" t="s">
        <v>852</v>
      </c>
      <c r="F824" s="157" t="s">
        <v>25</v>
      </c>
      <c r="G824" s="158">
        <f>G825</f>
        <v>752400</v>
      </c>
      <c r="H824" s="158">
        <f>H825</f>
        <v>752400</v>
      </c>
      <c r="I824" s="158">
        <f t="shared" si="39"/>
        <v>100</v>
      </c>
    </row>
    <row r="825" spans="1:9" ht="47.25" outlineLevel="7">
      <c r="A825" s="156" t="s">
        <v>386</v>
      </c>
      <c r="B825" s="157" t="s">
        <v>22</v>
      </c>
      <c r="C825" s="157" t="s">
        <v>201</v>
      </c>
      <c r="D825" s="157" t="s">
        <v>201</v>
      </c>
      <c r="E825" s="157" t="s">
        <v>852</v>
      </c>
      <c r="F825" s="157" t="s">
        <v>273</v>
      </c>
      <c r="G825" s="158">
        <v>752400</v>
      </c>
      <c r="H825" s="158">
        <v>752400</v>
      </c>
      <c r="I825" s="158">
        <f t="shared" si="39"/>
        <v>100</v>
      </c>
    </row>
    <row r="826" spans="1:9" ht="54.75" customHeight="1" outlineLevel="7">
      <c r="A826" s="156" t="s">
        <v>851</v>
      </c>
      <c r="B826" s="157" t="s">
        <v>22</v>
      </c>
      <c r="C826" s="157" t="s">
        <v>201</v>
      </c>
      <c r="D826" s="157" t="s">
        <v>201</v>
      </c>
      <c r="E826" s="157" t="s">
        <v>853</v>
      </c>
      <c r="F826" s="157" t="s">
        <v>25</v>
      </c>
      <c r="G826" s="158">
        <f>G827</f>
        <v>39600</v>
      </c>
      <c r="H826" s="158">
        <f>H827</f>
        <v>39600</v>
      </c>
      <c r="I826" s="158">
        <f t="shared" si="39"/>
        <v>100</v>
      </c>
    </row>
    <row r="827" spans="1:9" ht="47.25" outlineLevel="7">
      <c r="A827" s="156" t="s">
        <v>386</v>
      </c>
      <c r="B827" s="157" t="s">
        <v>22</v>
      </c>
      <c r="C827" s="157" t="s">
        <v>201</v>
      </c>
      <c r="D827" s="157" t="s">
        <v>201</v>
      </c>
      <c r="E827" s="157" t="s">
        <v>853</v>
      </c>
      <c r="F827" s="157" t="s">
        <v>273</v>
      </c>
      <c r="G827" s="158">
        <v>39600</v>
      </c>
      <c r="H827" s="158">
        <v>39600</v>
      </c>
      <c r="I827" s="158">
        <f t="shared" si="39"/>
        <v>100</v>
      </c>
    </row>
    <row r="828" spans="1:9" ht="47.25" outlineLevel="7">
      <c r="A828" s="156" t="s">
        <v>854</v>
      </c>
      <c r="B828" s="157" t="s">
        <v>22</v>
      </c>
      <c r="C828" s="157" t="s">
        <v>201</v>
      </c>
      <c r="D828" s="157" t="s">
        <v>201</v>
      </c>
      <c r="E828" s="157" t="s">
        <v>855</v>
      </c>
      <c r="F828" s="157" t="s">
        <v>25</v>
      </c>
      <c r="G828" s="158">
        <f>G829+G831</f>
        <v>5138232.8</v>
      </c>
      <c r="H828" s="158">
        <f>H829+H831</f>
        <v>5127932.8</v>
      </c>
      <c r="I828" s="158">
        <f t="shared" si="39"/>
        <v>99.7995419748206</v>
      </c>
    </row>
    <row r="829" spans="1:9" ht="47.25" outlineLevel="6">
      <c r="A829" s="149" t="s">
        <v>856</v>
      </c>
      <c r="B829" s="150" t="s">
        <v>22</v>
      </c>
      <c r="C829" s="150" t="s">
        <v>201</v>
      </c>
      <c r="D829" s="150" t="s">
        <v>201</v>
      </c>
      <c r="E829" s="150" t="s">
        <v>857</v>
      </c>
      <c r="F829" s="150" t="s">
        <v>25</v>
      </c>
      <c r="G829" s="151">
        <f>G830</f>
        <v>3114300</v>
      </c>
      <c r="H829" s="158">
        <f>H830</f>
        <v>3104000</v>
      </c>
      <c r="I829" s="158">
        <f t="shared" si="39"/>
        <v>99.6692675721671</v>
      </c>
    </row>
    <row r="830" spans="1:9" ht="47.25" outlineLevel="7">
      <c r="A830" s="149" t="s">
        <v>386</v>
      </c>
      <c r="B830" s="150" t="s">
        <v>22</v>
      </c>
      <c r="C830" s="150" t="s">
        <v>201</v>
      </c>
      <c r="D830" s="150" t="s">
        <v>201</v>
      </c>
      <c r="E830" s="150" t="s">
        <v>857</v>
      </c>
      <c r="F830" s="150" t="s">
        <v>273</v>
      </c>
      <c r="G830" s="151">
        <f>3866700-752400</f>
        <v>3114300</v>
      </c>
      <c r="H830" s="158">
        <v>3104000</v>
      </c>
      <c r="I830" s="158">
        <f t="shared" si="39"/>
        <v>99.6692675721671</v>
      </c>
    </row>
    <row r="831" spans="1:9" ht="47.25" outlineLevel="6">
      <c r="A831" s="149" t="s">
        <v>856</v>
      </c>
      <c r="B831" s="150" t="s">
        <v>22</v>
      </c>
      <c r="C831" s="150" t="s">
        <v>201</v>
      </c>
      <c r="D831" s="150" t="s">
        <v>201</v>
      </c>
      <c r="E831" s="150" t="s">
        <v>858</v>
      </c>
      <c r="F831" s="150" t="s">
        <v>25</v>
      </c>
      <c r="G831" s="151">
        <f>G832</f>
        <v>2023932.8</v>
      </c>
      <c r="H831" s="158">
        <f>H832</f>
        <v>2023932.8</v>
      </c>
      <c r="I831" s="158">
        <f t="shared" si="39"/>
        <v>100</v>
      </c>
    </row>
    <row r="832" spans="1:9" ht="47.25" outlineLevel="7">
      <c r="A832" s="149" t="s">
        <v>386</v>
      </c>
      <c r="B832" s="150" t="s">
        <v>22</v>
      </c>
      <c r="C832" s="150" t="s">
        <v>201</v>
      </c>
      <c r="D832" s="150" t="s">
        <v>201</v>
      </c>
      <c r="E832" s="150" t="s">
        <v>858</v>
      </c>
      <c r="F832" s="150" t="s">
        <v>273</v>
      </c>
      <c r="G832" s="151">
        <v>2023932.8</v>
      </c>
      <c r="H832" s="158">
        <v>2023932.8</v>
      </c>
      <c r="I832" s="158">
        <f t="shared" si="39"/>
        <v>100</v>
      </c>
    </row>
    <row r="833" spans="1:10" s="148" customFormat="1" ht="15.75" outlineLevel="2">
      <c r="A833" s="144" t="s">
        <v>230</v>
      </c>
      <c r="B833" s="145" t="s">
        <v>22</v>
      </c>
      <c r="C833" s="145" t="s">
        <v>201</v>
      </c>
      <c r="D833" s="145" t="s">
        <v>209</v>
      </c>
      <c r="E833" s="145" t="s">
        <v>313</v>
      </c>
      <c r="F833" s="145" t="s">
        <v>25</v>
      </c>
      <c r="G833" s="146">
        <f>G834+G864</f>
        <v>72467393.69</v>
      </c>
      <c r="H833" s="161">
        <f>H834+H864</f>
        <v>71017600.33</v>
      </c>
      <c r="I833" s="161">
        <f t="shared" si="39"/>
        <v>97.99938525980126</v>
      </c>
      <c r="J833" s="147"/>
    </row>
    <row r="834" spans="1:10" s="148" customFormat="1" ht="47.25" outlineLevel="3">
      <c r="A834" s="144" t="s">
        <v>734</v>
      </c>
      <c r="B834" s="145" t="s">
        <v>22</v>
      </c>
      <c r="C834" s="145" t="s">
        <v>201</v>
      </c>
      <c r="D834" s="145" t="s">
        <v>209</v>
      </c>
      <c r="E834" s="145" t="s">
        <v>735</v>
      </c>
      <c r="F834" s="145" t="s">
        <v>25</v>
      </c>
      <c r="G834" s="146">
        <f>G835+G842+G849</f>
        <v>71802693.69</v>
      </c>
      <c r="H834" s="161">
        <f>H835+H842+H849</f>
        <v>70352900.33</v>
      </c>
      <c r="I834" s="161">
        <f t="shared" si="39"/>
        <v>97.98086494322996</v>
      </c>
      <c r="J834" s="147"/>
    </row>
    <row r="835" spans="1:10" s="148" customFormat="1" ht="63" outlineLevel="4">
      <c r="A835" s="144" t="s">
        <v>859</v>
      </c>
      <c r="B835" s="145" t="s">
        <v>22</v>
      </c>
      <c r="C835" s="145" t="s">
        <v>201</v>
      </c>
      <c r="D835" s="145" t="s">
        <v>209</v>
      </c>
      <c r="E835" s="145" t="s">
        <v>860</v>
      </c>
      <c r="F835" s="145" t="s">
        <v>25</v>
      </c>
      <c r="G835" s="146">
        <f>G836+G839</f>
        <v>21301599.51</v>
      </c>
      <c r="H835" s="161">
        <f>H836+H839</f>
        <v>21301599.51</v>
      </c>
      <c r="I835" s="161">
        <f t="shared" si="39"/>
        <v>100</v>
      </c>
      <c r="J835" s="147"/>
    </row>
    <row r="836" spans="1:9" ht="47.25" outlineLevel="5">
      <c r="A836" s="149" t="s">
        <v>861</v>
      </c>
      <c r="B836" s="150" t="s">
        <v>22</v>
      </c>
      <c r="C836" s="150" t="s">
        <v>201</v>
      </c>
      <c r="D836" s="150" t="s">
        <v>209</v>
      </c>
      <c r="E836" s="150" t="s">
        <v>862</v>
      </c>
      <c r="F836" s="150" t="s">
        <v>25</v>
      </c>
      <c r="G836" s="151">
        <f>G837</f>
        <v>20966181</v>
      </c>
      <c r="H836" s="158">
        <f>H837</f>
        <v>20966181</v>
      </c>
      <c r="I836" s="158">
        <f t="shared" si="39"/>
        <v>100</v>
      </c>
    </row>
    <row r="837" spans="1:9" ht="78.75" outlineLevel="6">
      <c r="A837" s="149" t="s">
        <v>431</v>
      </c>
      <c r="B837" s="150" t="s">
        <v>22</v>
      </c>
      <c r="C837" s="150" t="s">
        <v>201</v>
      </c>
      <c r="D837" s="150" t="s">
        <v>209</v>
      </c>
      <c r="E837" s="150" t="s">
        <v>863</v>
      </c>
      <c r="F837" s="150" t="s">
        <v>25</v>
      </c>
      <c r="G837" s="151">
        <f>G838</f>
        <v>20966181</v>
      </c>
      <c r="H837" s="158">
        <f>H838</f>
        <v>20966181</v>
      </c>
      <c r="I837" s="158">
        <f t="shared" si="39"/>
        <v>100</v>
      </c>
    </row>
    <row r="838" spans="1:9" ht="47.25" outlineLevel="7">
      <c r="A838" s="149" t="s">
        <v>386</v>
      </c>
      <c r="B838" s="150" t="s">
        <v>22</v>
      </c>
      <c r="C838" s="150" t="s">
        <v>201</v>
      </c>
      <c r="D838" s="150" t="s">
        <v>209</v>
      </c>
      <c r="E838" s="150" t="s">
        <v>863</v>
      </c>
      <c r="F838" s="150" t="s">
        <v>273</v>
      </c>
      <c r="G838" s="151">
        <v>20966181</v>
      </c>
      <c r="H838" s="158">
        <v>20966181</v>
      </c>
      <c r="I838" s="158">
        <f t="shared" si="39"/>
        <v>100</v>
      </c>
    </row>
    <row r="839" spans="1:9" ht="31.5" outlineLevel="5">
      <c r="A839" s="149" t="s">
        <v>802</v>
      </c>
      <c r="B839" s="150" t="s">
        <v>22</v>
      </c>
      <c r="C839" s="150" t="s">
        <v>201</v>
      </c>
      <c r="D839" s="150" t="s">
        <v>209</v>
      </c>
      <c r="E839" s="150" t="s">
        <v>864</v>
      </c>
      <c r="F839" s="150" t="s">
        <v>25</v>
      </c>
      <c r="G839" s="151">
        <f>G840</f>
        <v>335418.51</v>
      </c>
      <c r="H839" s="158">
        <f>H840</f>
        <v>335418.51</v>
      </c>
      <c r="I839" s="158">
        <f t="shared" si="39"/>
        <v>100</v>
      </c>
    </row>
    <row r="840" spans="1:9" ht="78.75" outlineLevel="6">
      <c r="A840" s="149" t="s">
        <v>335</v>
      </c>
      <c r="B840" s="150" t="s">
        <v>22</v>
      </c>
      <c r="C840" s="150" t="s">
        <v>201</v>
      </c>
      <c r="D840" s="150" t="s">
        <v>209</v>
      </c>
      <c r="E840" s="150" t="s">
        <v>865</v>
      </c>
      <c r="F840" s="150" t="s">
        <v>25</v>
      </c>
      <c r="G840" s="151">
        <f>G841</f>
        <v>335418.51</v>
      </c>
      <c r="H840" s="158">
        <f>H841</f>
        <v>335418.51</v>
      </c>
      <c r="I840" s="158">
        <f t="shared" si="39"/>
        <v>100</v>
      </c>
    </row>
    <row r="841" spans="1:9" ht="47.25" outlineLevel="7">
      <c r="A841" s="149" t="s">
        <v>386</v>
      </c>
      <c r="B841" s="150" t="s">
        <v>22</v>
      </c>
      <c r="C841" s="150" t="s">
        <v>201</v>
      </c>
      <c r="D841" s="150" t="s">
        <v>209</v>
      </c>
      <c r="E841" s="150" t="s">
        <v>865</v>
      </c>
      <c r="F841" s="150" t="s">
        <v>273</v>
      </c>
      <c r="G841" s="151">
        <f>295072.48+40346.03</f>
        <v>335418.51</v>
      </c>
      <c r="H841" s="158">
        <f>295072.48+40346.03</f>
        <v>335418.51</v>
      </c>
      <c r="I841" s="158">
        <f t="shared" si="39"/>
        <v>100</v>
      </c>
    </row>
    <row r="842" spans="1:10" s="148" customFormat="1" ht="63" outlineLevel="4">
      <c r="A842" s="144" t="s">
        <v>866</v>
      </c>
      <c r="B842" s="145" t="s">
        <v>22</v>
      </c>
      <c r="C842" s="145" t="s">
        <v>201</v>
      </c>
      <c r="D842" s="145" t="s">
        <v>209</v>
      </c>
      <c r="E842" s="145" t="s">
        <v>867</v>
      </c>
      <c r="F842" s="145" t="s">
        <v>25</v>
      </c>
      <c r="G842" s="146">
        <f>G843+G846</f>
        <v>28135196.18</v>
      </c>
      <c r="H842" s="161">
        <f>H843+H846</f>
        <v>28135196.18</v>
      </c>
      <c r="I842" s="161">
        <f t="shared" si="39"/>
        <v>100</v>
      </c>
      <c r="J842" s="147"/>
    </row>
    <row r="843" spans="1:9" ht="47.25" outlineLevel="5">
      <c r="A843" s="149" t="s">
        <v>868</v>
      </c>
      <c r="B843" s="150" t="s">
        <v>22</v>
      </c>
      <c r="C843" s="150" t="s">
        <v>201</v>
      </c>
      <c r="D843" s="150" t="s">
        <v>209</v>
      </c>
      <c r="E843" s="150" t="s">
        <v>869</v>
      </c>
      <c r="F843" s="150" t="s">
        <v>25</v>
      </c>
      <c r="G843" s="151">
        <f>G844</f>
        <v>27779900</v>
      </c>
      <c r="H843" s="158">
        <f>H844</f>
        <v>27779900</v>
      </c>
      <c r="I843" s="158">
        <f aca="true" t="shared" si="42" ref="I843:I906">H843/G843*100</f>
        <v>100</v>
      </c>
    </row>
    <row r="844" spans="1:9" ht="78.75" outlineLevel="6">
      <c r="A844" s="149" t="s">
        <v>431</v>
      </c>
      <c r="B844" s="150" t="s">
        <v>22</v>
      </c>
      <c r="C844" s="150" t="s">
        <v>201</v>
      </c>
      <c r="D844" s="150" t="s">
        <v>209</v>
      </c>
      <c r="E844" s="150" t="s">
        <v>870</v>
      </c>
      <c r="F844" s="150" t="s">
        <v>25</v>
      </c>
      <c r="G844" s="151">
        <f>G845</f>
        <v>27779900</v>
      </c>
      <c r="H844" s="158">
        <f>H845</f>
        <v>27779900</v>
      </c>
      <c r="I844" s="158">
        <f t="shared" si="42"/>
        <v>100</v>
      </c>
    </row>
    <row r="845" spans="1:9" ht="47.25" outlineLevel="7">
      <c r="A845" s="149" t="s">
        <v>386</v>
      </c>
      <c r="B845" s="150" t="s">
        <v>22</v>
      </c>
      <c r="C845" s="150" t="s">
        <v>201</v>
      </c>
      <c r="D845" s="150" t="s">
        <v>209</v>
      </c>
      <c r="E845" s="150" t="s">
        <v>870</v>
      </c>
      <c r="F845" s="150" t="s">
        <v>273</v>
      </c>
      <c r="G845" s="151">
        <v>27779900</v>
      </c>
      <c r="H845" s="158">
        <v>27779900</v>
      </c>
      <c r="I845" s="158">
        <f t="shared" si="42"/>
        <v>100</v>
      </c>
    </row>
    <row r="846" spans="1:9" ht="31.5" outlineLevel="5">
      <c r="A846" s="149" t="s">
        <v>802</v>
      </c>
      <c r="B846" s="150" t="s">
        <v>22</v>
      </c>
      <c r="C846" s="150" t="s">
        <v>201</v>
      </c>
      <c r="D846" s="150" t="s">
        <v>209</v>
      </c>
      <c r="E846" s="150" t="s">
        <v>871</v>
      </c>
      <c r="F846" s="150" t="s">
        <v>25</v>
      </c>
      <c r="G846" s="151">
        <f>G847</f>
        <v>355296.18</v>
      </c>
      <c r="H846" s="158">
        <f>H847</f>
        <v>355296.18</v>
      </c>
      <c r="I846" s="158">
        <f t="shared" si="42"/>
        <v>100</v>
      </c>
    </row>
    <row r="847" spans="1:9" ht="78.75" outlineLevel="6">
      <c r="A847" s="149" t="s">
        <v>335</v>
      </c>
      <c r="B847" s="150" t="s">
        <v>22</v>
      </c>
      <c r="C847" s="150" t="s">
        <v>201</v>
      </c>
      <c r="D847" s="150" t="s">
        <v>209</v>
      </c>
      <c r="E847" s="150" t="s">
        <v>872</v>
      </c>
      <c r="F847" s="150" t="s">
        <v>25</v>
      </c>
      <c r="G847" s="151">
        <f>G848</f>
        <v>355296.18</v>
      </c>
      <c r="H847" s="158">
        <f>H848</f>
        <v>355296.18</v>
      </c>
      <c r="I847" s="158">
        <f t="shared" si="42"/>
        <v>100</v>
      </c>
    </row>
    <row r="848" spans="1:9" ht="47.25" outlineLevel="7">
      <c r="A848" s="149" t="s">
        <v>386</v>
      </c>
      <c r="B848" s="150" t="s">
        <v>22</v>
      </c>
      <c r="C848" s="150" t="s">
        <v>201</v>
      </c>
      <c r="D848" s="150" t="s">
        <v>209</v>
      </c>
      <c r="E848" s="150" t="s">
        <v>872</v>
      </c>
      <c r="F848" s="150" t="s">
        <v>273</v>
      </c>
      <c r="G848" s="151">
        <f>295072.76+60223.42</f>
        <v>355296.18</v>
      </c>
      <c r="H848" s="158">
        <f>295072.76+60223.42</f>
        <v>355296.18</v>
      </c>
      <c r="I848" s="158">
        <f t="shared" si="42"/>
        <v>100</v>
      </c>
    </row>
    <row r="849" spans="1:10" s="148" customFormat="1" ht="31.5" outlineLevel="4">
      <c r="A849" s="144" t="s">
        <v>873</v>
      </c>
      <c r="B849" s="145" t="s">
        <v>22</v>
      </c>
      <c r="C849" s="145" t="s">
        <v>201</v>
      </c>
      <c r="D849" s="145" t="s">
        <v>209</v>
      </c>
      <c r="E849" s="145" t="s">
        <v>874</v>
      </c>
      <c r="F849" s="145" t="s">
        <v>25</v>
      </c>
      <c r="G849" s="146">
        <f>G850+G855+G858+G861</f>
        <v>22365898</v>
      </c>
      <c r="H849" s="161">
        <f>H850+H855+H858+H861</f>
        <v>20916104.64</v>
      </c>
      <c r="I849" s="161">
        <f t="shared" si="42"/>
        <v>93.51783970399937</v>
      </c>
      <c r="J849" s="147"/>
    </row>
    <row r="850" spans="1:9" ht="31.5" outlineLevel="5">
      <c r="A850" s="149" t="s">
        <v>875</v>
      </c>
      <c r="B850" s="150" t="s">
        <v>22</v>
      </c>
      <c r="C850" s="150" t="s">
        <v>201</v>
      </c>
      <c r="D850" s="150" t="s">
        <v>209</v>
      </c>
      <c r="E850" s="150" t="s">
        <v>876</v>
      </c>
      <c r="F850" s="150" t="s">
        <v>25</v>
      </c>
      <c r="G850" s="151">
        <f>G851+G853</f>
        <v>7439745</v>
      </c>
      <c r="H850" s="158">
        <f>H851+H853</f>
        <v>7078111.64</v>
      </c>
      <c r="I850" s="158">
        <f t="shared" si="42"/>
        <v>95.13916995811012</v>
      </c>
    </row>
    <row r="851" spans="1:9" ht="94.5" outlineLevel="6">
      <c r="A851" s="149" t="s">
        <v>877</v>
      </c>
      <c r="B851" s="150" t="s">
        <v>22</v>
      </c>
      <c r="C851" s="150" t="s">
        <v>201</v>
      </c>
      <c r="D851" s="150" t="s">
        <v>209</v>
      </c>
      <c r="E851" s="150" t="s">
        <v>878</v>
      </c>
      <c r="F851" s="150" t="s">
        <v>25</v>
      </c>
      <c r="G851" s="151">
        <f>G852</f>
        <v>1655800</v>
      </c>
      <c r="H851" s="158">
        <f>H852</f>
        <v>1294166.64</v>
      </c>
      <c r="I851" s="158">
        <f t="shared" si="42"/>
        <v>78.1595989853847</v>
      </c>
    </row>
    <row r="852" spans="1:9" ht="47.25" outlineLevel="7">
      <c r="A852" s="149" t="s">
        <v>386</v>
      </c>
      <c r="B852" s="150" t="s">
        <v>22</v>
      </c>
      <c r="C852" s="150" t="s">
        <v>201</v>
      </c>
      <c r="D852" s="150" t="s">
        <v>209</v>
      </c>
      <c r="E852" s="150" t="s">
        <v>878</v>
      </c>
      <c r="F852" s="150" t="s">
        <v>273</v>
      </c>
      <c r="G852" s="151">
        <f>1601600+54200</f>
        <v>1655800</v>
      </c>
      <c r="H852" s="158">
        <v>1294166.64</v>
      </c>
      <c r="I852" s="158">
        <f t="shared" si="42"/>
        <v>78.1595989853847</v>
      </c>
    </row>
    <row r="853" spans="1:9" ht="94.5" outlineLevel="6">
      <c r="A853" s="149" t="s">
        <v>877</v>
      </c>
      <c r="B853" s="150" t="s">
        <v>22</v>
      </c>
      <c r="C853" s="150" t="s">
        <v>201</v>
      </c>
      <c r="D853" s="150" t="s">
        <v>209</v>
      </c>
      <c r="E853" s="150" t="s">
        <v>879</v>
      </c>
      <c r="F853" s="150" t="s">
        <v>25</v>
      </c>
      <c r="G853" s="151">
        <f>G854</f>
        <v>5783945</v>
      </c>
      <c r="H853" s="158">
        <f>H854</f>
        <v>5783945</v>
      </c>
      <c r="I853" s="158">
        <f t="shared" si="42"/>
        <v>100</v>
      </c>
    </row>
    <row r="854" spans="1:9" ht="47.25" outlineLevel="7">
      <c r="A854" s="149" t="s">
        <v>386</v>
      </c>
      <c r="B854" s="150" t="s">
        <v>22</v>
      </c>
      <c r="C854" s="150" t="s">
        <v>201</v>
      </c>
      <c r="D854" s="150" t="s">
        <v>209</v>
      </c>
      <c r="E854" s="150" t="s">
        <v>879</v>
      </c>
      <c r="F854" s="150" t="s">
        <v>273</v>
      </c>
      <c r="G854" s="151">
        <v>5783945</v>
      </c>
      <c r="H854" s="158">
        <v>5783945</v>
      </c>
      <c r="I854" s="158">
        <f t="shared" si="42"/>
        <v>100</v>
      </c>
    </row>
    <row r="855" spans="1:9" ht="31.5" outlineLevel="5">
      <c r="A855" s="149" t="s">
        <v>880</v>
      </c>
      <c r="B855" s="150" t="s">
        <v>22</v>
      </c>
      <c r="C855" s="150" t="s">
        <v>201</v>
      </c>
      <c r="D855" s="150" t="s">
        <v>209</v>
      </c>
      <c r="E855" s="150" t="s">
        <v>881</v>
      </c>
      <c r="F855" s="150" t="s">
        <v>25</v>
      </c>
      <c r="G855" s="151">
        <f>G856</f>
        <v>14270100</v>
      </c>
      <c r="H855" s="158">
        <f>H856</f>
        <v>13181940</v>
      </c>
      <c r="I855" s="158">
        <f t="shared" si="42"/>
        <v>92.37454537809826</v>
      </c>
    </row>
    <row r="856" spans="1:9" ht="31.5" outlineLevel="6">
      <c r="A856" s="149" t="s">
        <v>882</v>
      </c>
      <c r="B856" s="150" t="s">
        <v>22</v>
      </c>
      <c r="C856" s="150" t="s">
        <v>201</v>
      </c>
      <c r="D856" s="150" t="s">
        <v>209</v>
      </c>
      <c r="E856" s="150" t="s">
        <v>883</v>
      </c>
      <c r="F856" s="150" t="s">
        <v>25</v>
      </c>
      <c r="G856" s="151">
        <f>G857</f>
        <v>14270100</v>
      </c>
      <c r="H856" s="158">
        <f>H857</f>
        <v>13181940</v>
      </c>
      <c r="I856" s="158">
        <f t="shared" si="42"/>
        <v>92.37454537809826</v>
      </c>
    </row>
    <row r="857" spans="1:9" ht="47.25" outlineLevel="7">
      <c r="A857" s="149" t="s">
        <v>386</v>
      </c>
      <c r="B857" s="150" t="s">
        <v>22</v>
      </c>
      <c r="C857" s="150" t="s">
        <v>201</v>
      </c>
      <c r="D857" s="150" t="s">
        <v>209</v>
      </c>
      <c r="E857" s="150" t="s">
        <v>883</v>
      </c>
      <c r="F857" s="150" t="s">
        <v>273</v>
      </c>
      <c r="G857" s="151">
        <f>13494200+775900</f>
        <v>14270100</v>
      </c>
      <c r="H857" s="158">
        <v>13181940</v>
      </c>
      <c r="I857" s="158">
        <f t="shared" si="42"/>
        <v>92.37454537809826</v>
      </c>
    </row>
    <row r="858" spans="1:9" ht="31.5" outlineLevel="5">
      <c r="A858" s="149" t="s">
        <v>884</v>
      </c>
      <c r="B858" s="150" t="s">
        <v>22</v>
      </c>
      <c r="C858" s="150" t="s">
        <v>201</v>
      </c>
      <c r="D858" s="150" t="s">
        <v>209</v>
      </c>
      <c r="E858" s="150" t="s">
        <v>885</v>
      </c>
      <c r="F858" s="150" t="s">
        <v>25</v>
      </c>
      <c r="G858" s="151">
        <f>G859</f>
        <v>463553</v>
      </c>
      <c r="H858" s="158">
        <f>H859</f>
        <v>463553</v>
      </c>
      <c r="I858" s="158">
        <f t="shared" si="42"/>
        <v>100</v>
      </c>
    </row>
    <row r="859" spans="1:9" ht="78.75" outlineLevel="6">
      <c r="A859" s="149" t="s">
        <v>335</v>
      </c>
      <c r="B859" s="150" t="s">
        <v>22</v>
      </c>
      <c r="C859" s="150" t="s">
        <v>201</v>
      </c>
      <c r="D859" s="150" t="s">
        <v>209</v>
      </c>
      <c r="E859" s="150" t="s">
        <v>886</v>
      </c>
      <c r="F859" s="150" t="s">
        <v>25</v>
      </c>
      <c r="G859" s="151">
        <f>G860</f>
        <v>463553</v>
      </c>
      <c r="H859" s="158">
        <f>H860</f>
        <v>463553</v>
      </c>
      <c r="I859" s="158">
        <f t="shared" si="42"/>
        <v>100</v>
      </c>
    </row>
    <row r="860" spans="1:9" ht="47.25" outlineLevel="7">
      <c r="A860" s="149" t="s">
        <v>386</v>
      </c>
      <c r="B860" s="150" t="s">
        <v>22</v>
      </c>
      <c r="C860" s="150" t="s">
        <v>201</v>
      </c>
      <c r="D860" s="150" t="s">
        <v>209</v>
      </c>
      <c r="E860" s="150" t="s">
        <v>886</v>
      </c>
      <c r="F860" s="150" t="s">
        <v>273</v>
      </c>
      <c r="G860" s="151">
        <f>295072.76+168480.24</f>
        <v>463553</v>
      </c>
      <c r="H860" s="158">
        <f>295072.76+168480.24</f>
        <v>463553</v>
      </c>
      <c r="I860" s="158">
        <f t="shared" si="42"/>
        <v>100</v>
      </c>
    </row>
    <row r="861" spans="1:9" ht="31.5" outlineLevel="7">
      <c r="A861" s="149" t="s">
        <v>887</v>
      </c>
      <c r="B861" s="150" t="s">
        <v>22</v>
      </c>
      <c r="C861" s="150" t="s">
        <v>201</v>
      </c>
      <c r="D861" s="150" t="s">
        <v>209</v>
      </c>
      <c r="E861" s="150" t="s">
        <v>888</v>
      </c>
      <c r="F861" s="150" t="s">
        <v>25</v>
      </c>
      <c r="G861" s="151">
        <f>G862</f>
        <v>192500</v>
      </c>
      <c r="H861" s="158">
        <f>H862</f>
        <v>192500</v>
      </c>
      <c r="I861" s="158">
        <f t="shared" si="42"/>
        <v>100</v>
      </c>
    </row>
    <row r="862" spans="1:9" ht="78.75" outlineLevel="7">
      <c r="A862" s="149" t="s">
        <v>431</v>
      </c>
      <c r="B862" s="150" t="s">
        <v>22</v>
      </c>
      <c r="C862" s="150" t="s">
        <v>201</v>
      </c>
      <c r="D862" s="150" t="s">
        <v>209</v>
      </c>
      <c r="E862" s="150" t="s">
        <v>889</v>
      </c>
      <c r="F862" s="150" t="s">
        <v>25</v>
      </c>
      <c r="G862" s="151">
        <f>G863</f>
        <v>192500</v>
      </c>
      <c r="H862" s="158">
        <f>H863</f>
        <v>192500</v>
      </c>
      <c r="I862" s="158">
        <f t="shared" si="42"/>
        <v>100</v>
      </c>
    </row>
    <row r="863" spans="1:9" ht="47.25" outlineLevel="7">
      <c r="A863" s="149" t="s">
        <v>386</v>
      </c>
      <c r="B863" s="150" t="s">
        <v>22</v>
      </c>
      <c r="C863" s="150" t="s">
        <v>201</v>
      </c>
      <c r="D863" s="150" t="s">
        <v>209</v>
      </c>
      <c r="E863" s="150" t="s">
        <v>889</v>
      </c>
      <c r="F863" s="150" t="s">
        <v>273</v>
      </c>
      <c r="G863" s="151">
        <f>192500</f>
        <v>192500</v>
      </c>
      <c r="H863" s="158">
        <f>192500</f>
        <v>192500</v>
      </c>
      <c r="I863" s="158">
        <f t="shared" si="42"/>
        <v>100</v>
      </c>
    </row>
    <row r="864" spans="1:10" s="148" customFormat="1" ht="47.25" outlineLevel="3">
      <c r="A864" s="144" t="s">
        <v>347</v>
      </c>
      <c r="B864" s="145" t="s">
        <v>22</v>
      </c>
      <c r="C864" s="145" t="s">
        <v>201</v>
      </c>
      <c r="D864" s="145" t="s">
        <v>209</v>
      </c>
      <c r="E864" s="145" t="s">
        <v>348</v>
      </c>
      <c r="F864" s="145" t="s">
        <v>25</v>
      </c>
      <c r="G864" s="146">
        <f aca="true" t="shared" si="43" ref="G864:H867">G865</f>
        <v>664700</v>
      </c>
      <c r="H864" s="161">
        <f t="shared" si="43"/>
        <v>664700</v>
      </c>
      <c r="I864" s="161">
        <f t="shared" si="42"/>
        <v>100</v>
      </c>
      <c r="J864" s="147"/>
    </row>
    <row r="865" spans="1:10" s="148" customFormat="1" ht="47.25" outlineLevel="4">
      <c r="A865" s="144" t="s">
        <v>349</v>
      </c>
      <c r="B865" s="145" t="s">
        <v>22</v>
      </c>
      <c r="C865" s="145" t="s">
        <v>201</v>
      </c>
      <c r="D865" s="145" t="s">
        <v>209</v>
      </c>
      <c r="E865" s="145" t="s">
        <v>350</v>
      </c>
      <c r="F865" s="145" t="s">
        <v>25</v>
      </c>
      <c r="G865" s="146">
        <f t="shared" si="43"/>
        <v>664700</v>
      </c>
      <c r="H865" s="161">
        <f t="shared" si="43"/>
        <v>664700</v>
      </c>
      <c r="I865" s="161">
        <f t="shared" si="42"/>
        <v>100</v>
      </c>
      <c r="J865" s="147"/>
    </row>
    <row r="866" spans="1:9" ht="31.5" outlineLevel="5">
      <c r="A866" s="149" t="s">
        <v>418</v>
      </c>
      <c r="B866" s="150" t="s">
        <v>22</v>
      </c>
      <c r="C866" s="150" t="s">
        <v>201</v>
      </c>
      <c r="D866" s="150" t="s">
        <v>209</v>
      </c>
      <c r="E866" s="150" t="s">
        <v>419</v>
      </c>
      <c r="F866" s="150" t="s">
        <v>25</v>
      </c>
      <c r="G866" s="151">
        <f t="shared" si="43"/>
        <v>664700</v>
      </c>
      <c r="H866" s="158">
        <f t="shared" si="43"/>
        <v>664700</v>
      </c>
      <c r="I866" s="158">
        <f t="shared" si="42"/>
        <v>100</v>
      </c>
    </row>
    <row r="867" spans="1:9" ht="31.5" outlineLevel="6">
      <c r="A867" s="149" t="s">
        <v>353</v>
      </c>
      <c r="B867" s="150" t="s">
        <v>22</v>
      </c>
      <c r="C867" s="150" t="s">
        <v>201</v>
      </c>
      <c r="D867" s="150" t="s">
        <v>209</v>
      </c>
      <c r="E867" s="150" t="s">
        <v>420</v>
      </c>
      <c r="F867" s="150" t="s">
        <v>25</v>
      </c>
      <c r="G867" s="151">
        <f t="shared" si="43"/>
        <v>664700</v>
      </c>
      <c r="H867" s="158">
        <f t="shared" si="43"/>
        <v>664700</v>
      </c>
      <c r="I867" s="158">
        <f t="shared" si="42"/>
        <v>100</v>
      </c>
    </row>
    <row r="868" spans="1:9" ht="47.25" outlineLevel="7">
      <c r="A868" s="149" t="s">
        <v>386</v>
      </c>
      <c r="B868" s="150" t="s">
        <v>22</v>
      </c>
      <c r="C868" s="150" t="s">
        <v>201</v>
      </c>
      <c r="D868" s="150" t="s">
        <v>209</v>
      </c>
      <c r="E868" s="150" t="s">
        <v>420</v>
      </c>
      <c r="F868" s="150" t="s">
        <v>273</v>
      </c>
      <c r="G868" s="151">
        <f>694700-30000</f>
        <v>664700</v>
      </c>
      <c r="H868" s="158">
        <f>694700-30000</f>
        <v>664700</v>
      </c>
      <c r="I868" s="158">
        <f t="shared" si="42"/>
        <v>100</v>
      </c>
    </row>
    <row r="869" spans="1:10" s="148" customFormat="1" ht="15.75" outlineLevel="1">
      <c r="A869" s="144" t="s">
        <v>514</v>
      </c>
      <c r="B869" s="145" t="s">
        <v>22</v>
      </c>
      <c r="C869" s="145" t="s">
        <v>218</v>
      </c>
      <c r="D869" s="145" t="s">
        <v>189</v>
      </c>
      <c r="E869" s="145" t="s">
        <v>313</v>
      </c>
      <c r="F869" s="145" t="s">
        <v>25</v>
      </c>
      <c r="G869" s="146">
        <f>G870+G896</f>
        <v>56843836</v>
      </c>
      <c r="H869" s="161">
        <f>H870+H896</f>
        <v>54303678.050000004</v>
      </c>
      <c r="I869" s="161">
        <f t="shared" si="42"/>
        <v>95.53133966891328</v>
      </c>
      <c r="J869" s="147"/>
    </row>
    <row r="870" spans="1:10" s="148" customFormat="1" ht="15.75" outlineLevel="2">
      <c r="A870" s="144" t="s">
        <v>235</v>
      </c>
      <c r="B870" s="145" t="s">
        <v>22</v>
      </c>
      <c r="C870" s="145" t="s">
        <v>218</v>
      </c>
      <c r="D870" s="145" t="s">
        <v>193</v>
      </c>
      <c r="E870" s="145" t="s">
        <v>313</v>
      </c>
      <c r="F870" s="145" t="s">
        <v>25</v>
      </c>
      <c r="G870" s="146">
        <f>G871</f>
        <v>3821636</v>
      </c>
      <c r="H870" s="161">
        <f>H871</f>
        <v>3751787.63</v>
      </c>
      <c r="I870" s="161">
        <f t="shared" si="42"/>
        <v>98.1722913956222</v>
      </c>
      <c r="J870" s="147"/>
    </row>
    <row r="871" spans="1:10" s="148" customFormat="1" ht="47.25" outlineLevel="3">
      <c r="A871" s="144" t="s">
        <v>734</v>
      </c>
      <c r="B871" s="145" t="s">
        <v>22</v>
      </c>
      <c r="C871" s="145" t="s">
        <v>218</v>
      </c>
      <c r="D871" s="145" t="s">
        <v>193</v>
      </c>
      <c r="E871" s="145" t="s">
        <v>735</v>
      </c>
      <c r="F871" s="145" t="s">
        <v>25</v>
      </c>
      <c r="G871" s="146">
        <f>G872+G878+G884</f>
        <v>3821636</v>
      </c>
      <c r="H871" s="161">
        <f>H872+H878+H884</f>
        <v>3751787.63</v>
      </c>
      <c r="I871" s="161">
        <f t="shared" si="42"/>
        <v>98.1722913956222</v>
      </c>
      <c r="J871" s="147"/>
    </row>
    <row r="872" spans="1:10" s="148" customFormat="1" ht="31.5" outlineLevel="4">
      <c r="A872" s="144" t="s">
        <v>790</v>
      </c>
      <c r="B872" s="145" t="s">
        <v>22</v>
      </c>
      <c r="C872" s="145" t="s">
        <v>218</v>
      </c>
      <c r="D872" s="145" t="s">
        <v>193</v>
      </c>
      <c r="E872" s="145" t="s">
        <v>791</v>
      </c>
      <c r="F872" s="145" t="s">
        <v>25</v>
      </c>
      <c r="G872" s="146">
        <f>G873</f>
        <v>272267.62000000005</v>
      </c>
      <c r="H872" s="161">
        <f>H873</f>
        <v>272267.62000000005</v>
      </c>
      <c r="I872" s="161">
        <f t="shared" si="42"/>
        <v>100</v>
      </c>
      <c r="J872" s="147"/>
    </row>
    <row r="873" spans="1:9" ht="31.5" outlineLevel="5">
      <c r="A873" s="149" t="s">
        <v>802</v>
      </c>
      <c r="B873" s="150" t="s">
        <v>22</v>
      </c>
      <c r="C873" s="150" t="s">
        <v>218</v>
      </c>
      <c r="D873" s="150" t="s">
        <v>193</v>
      </c>
      <c r="E873" s="150" t="s">
        <v>803</v>
      </c>
      <c r="F873" s="150" t="s">
        <v>25</v>
      </c>
      <c r="G873" s="151">
        <f>G874+G876</f>
        <v>272267.62000000005</v>
      </c>
      <c r="H873" s="158">
        <f>H874+H876</f>
        <v>272267.62000000005</v>
      </c>
      <c r="I873" s="158">
        <f t="shared" si="42"/>
        <v>100</v>
      </c>
    </row>
    <row r="874" spans="1:9" ht="94.5" outlineLevel="6">
      <c r="A874" s="149" t="s">
        <v>890</v>
      </c>
      <c r="B874" s="150" t="s">
        <v>22</v>
      </c>
      <c r="C874" s="150" t="s">
        <v>218</v>
      </c>
      <c r="D874" s="150" t="s">
        <v>193</v>
      </c>
      <c r="E874" s="150" t="s">
        <v>891</v>
      </c>
      <c r="F874" s="150" t="s">
        <v>25</v>
      </c>
      <c r="G874" s="151">
        <f>G875</f>
        <v>472</v>
      </c>
      <c r="H874" s="158">
        <f>H875</f>
        <v>472</v>
      </c>
      <c r="I874" s="158">
        <f t="shared" si="42"/>
        <v>100</v>
      </c>
    </row>
    <row r="875" spans="1:9" ht="47.25" outlineLevel="7">
      <c r="A875" s="149" t="s">
        <v>386</v>
      </c>
      <c r="B875" s="150" t="s">
        <v>22</v>
      </c>
      <c r="C875" s="150" t="s">
        <v>218</v>
      </c>
      <c r="D875" s="150" t="s">
        <v>193</v>
      </c>
      <c r="E875" s="150" t="s">
        <v>891</v>
      </c>
      <c r="F875" s="150" t="s">
        <v>273</v>
      </c>
      <c r="G875" s="151">
        <f>1887.92-1415.92</f>
        <v>472</v>
      </c>
      <c r="H875" s="158">
        <f>1887.92-1415.92</f>
        <v>472</v>
      </c>
      <c r="I875" s="158">
        <f t="shared" si="42"/>
        <v>100</v>
      </c>
    </row>
    <row r="876" spans="1:9" ht="94.5" outlineLevel="6">
      <c r="A876" s="149" t="s">
        <v>892</v>
      </c>
      <c r="B876" s="150" t="s">
        <v>22</v>
      </c>
      <c r="C876" s="150" t="s">
        <v>218</v>
      </c>
      <c r="D876" s="150" t="s">
        <v>193</v>
      </c>
      <c r="E876" s="150" t="s">
        <v>893</v>
      </c>
      <c r="F876" s="150" t="s">
        <v>25</v>
      </c>
      <c r="G876" s="151">
        <f>G877</f>
        <v>271795.62000000005</v>
      </c>
      <c r="H876" s="158">
        <f>H877</f>
        <v>271795.62000000005</v>
      </c>
      <c r="I876" s="158">
        <f t="shared" si="42"/>
        <v>100</v>
      </c>
    </row>
    <row r="877" spans="1:9" ht="47.25" outlineLevel="7">
      <c r="A877" s="149" t="s">
        <v>386</v>
      </c>
      <c r="B877" s="150" t="s">
        <v>22</v>
      </c>
      <c r="C877" s="150" t="s">
        <v>218</v>
      </c>
      <c r="D877" s="150" t="s">
        <v>193</v>
      </c>
      <c r="E877" s="150" t="s">
        <v>893</v>
      </c>
      <c r="F877" s="150" t="s">
        <v>273</v>
      </c>
      <c r="G877" s="151">
        <f>722034.04-417034.04-33204.38</f>
        <v>271795.62000000005</v>
      </c>
      <c r="H877" s="158">
        <f>722034.04-417034.04-33204.38</f>
        <v>271795.62000000005</v>
      </c>
      <c r="I877" s="158">
        <f t="shared" si="42"/>
        <v>100</v>
      </c>
    </row>
    <row r="878" spans="1:10" s="148" customFormat="1" ht="63" outlineLevel="4">
      <c r="A878" s="144" t="s">
        <v>815</v>
      </c>
      <c r="B878" s="145" t="s">
        <v>22</v>
      </c>
      <c r="C878" s="145" t="s">
        <v>218</v>
      </c>
      <c r="D878" s="145" t="s">
        <v>193</v>
      </c>
      <c r="E878" s="145" t="s">
        <v>816</v>
      </c>
      <c r="F878" s="145" t="s">
        <v>25</v>
      </c>
      <c r="G878" s="146">
        <f>G879</f>
        <v>1287568.38</v>
      </c>
      <c r="H878" s="161">
        <f>H879</f>
        <v>1233237.7</v>
      </c>
      <c r="I878" s="161">
        <f t="shared" si="42"/>
        <v>95.78036546688107</v>
      </c>
      <c r="J878" s="147"/>
    </row>
    <row r="879" spans="1:9" ht="31.5" outlineLevel="5">
      <c r="A879" s="149" t="s">
        <v>802</v>
      </c>
      <c r="B879" s="150" t="s">
        <v>22</v>
      </c>
      <c r="C879" s="150" t="s">
        <v>218</v>
      </c>
      <c r="D879" s="150" t="s">
        <v>193</v>
      </c>
      <c r="E879" s="150" t="s">
        <v>833</v>
      </c>
      <c r="F879" s="150" t="s">
        <v>25</v>
      </c>
      <c r="G879" s="151">
        <f>G880+G882</f>
        <v>1287568.38</v>
      </c>
      <c r="H879" s="158">
        <f>H880+H882</f>
        <v>1233237.7</v>
      </c>
      <c r="I879" s="158">
        <f t="shared" si="42"/>
        <v>95.78036546688107</v>
      </c>
    </row>
    <row r="880" spans="1:9" ht="94.5" outlineLevel="6">
      <c r="A880" s="149" t="s">
        <v>890</v>
      </c>
      <c r="B880" s="150" t="s">
        <v>22</v>
      </c>
      <c r="C880" s="150" t="s">
        <v>218</v>
      </c>
      <c r="D880" s="150" t="s">
        <v>193</v>
      </c>
      <c r="E880" s="150" t="s">
        <v>894</v>
      </c>
      <c r="F880" s="150" t="s">
        <v>25</v>
      </c>
      <c r="G880" s="151">
        <f>G881</f>
        <v>4964</v>
      </c>
      <c r="H880" s="158">
        <f>H881</f>
        <v>4964</v>
      </c>
      <c r="I880" s="158">
        <f t="shared" si="42"/>
        <v>100</v>
      </c>
    </row>
    <row r="881" spans="1:9" ht="47.25" outlineLevel="7">
      <c r="A881" s="149" t="s">
        <v>386</v>
      </c>
      <c r="B881" s="150" t="s">
        <v>22</v>
      </c>
      <c r="C881" s="150" t="s">
        <v>218</v>
      </c>
      <c r="D881" s="150" t="s">
        <v>193</v>
      </c>
      <c r="E881" s="150" t="s">
        <v>894</v>
      </c>
      <c r="F881" s="150" t="s">
        <v>273</v>
      </c>
      <c r="G881" s="151">
        <f>3548.08+1415.92</f>
        <v>4964</v>
      </c>
      <c r="H881" s="158">
        <f>3548.08+1415.92</f>
        <v>4964</v>
      </c>
      <c r="I881" s="158">
        <f t="shared" si="42"/>
        <v>100</v>
      </c>
    </row>
    <row r="882" spans="1:9" ht="94.5" outlineLevel="6">
      <c r="A882" s="149" t="s">
        <v>892</v>
      </c>
      <c r="B882" s="150" t="s">
        <v>22</v>
      </c>
      <c r="C882" s="150" t="s">
        <v>218</v>
      </c>
      <c r="D882" s="150" t="s">
        <v>193</v>
      </c>
      <c r="E882" s="150" t="s">
        <v>895</v>
      </c>
      <c r="F882" s="150" t="s">
        <v>25</v>
      </c>
      <c r="G882" s="151">
        <f>G883</f>
        <v>1282604.38</v>
      </c>
      <c r="H882" s="158">
        <f>H883</f>
        <v>1228273.7</v>
      </c>
      <c r="I882" s="158">
        <f t="shared" si="42"/>
        <v>95.76403442501888</v>
      </c>
    </row>
    <row r="883" spans="1:9" ht="47.25" outlineLevel="7">
      <c r="A883" s="149" t="s">
        <v>386</v>
      </c>
      <c r="B883" s="150" t="s">
        <v>22</v>
      </c>
      <c r="C883" s="150" t="s">
        <v>218</v>
      </c>
      <c r="D883" s="150" t="s">
        <v>193</v>
      </c>
      <c r="E883" s="150" t="s">
        <v>895</v>
      </c>
      <c r="F883" s="150" t="s">
        <v>273</v>
      </c>
      <c r="G883" s="151">
        <f>1356665.96+417034.04-491095.62</f>
        <v>1282604.38</v>
      </c>
      <c r="H883" s="158">
        <v>1228273.7</v>
      </c>
      <c r="I883" s="158">
        <f t="shared" si="42"/>
        <v>95.76403442501888</v>
      </c>
    </row>
    <row r="884" spans="1:10" s="148" customFormat="1" ht="47.25" outlineLevel="4">
      <c r="A884" s="144" t="s">
        <v>771</v>
      </c>
      <c r="B884" s="145" t="s">
        <v>22</v>
      </c>
      <c r="C884" s="145" t="s">
        <v>218</v>
      </c>
      <c r="D884" s="145" t="s">
        <v>193</v>
      </c>
      <c r="E884" s="145" t="s">
        <v>772</v>
      </c>
      <c r="F884" s="145" t="s">
        <v>25</v>
      </c>
      <c r="G884" s="146">
        <f>G885+G888+G893</f>
        <v>2261800</v>
      </c>
      <c r="H884" s="161">
        <f>H885+H888+H893</f>
        <v>2246282.31</v>
      </c>
      <c r="I884" s="161">
        <f t="shared" si="42"/>
        <v>99.313922981696</v>
      </c>
      <c r="J884" s="147"/>
    </row>
    <row r="885" spans="1:9" ht="157.5" hidden="1" outlineLevel="5">
      <c r="A885" s="149" t="s">
        <v>896</v>
      </c>
      <c r="B885" s="150" t="s">
        <v>22</v>
      </c>
      <c r="C885" s="150" t="s">
        <v>218</v>
      </c>
      <c r="D885" s="150" t="s">
        <v>193</v>
      </c>
      <c r="E885" s="150" t="s">
        <v>897</v>
      </c>
      <c r="F885" s="150" t="s">
        <v>25</v>
      </c>
      <c r="G885" s="151">
        <f>G886</f>
        <v>0</v>
      </c>
      <c r="H885" s="158">
        <f>H886</f>
        <v>0</v>
      </c>
      <c r="I885" s="161" t="e">
        <f t="shared" si="42"/>
        <v>#DIV/0!</v>
      </c>
    </row>
    <row r="886" spans="1:9" ht="173.25" hidden="1" outlineLevel="6">
      <c r="A886" s="149" t="s">
        <v>898</v>
      </c>
      <c r="B886" s="150" t="s">
        <v>22</v>
      </c>
      <c r="C886" s="150" t="s">
        <v>218</v>
      </c>
      <c r="D886" s="150" t="s">
        <v>193</v>
      </c>
      <c r="E886" s="150" t="s">
        <v>899</v>
      </c>
      <c r="F886" s="150" t="s">
        <v>25</v>
      </c>
      <c r="G886" s="151">
        <f>G887</f>
        <v>0</v>
      </c>
      <c r="H886" s="158">
        <f>H887</f>
        <v>0</v>
      </c>
      <c r="I886" s="161" t="e">
        <f t="shared" si="42"/>
        <v>#DIV/0!</v>
      </c>
    </row>
    <row r="887" spans="1:9" ht="31.5" hidden="1" outlineLevel="7">
      <c r="A887" s="149" t="s">
        <v>371</v>
      </c>
      <c r="B887" s="150" t="s">
        <v>22</v>
      </c>
      <c r="C887" s="150" t="s">
        <v>218</v>
      </c>
      <c r="D887" s="150" t="s">
        <v>193</v>
      </c>
      <c r="E887" s="150" t="s">
        <v>899</v>
      </c>
      <c r="F887" s="150" t="s">
        <v>372</v>
      </c>
      <c r="G887" s="151">
        <f>147100-147100</f>
        <v>0</v>
      </c>
      <c r="H887" s="158">
        <f>147100-147100</f>
        <v>0</v>
      </c>
      <c r="I887" s="161" t="e">
        <f t="shared" si="42"/>
        <v>#DIV/0!</v>
      </c>
    </row>
    <row r="888" spans="1:9" ht="94.5" outlineLevel="5" collapsed="1">
      <c r="A888" s="149" t="s">
        <v>900</v>
      </c>
      <c r="B888" s="150" t="s">
        <v>22</v>
      </c>
      <c r="C888" s="150" t="s">
        <v>218</v>
      </c>
      <c r="D888" s="150" t="s">
        <v>193</v>
      </c>
      <c r="E888" s="150" t="s">
        <v>901</v>
      </c>
      <c r="F888" s="150" t="s">
        <v>25</v>
      </c>
      <c r="G888" s="151">
        <f>G889+G891</f>
        <v>1947800</v>
      </c>
      <c r="H888" s="158">
        <f>H889+H891</f>
        <v>1946675.31</v>
      </c>
      <c r="I888" s="158">
        <f t="shared" si="42"/>
        <v>99.94225844542561</v>
      </c>
    </row>
    <row r="889" spans="1:9" ht="94.5" outlineLevel="6">
      <c r="A889" s="149" t="s">
        <v>902</v>
      </c>
      <c r="B889" s="150" t="s">
        <v>22</v>
      </c>
      <c r="C889" s="150" t="s">
        <v>218</v>
      </c>
      <c r="D889" s="150" t="s">
        <v>193</v>
      </c>
      <c r="E889" s="150" t="s">
        <v>903</v>
      </c>
      <c r="F889" s="150" t="s">
        <v>25</v>
      </c>
      <c r="G889" s="151">
        <f>G890</f>
        <v>1926000</v>
      </c>
      <c r="H889" s="158">
        <f>H890</f>
        <v>1926000</v>
      </c>
      <c r="I889" s="158">
        <f t="shared" si="42"/>
        <v>100</v>
      </c>
    </row>
    <row r="890" spans="1:9" ht="31.5" outlineLevel="7">
      <c r="A890" s="149" t="s">
        <v>371</v>
      </c>
      <c r="B890" s="150" t="s">
        <v>22</v>
      </c>
      <c r="C890" s="150" t="s">
        <v>218</v>
      </c>
      <c r="D890" s="150" t="s">
        <v>193</v>
      </c>
      <c r="E890" s="150" t="s">
        <v>903</v>
      </c>
      <c r="F890" s="150" t="s">
        <v>372</v>
      </c>
      <c r="G890" s="151">
        <f>1847600+78400</f>
        <v>1926000</v>
      </c>
      <c r="H890" s="158">
        <f>1847600+78400</f>
        <v>1926000</v>
      </c>
      <c r="I890" s="158">
        <f t="shared" si="42"/>
        <v>100</v>
      </c>
    </row>
    <row r="891" spans="1:9" ht="94.5" outlineLevel="6">
      <c r="A891" s="149" t="s">
        <v>904</v>
      </c>
      <c r="B891" s="150" t="s">
        <v>22</v>
      </c>
      <c r="C891" s="150" t="s">
        <v>218</v>
      </c>
      <c r="D891" s="150" t="s">
        <v>193</v>
      </c>
      <c r="E891" s="150" t="s">
        <v>905</v>
      </c>
      <c r="F891" s="150" t="s">
        <v>25</v>
      </c>
      <c r="G891" s="151">
        <f>G892</f>
        <v>21800</v>
      </c>
      <c r="H891" s="158">
        <f>H892</f>
        <v>20675.31</v>
      </c>
      <c r="I891" s="158">
        <f t="shared" si="42"/>
        <v>94.84087155963303</v>
      </c>
    </row>
    <row r="892" spans="1:9" ht="94.5" outlineLevel="7">
      <c r="A892" s="149" t="s">
        <v>323</v>
      </c>
      <c r="B892" s="150" t="s">
        <v>22</v>
      </c>
      <c r="C892" s="150" t="s">
        <v>218</v>
      </c>
      <c r="D892" s="150" t="s">
        <v>193</v>
      </c>
      <c r="E892" s="150" t="s">
        <v>905</v>
      </c>
      <c r="F892" s="150" t="s">
        <v>54</v>
      </c>
      <c r="G892" s="151">
        <v>21800</v>
      </c>
      <c r="H892" s="158">
        <v>20675.31</v>
      </c>
      <c r="I892" s="158">
        <f t="shared" si="42"/>
        <v>94.84087155963303</v>
      </c>
    </row>
    <row r="893" spans="1:9" ht="110.25" outlineLevel="5">
      <c r="A893" s="149" t="s">
        <v>906</v>
      </c>
      <c r="B893" s="150" t="s">
        <v>22</v>
      </c>
      <c r="C893" s="150" t="s">
        <v>218</v>
      </c>
      <c r="D893" s="150" t="s">
        <v>193</v>
      </c>
      <c r="E893" s="150" t="s">
        <v>907</v>
      </c>
      <c r="F893" s="150" t="s">
        <v>25</v>
      </c>
      <c r="G893" s="151">
        <f>G894</f>
        <v>314000</v>
      </c>
      <c r="H893" s="158">
        <f>H894</f>
        <v>299607</v>
      </c>
      <c r="I893" s="158">
        <f t="shared" si="42"/>
        <v>95.41624203821655</v>
      </c>
    </row>
    <row r="894" spans="1:9" ht="157.5" outlineLevel="6">
      <c r="A894" s="149" t="s">
        <v>908</v>
      </c>
      <c r="B894" s="150" t="s">
        <v>22</v>
      </c>
      <c r="C894" s="150" t="s">
        <v>218</v>
      </c>
      <c r="D894" s="150" t="s">
        <v>193</v>
      </c>
      <c r="E894" s="150" t="s">
        <v>909</v>
      </c>
      <c r="F894" s="150" t="s">
        <v>25</v>
      </c>
      <c r="G894" s="151">
        <f>G895</f>
        <v>314000</v>
      </c>
      <c r="H894" s="158">
        <f>H895</f>
        <v>299607</v>
      </c>
      <c r="I894" s="158">
        <f t="shared" si="42"/>
        <v>95.41624203821655</v>
      </c>
    </row>
    <row r="895" spans="1:9" ht="31.5" outlineLevel="7">
      <c r="A895" s="149" t="s">
        <v>371</v>
      </c>
      <c r="B895" s="150" t="s">
        <v>22</v>
      </c>
      <c r="C895" s="150" t="s">
        <v>218</v>
      </c>
      <c r="D895" s="150" t="s">
        <v>193</v>
      </c>
      <c r="E895" s="150" t="s">
        <v>909</v>
      </c>
      <c r="F895" s="150" t="s">
        <v>372</v>
      </c>
      <c r="G895" s="151">
        <v>314000</v>
      </c>
      <c r="H895" s="158">
        <v>299607</v>
      </c>
      <c r="I895" s="158">
        <f t="shared" si="42"/>
        <v>95.41624203821655</v>
      </c>
    </row>
    <row r="896" spans="1:10" s="148" customFormat="1" ht="15.75" outlineLevel="2">
      <c r="A896" s="144" t="s">
        <v>236</v>
      </c>
      <c r="B896" s="145" t="s">
        <v>22</v>
      </c>
      <c r="C896" s="145" t="s">
        <v>218</v>
      </c>
      <c r="D896" s="145" t="s">
        <v>195</v>
      </c>
      <c r="E896" s="145" t="s">
        <v>313</v>
      </c>
      <c r="F896" s="145" t="s">
        <v>25</v>
      </c>
      <c r="G896" s="146">
        <f>G897</f>
        <v>53022200</v>
      </c>
      <c r="H896" s="161">
        <f>H897</f>
        <v>50551890.42</v>
      </c>
      <c r="I896" s="161">
        <f t="shared" si="42"/>
        <v>95.34099003813498</v>
      </c>
      <c r="J896" s="147"/>
    </row>
    <row r="897" spans="1:10" s="148" customFormat="1" ht="47.25" outlineLevel="3">
      <c r="A897" s="144" t="s">
        <v>734</v>
      </c>
      <c r="B897" s="145" t="s">
        <v>22</v>
      </c>
      <c r="C897" s="145" t="s">
        <v>218</v>
      </c>
      <c r="D897" s="145" t="s">
        <v>195</v>
      </c>
      <c r="E897" s="145" t="s">
        <v>735</v>
      </c>
      <c r="F897" s="145" t="s">
        <v>25</v>
      </c>
      <c r="G897" s="146">
        <f>G898+G906</f>
        <v>53022200</v>
      </c>
      <c r="H897" s="161">
        <f>H898+H906</f>
        <v>50551890.42</v>
      </c>
      <c r="I897" s="161">
        <f t="shared" si="42"/>
        <v>95.34099003813498</v>
      </c>
      <c r="J897" s="147"/>
    </row>
    <row r="898" spans="1:10" s="148" customFormat="1" ht="31.5" outlineLevel="4">
      <c r="A898" s="144" t="s">
        <v>790</v>
      </c>
      <c r="B898" s="145" t="s">
        <v>22</v>
      </c>
      <c r="C898" s="145" t="s">
        <v>218</v>
      </c>
      <c r="D898" s="145" t="s">
        <v>195</v>
      </c>
      <c r="E898" s="145" t="s">
        <v>791</v>
      </c>
      <c r="F898" s="145" t="s">
        <v>25</v>
      </c>
      <c r="G898" s="146">
        <f>G899+G903</f>
        <v>15952600</v>
      </c>
      <c r="H898" s="161">
        <f>H899+H903</f>
        <v>14268219.72</v>
      </c>
      <c r="I898" s="161">
        <f t="shared" si="42"/>
        <v>89.44134322931686</v>
      </c>
      <c r="J898" s="147"/>
    </row>
    <row r="899" spans="1:9" ht="78.75" outlineLevel="5">
      <c r="A899" s="149" t="s">
        <v>910</v>
      </c>
      <c r="B899" s="150" t="s">
        <v>22</v>
      </c>
      <c r="C899" s="150" t="s">
        <v>218</v>
      </c>
      <c r="D899" s="150" t="s">
        <v>195</v>
      </c>
      <c r="E899" s="150" t="s">
        <v>911</v>
      </c>
      <c r="F899" s="150" t="s">
        <v>25</v>
      </c>
      <c r="G899" s="151">
        <f>G900</f>
        <v>389100</v>
      </c>
      <c r="H899" s="158">
        <f>H900</f>
        <v>254182.55</v>
      </c>
      <c r="I899" s="158">
        <f t="shared" si="42"/>
        <v>65.3257645849396</v>
      </c>
    </row>
    <row r="900" spans="1:9" ht="141.75" outlineLevel="6">
      <c r="A900" s="149" t="s">
        <v>912</v>
      </c>
      <c r="B900" s="150" t="s">
        <v>22</v>
      </c>
      <c r="C900" s="150" t="s">
        <v>218</v>
      </c>
      <c r="D900" s="150" t="s">
        <v>195</v>
      </c>
      <c r="E900" s="150" t="s">
        <v>913</v>
      </c>
      <c r="F900" s="150" t="s">
        <v>25</v>
      </c>
      <c r="G900" s="151">
        <f>G902+G901</f>
        <v>389100</v>
      </c>
      <c r="H900" s="158">
        <f>H902+H901</f>
        <v>254182.55</v>
      </c>
      <c r="I900" s="158">
        <f t="shared" si="42"/>
        <v>65.3257645849396</v>
      </c>
    </row>
    <row r="901" spans="1:9" ht="31.5" outlineLevel="7">
      <c r="A901" s="149" t="s">
        <v>324</v>
      </c>
      <c r="B901" s="150" t="s">
        <v>22</v>
      </c>
      <c r="C901" s="150" t="s">
        <v>218</v>
      </c>
      <c r="D901" s="150" t="s">
        <v>195</v>
      </c>
      <c r="E901" s="150" t="s">
        <v>913</v>
      </c>
      <c r="F901" s="150" t="s">
        <v>325</v>
      </c>
      <c r="G901" s="151">
        <f>170216.5-14554</f>
        <v>155662.5</v>
      </c>
      <c r="H901" s="158">
        <v>61677.93</v>
      </c>
      <c r="I901" s="158">
        <f t="shared" si="42"/>
        <v>39.62285714285714</v>
      </c>
    </row>
    <row r="902" spans="1:9" ht="47.25" outlineLevel="7">
      <c r="A902" s="149" t="s">
        <v>386</v>
      </c>
      <c r="B902" s="150" t="s">
        <v>22</v>
      </c>
      <c r="C902" s="150" t="s">
        <v>218</v>
      </c>
      <c r="D902" s="150" t="s">
        <v>195</v>
      </c>
      <c r="E902" s="150" t="s">
        <v>913</v>
      </c>
      <c r="F902" s="150" t="s">
        <v>273</v>
      </c>
      <c r="G902" s="151">
        <f>255283.5-21846</f>
        <v>233437.5</v>
      </c>
      <c r="H902" s="158">
        <v>192504.62</v>
      </c>
      <c r="I902" s="158">
        <f t="shared" si="42"/>
        <v>82.46516519410977</v>
      </c>
    </row>
    <row r="903" spans="1:9" ht="63" outlineLevel="5">
      <c r="A903" s="149" t="s">
        <v>914</v>
      </c>
      <c r="B903" s="150" t="s">
        <v>22</v>
      </c>
      <c r="C903" s="150" t="s">
        <v>218</v>
      </c>
      <c r="D903" s="150" t="s">
        <v>195</v>
      </c>
      <c r="E903" s="150" t="s">
        <v>915</v>
      </c>
      <c r="F903" s="150" t="s">
        <v>25</v>
      </c>
      <c r="G903" s="151">
        <f>G904</f>
        <v>15563500</v>
      </c>
      <c r="H903" s="158">
        <f>H904</f>
        <v>14014037.17</v>
      </c>
      <c r="I903" s="158">
        <f t="shared" si="42"/>
        <v>90.0442520641244</v>
      </c>
    </row>
    <row r="904" spans="1:9" ht="94.5" outlineLevel="6">
      <c r="A904" s="149" t="s">
        <v>916</v>
      </c>
      <c r="B904" s="150" t="s">
        <v>22</v>
      </c>
      <c r="C904" s="150" t="s">
        <v>218</v>
      </c>
      <c r="D904" s="150" t="s">
        <v>195</v>
      </c>
      <c r="E904" s="150" t="s">
        <v>917</v>
      </c>
      <c r="F904" s="150" t="s">
        <v>25</v>
      </c>
      <c r="G904" s="151">
        <f>G905</f>
        <v>15563500</v>
      </c>
      <c r="H904" s="158">
        <f>H905</f>
        <v>14014037.17</v>
      </c>
      <c r="I904" s="158">
        <f t="shared" si="42"/>
        <v>90.0442520641244</v>
      </c>
    </row>
    <row r="905" spans="1:9" ht="31.5" outlineLevel="7">
      <c r="A905" s="149" t="s">
        <v>371</v>
      </c>
      <c r="B905" s="150" t="s">
        <v>22</v>
      </c>
      <c r="C905" s="150" t="s">
        <v>218</v>
      </c>
      <c r="D905" s="150" t="s">
        <v>195</v>
      </c>
      <c r="E905" s="150" t="s">
        <v>917</v>
      </c>
      <c r="F905" s="150" t="s">
        <v>372</v>
      </c>
      <c r="G905" s="151">
        <f>17018900-1455400</f>
        <v>15563500</v>
      </c>
      <c r="H905" s="158">
        <v>14014037.17</v>
      </c>
      <c r="I905" s="158">
        <f t="shared" si="42"/>
        <v>90.0442520641244</v>
      </c>
    </row>
    <row r="906" spans="1:10" s="148" customFormat="1" ht="47.25" outlineLevel="4">
      <c r="A906" s="144" t="s">
        <v>771</v>
      </c>
      <c r="B906" s="145" t="s">
        <v>22</v>
      </c>
      <c r="C906" s="145" t="s">
        <v>218</v>
      </c>
      <c r="D906" s="145" t="s">
        <v>195</v>
      </c>
      <c r="E906" s="145" t="s">
        <v>772</v>
      </c>
      <c r="F906" s="145" t="s">
        <v>25</v>
      </c>
      <c r="G906" s="146">
        <f>G907+G911+G914</f>
        <v>37069600</v>
      </c>
      <c r="H906" s="161">
        <f>H907+H911+H914</f>
        <v>36283670.7</v>
      </c>
      <c r="I906" s="161">
        <f t="shared" si="42"/>
        <v>97.87985492155298</v>
      </c>
      <c r="J906" s="147"/>
    </row>
    <row r="907" spans="1:9" ht="47.25" outlineLevel="5">
      <c r="A907" s="149" t="s">
        <v>918</v>
      </c>
      <c r="B907" s="150" t="s">
        <v>22</v>
      </c>
      <c r="C907" s="150" t="s">
        <v>218</v>
      </c>
      <c r="D907" s="150" t="s">
        <v>195</v>
      </c>
      <c r="E907" s="150" t="s">
        <v>919</v>
      </c>
      <c r="F907" s="150" t="s">
        <v>25</v>
      </c>
      <c r="G907" s="151">
        <f>G908</f>
        <v>5286000</v>
      </c>
      <c r="H907" s="158">
        <f>H908</f>
        <v>4910398.29</v>
      </c>
      <c r="I907" s="158">
        <f aca="true" t="shared" si="44" ref="I907:I916">H907/G907*100</f>
        <v>92.89440578887628</v>
      </c>
    </row>
    <row r="908" spans="1:9" ht="126" outlineLevel="6">
      <c r="A908" s="149" t="s">
        <v>920</v>
      </c>
      <c r="B908" s="150" t="s">
        <v>22</v>
      </c>
      <c r="C908" s="150" t="s">
        <v>218</v>
      </c>
      <c r="D908" s="150" t="s">
        <v>195</v>
      </c>
      <c r="E908" s="150" t="s">
        <v>921</v>
      </c>
      <c r="F908" s="150" t="s">
        <v>25</v>
      </c>
      <c r="G908" s="151">
        <f>G909+G910</f>
        <v>5286000</v>
      </c>
      <c r="H908" s="158">
        <f>H909+H910</f>
        <v>4910398.29</v>
      </c>
      <c r="I908" s="158">
        <f t="shared" si="44"/>
        <v>92.89440578887628</v>
      </c>
    </row>
    <row r="909" spans="1:9" ht="94.5" outlineLevel="7">
      <c r="A909" s="149" t="s">
        <v>323</v>
      </c>
      <c r="B909" s="150" t="s">
        <v>22</v>
      </c>
      <c r="C909" s="150" t="s">
        <v>218</v>
      </c>
      <c r="D909" s="150" t="s">
        <v>195</v>
      </c>
      <c r="E909" s="150" t="s">
        <v>921</v>
      </c>
      <c r="F909" s="150" t="s">
        <v>54</v>
      </c>
      <c r="G909" s="151">
        <f>3774682.59+153797.88+69677.09</f>
        <v>3998157.5599999996</v>
      </c>
      <c r="H909" s="158">
        <v>3997099.98</v>
      </c>
      <c r="I909" s="158">
        <f t="shared" si="44"/>
        <v>99.97354831608989</v>
      </c>
    </row>
    <row r="910" spans="1:9" ht="31.5" outlineLevel="7">
      <c r="A910" s="149" t="s">
        <v>324</v>
      </c>
      <c r="B910" s="150" t="s">
        <v>22</v>
      </c>
      <c r="C910" s="150" t="s">
        <v>218</v>
      </c>
      <c r="D910" s="150" t="s">
        <v>195</v>
      </c>
      <c r="E910" s="150" t="s">
        <v>921</v>
      </c>
      <c r="F910" s="150" t="s">
        <v>325</v>
      </c>
      <c r="G910" s="151">
        <f>1511317.41-223474.97</f>
        <v>1287842.44</v>
      </c>
      <c r="H910" s="158">
        <v>913298.31</v>
      </c>
      <c r="I910" s="158">
        <f t="shared" si="44"/>
        <v>70.91692909266138</v>
      </c>
    </row>
    <row r="911" spans="1:9" ht="63" outlineLevel="5">
      <c r="A911" s="149" t="s">
        <v>922</v>
      </c>
      <c r="B911" s="150" t="s">
        <v>22</v>
      </c>
      <c r="C911" s="150" t="s">
        <v>218</v>
      </c>
      <c r="D911" s="150" t="s">
        <v>195</v>
      </c>
      <c r="E911" s="150" t="s">
        <v>923</v>
      </c>
      <c r="F911" s="150" t="s">
        <v>25</v>
      </c>
      <c r="G911" s="151">
        <f>G912</f>
        <v>397000</v>
      </c>
      <c r="H911" s="158">
        <f>H912</f>
        <v>387772.24</v>
      </c>
      <c r="I911" s="158">
        <f t="shared" si="44"/>
        <v>97.67562720403022</v>
      </c>
    </row>
    <row r="912" spans="1:9" ht="94.5" outlineLevel="6">
      <c r="A912" s="149" t="s">
        <v>924</v>
      </c>
      <c r="B912" s="150" t="s">
        <v>22</v>
      </c>
      <c r="C912" s="150" t="s">
        <v>218</v>
      </c>
      <c r="D912" s="150" t="s">
        <v>195</v>
      </c>
      <c r="E912" s="150" t="s">
        <v>925</v>
      </c>
      <c r="F912" s="150" t="s">
        <v>25</v>
      </c>
      <c r="G912" s="151">
        <f>G913</f>
        <v>397000</v>
      </c>
      <c r="H912" s="158">
        <f>H913</f>
        <v>387772.24</v>
      </c>
      <c r="I912" s="158">
        <f t="shared" si="44"/>
        <v>97.67562720403022</v>
      </c>
    </row>
    <row r="913" spans="1:9" ht="31.5" outlineLevel="7">
      <c r="A913" s="149" t="s">
        <v>371</v>
      </c>
      <c r="B913" s="150" t="s">
        <v>22</v>
      </c>
      <c r="C913" s="150" t="s">
        <v>218</v>
      </c>
      <c r="D913" s="150" t="s">
        <v>195</v>
      </c>
      <c r="E913" s="150" t="s">
        <v>925</v>
      </c>
      <c r="F913" s="150" t="s">
        <v>372</v>
      </c>
      <c r="G913" s="151">
        <f>756100-359100</f>
        <v>397000</v>
      </c>
      <c r="H913" s="158">
        <v>387772.24</v>
      </c>
      <c r="I913" s="158">
        <f t="shared" si="44"/>
        <v>97.67562720403022</v>
      </c>
    </row>
    <row r="914" spans="1:9" ht="63" outlineLevel="5">
      <c r="A914" s="149" t="s">
        <v>926</v>
      </c>
      <c r="B914" s="150" t="s">
        <v>22</v>
      </c>
      <c r="C914" s="150" t="s">
        <v>218</v>
      </c>
      <c r="D914" s="150" t="s">
        <v>195</v>
      </c>
      <c r="E914" s="150" t="s">
        <v>927</v>
      </c>
      <c r="F914" s="150" t="s">
        <v>25</v>
      </c>
      <c r="G914" s="151">
        <f>G915</f>
        <v>31386600</v>
      </c>
      <c r="H914" s="158">
        <f>H915</f>
        <v>30985500.17</v>
      </c>
      <c r="I914" s="158">
        <f t="shared" si="44"/>
        <v>98.7220666462758</v>
      </c>
    </row>
    <row r="915" spans="1:9" ht="63" outlineLevel="6">
      <c r="A915" s="149" t="s">
        <v>928</v>
      </c>
      <c r="B915" s="150" t="s">
        <v>22</v>
      </c>
      <c r="C915" s="150" t="s">
        <v>218</v>
      </c>
      <c r="D915" s="150" t="s">
        <v>195</v>
      </c>
      <c r="E915" s="150" t="s">
        <v>929</v>
      </c>
      <c r="F915" s="150" t="s">
        <v>25</v>
      </c>
      <c r="G915" s="151">
        <f>G916</f>
        <v>31386600</v>
      </c>
      <c r="H915" s="158">
        <f>H916</f>
        <v>30985500.17</v>
      </c>
      <c r="I915" s="158">
        <f t="shared" si="44"/>
        <v>98.7220666462758</v>
      </c>
    </row>
    <row r="916" spans="1:9" ht="31.5" outlineLevel="7">
      <c r="A916" s="149" t="s">
        <v>371</v>
      </c>
      <c r="B916" s="150" t="s">
        <v>22</v>
      </c>
      <c r="C916" s="150" t="s">
        <v>218</v>
      </c>
      <c r="D916" s="150" t="s">
        <v>195</v>
      </c>
      <c r="E916" s="150" t="s">
        <v>929</v>
      </c>
      <c r="F916" s="150" t="s">
        <v>372</v>
      </c>
      <c r="G916" s="151">
        <f>33397200-1000000-1010600</f>
        <v>31386600</v>
      </c>
      <c r="H916" s="158">
        <v>30985500.17</v>
      </c>
      <c r="I916" s="158">
        <f t="shared" si="44"/>
        <v>98.7220666462758</v>
      </c>
    </row>
    <row r="917" spans="1:10" s="148" customFormat="1" ht="47.25">
      <c r="A917" s="144" t="s">
        <v>137</v>
      </c>
      <c r="B917" s="145" t="s">
        <v>23</v>
      </c>
      <c r="C917" s="145" t="s">
        <v>189</v>
      </c>
      <c r="D917" s="145" t="s">
        <v>189</v>
      </c>
      <c r="E917" s="145" t="s">
        <v>313</v>
      </c>
      <c r="F917" s="145" t="s">
        <v>25</v>
      </c>
      <c r="G917" s="146">
        <f>G918+G943+G1002+G1082+G1097</f>
        <v>312268980.93999994</v>
      </c>
      <c r="H917" s="161">
        <f>H918+H943+H1002+H1082+H1097</f>
        <v>312086303.57</v>
      </c>
      <c r="I917" s="161">
        <f>H917/G917*100</f>
        <v>99.94149999482816</v>
      </c>
      <c r="J917" s="147">
        <v>312086303.57</v>
      </c>
    </row>
    <row r="918" spans="1:10" s="148" customFormat="1" ht="15.75" outlineLevel="1">
      <c r="A918" s="144" t="s">
        <v>314</v>
      </c>
      <c r="B918" s="145" t="s">
        <v>23</v>
      </c>
      <c r="C918" s="145" t="s">
        <v>188</v>
      </c>
      <c r="D918" s="145" t="s">
        <v>189</v>
      </c>
      <c r="E918" s="145" t="s">
        <v>313</v>
      </c>
      <c r="F918" s="145" t="s">
        <v>25</v>
      </c>
      <c r="G918" s="146">
        <f>G919+G937</f>
        <v>8122681.43</v>
      </c>
      <c r="H918" s="161">
        <f>H919+H937</f>
        <v>8108229.68</v>
      </c>
      <c r="I918" s="161">
        <f aca="true" t="shared" si="45" ref="I918:I982">H918/G918*100</f>
        <v>99.8220815364416</v>
      </c>
      <c r="J918" s="147">
        <f>H917-J917</f>
        <v>0</v>
      </c>
    </row>
    <row r="919" spans="1:10" s="148" customFormat="1" ht="78.75" outlineLevel="2">
      <c r="A919" s="144" t="s">
        <v>194</v>
      </c>
      <c r="B919" s="145" t="s">
        <v>23</v>
      </c>
      <c r="C919" s="145" t="s">
        <v>188</v>
      </c>
      <c r="D919" s="145" t="s">
        <v>195</v>
      </c>
      <c r="E919" s="145" t="s">
        <v>313</v>
      </c>
      <c r="F919" s="145" t="s">
        <v>25</v>
      </c>
      <c r="G919" s="146">
        <f>G920</f>
        <v>7931161.05</v>
      </c>
      <c r="H919" s="161">
        <f>H920</f>
        <v>7928541.8</v>
      </c>
      <c r="I919" s="161">
        <f t="shared" si="45"/>
        <v>99.96697520093858</v>
      </c>
      <c r="J919" s="147"/>
    </row>
    <row r="920" spans="1:10" s="148" customFormat="1" ht="63" outlineLevel="3">
      <c r="A920" s="144" t="s">
        <v>315</v>
      </c>
      <c r="B920" s="145" t="s">
        <v>23</v>
      </c>
      <c r="C920" s="145" t="s">
        <v>188</v>
      </c>
      <c r="D920" s="145" t="s">
        <v>195</v>
      </c>
      <c r="E920" s="145" t="s">
        <v>316</v>
      </c>
      <c r="F920" s="145" t="s">
        <v>25</v>
      </c>
      <c r="G920" s="146">
        <f>G921+G929</f>
        <v>7931161.05</v>
      </c>
      <c r="H920" s="161">
        <f>H921+H929</f>
        <v>7928541.8</v>
      </c>
      <c r="I920" s="161">
        <f t="shared" si="45"/>
        <v>99.96697520093858</v>
      </c>
      <c r="J920" s="147"/>
    </row>
    <row r="921" spans="1:10" s="148" customFormat="1" ht="63" outlineLevel="4">
      <c r="A921" s="144" t="s">
        <v>930</v>
      </c>
      <c r="B921" s="145" t="s">
        <v>23</v>
      </c>
      <c r="C921" s="145" t="s">
        <v>188</v>
      </c>
      <c r="D921" s="145" t="s">
        <v>195</v>
      </c>
      <c r="E921" s="145" t="s">
        <v>931</v>
      </c>
      <c r="F921" s="145" t="s">
        <v>25</v>
      </c>
      <c r="G921" s="146">
        <f>G922</f>
        <v>7846698.05</v>
      </c>
      <c r="H921" s="161">
        <f>H922</f>
        <v>7844078.8</v>
      </c>
      <c r="I921" s="161">
        <f t="shared" si="45"/>
        <v>99.96661971719429</v>
      </c>
      <c r="J921" s="147"/>
    </row>
    <row r="922" spans="1:9" ht="47.25" outlineLevel="5">
      <c r="A922" s="149" t="s">
        <v>932</v>
      </c>
      <c r="B922" s="150" t="s">
        <v>23</v>
      </c>
      <c r="C922" s="150" t="s">
        <v>188</v>
      </c>
      <c r="D922" s="150" t="s">
        <v>195</v>
      </c>
      <c r="E922" s="150" t="s">
        <v>933</v>
      </c>
      <c r="F922" s="150" t="s">
        <v>25</v>
      </c>
      <c r="G922" s="151">
        <f>G923+G927+G925</f>
        <v>7846698.05</v>
      </c>
      <c r="H922" s="158">
        <f>H923+H927+H925</f>
        <v>7844078.8</v>
      </c>
      <c r="I922" s="158">
        <f t="shared" si="45"/>
        <v>99.96661971719429</v>
      </c>
    </row>
    <row r="923" spans="1:9" ht="31.5" outlineLevel="6">
      <c r="A923" s="149" t="s">
        <v>343</v>
      </c>
      <c r="B923" s="150" t="s">
        <v>23</v>
      </c>
      <c r="C923" s="150" t="s">
        <v>188</v>
      </c>
      <c r="D923" s="150" t="s">
        <v>195</v>
      </c>
      <c r="E923" s="150" t="s">
        <v>934</v>
      </c>
      <c r="F923" s="150" t="s">
        <v>25</v>
      </c>
      <c r="G923" s="151">
        <f>G924</f>
        <v>6961976.5</v>
      </c>
      <c r="H923" s="158">
        <f>H924</f>
        <v>6959357.25</v>
      </c>
      <c r="I923" s="158">
        <f t="shared" si="45"/>
        <v>99.96237778165438</v>
      </c>
    </row>
    <row r="924" spans="1:9" ht="94.5" outlineLevel="7">
      <c r="A924" s="149" t="s">
        <v>323</v>
      </c>
      <c r="B924" s="150" t="s">
        <v>23</v>
      </c>
      <c r="C924" s="150" t="s">
        <v>188</v>
      </c>
      <c r="D924" s="150" t="s">
        <v>195</v>
      </c>
      <c r="E924" s="150" t="s">
        <v>934</v>
      </c>
      <c r="F924" s="150" t="s">
        <v>54</v>
      </c>
      <c r="G924" s="151">
        <f>7759523.42-661713.37-135833.55</f>
        <v>6961976.5</v>
      </c>
      <c r="H924" s="158">
        <v>6959357.25</v>
      </c>
      <c r="I924" s="158">
        <f t="shared" si="45"/>
        <v>99.96237778165438</v>
      </c>
    </row>
    <row r="925" spans="1:9" ht="141.75" outlineLevel="7">
      <c r="A925" s="149" t="s">
        <v>375</v>
      </c>
      <c r="B925" s="150" t="s">
        <v>23</v>
      </c>
      <c r="C925" s="150" t="s">
        <v>188</v>
      </c>
      <c r="D925" s="150" t="s">
        <v>195</v>
      </c>
      <c r="E925" s="150" t="s">
        <v>935</v>
      </c>
      <c r="F925" s="150" t="s">
        <v>25</v>
      </c>
      <c r="G925" s="151">
        <f>G926</f>
        <v>797546.9199999999</v>
      </c>
      <c r="H925" s="158">
        <f>H926</f>
        <v>797546.9199999999</v>
      </c>
      <c r="I925" s="158">
        <f t="shared" si="45"/>
        <v>100</v>
      </c>
    </row>
    <row r="926" spans="1:9" ht="94.5" outlineLevel="7">
      <c r="A926" s="149" t="s">
        <v>323</v>
      </c>
      <c r="B926" s="150" t="s">
        <v>23</v>
      </c>
      <c r="C926" s="150" t="s">
        <v>188</v>
      </c>
      <c r="D926" s="150" t="s">
        <v>195</v>
      </c>
      <c r="E926" s="150" t="s">
        <v>935</v>
      </c>
      <c r="F926" s="150" t="s">
        <v>54</v>
      </c>
      <c r="G926" s="151">
        <f>661713.37+135833.55</f>
        <v>797546.9199999999</v>
      </c>
      <c r="H926" s="158">
        <f>661713.37+135833.55</f>
        <v>797546.9199999999</v>
      </c>
      <c r="I926" s="158">
        <f t="shared" si="45"/>
        <v>100</v>
      </c>
    </row>
    <row r="927" spans="1:9" ht="78.75" outlineLevel="6">
      <c r="A927" s="149" t="s">
        <v>335</v>
      </c>
      <c r="B927" s="150" t="s">
        <v>23</v>
      </c>
      <c r="C927" s="150" t="s">
        <v>188</v>
      </c>
      <c r="D927" s="150" t="s">
        <v>195</v>
      </c>
      <c r="E927" s="150" t="s">
        <v>936</v>
      </c>
      <c r="F927" s="150" t="s">
        <v>25</v>
      </c>
      <c r="G927" s="151">
        <f>G928</f>
        <v>87174.62999999999</v>
      </c>
      <c r="H927" s="158">
        <f>H928</f>
        <v>87174.62999999999</v>
      </c>
      <c r="I927" s="158">
        <f t="shared" si="45"/>
        <v>100</v>
      </c>
    </row>
    <row r="928" spans="1:9" ht="94.5" outlineLevel="7">
      <c r="A928" s="149" t="s">
        <v>323</v>
      </c>
      <c r="B928" s="150" t="s">
        <v>23</v>
      </c>
      <c r="C928" s="150" t="s">
        <v>188</v>
      </c>
      <c r="D928" s="150" t="s">
        <v>195</v>
      </c>
      <c r="E928" s="150" t="s">
        <v>936</v>
      </c>
      <c r="F928" s="150" t="s">
        <v>54</v>
      </c>
      <c r="G928" s="151">
        <f>105363.54-18188.91</f>
        <v>87174.62999999999</v>
      </c>
      <c r="H928" s="158">
        <f>105363.54-18188.91</f>
        <v>87174.62999999999</v>
      </c>
      <c r="I928" s="158">
        <f t="shared" si="45"/>
        <v>100</v>
      </c>
    </row>
    <row r="929" spans="1:10" s="148" customFormat="1" ht="31.5" outlineLevel="4">
      <c r="A929" s="144" t="s">
        <v>317</v>
      </c>
      <c r="B929" s="145" t="s">
        <v>23</v>
      </c>
      <c r="C929" s="145" t="s">
        <v>188</v>
      </c>
      <c r="D929" s="145" t="s">
        <v>195</v>
      </c>
      <c r="E929" s="145" t="s">
        <v>318</v>
      </c>
      <c r="F929" s="145" t="s">
        <v>25</v>
      </c>
      <c r="G929" s="146">
        <f>G930+G934</f>
        <v>84463</v>
      </c>
      <c r="H929" s="161">
        <f>H930+H934</f>
        <v>84463</v>
      </c>
      <c r="I929" s="161">
        <f t="shared" si="45"/>
        <v>100</v>
      </c>
      <c r="J929" s="147"/>
    </row>
    <row r="930" spans="1:9" ht="63" outlineLevel="5">
      <c r="A930" s="149" t="s">
        <v>337</v>
      </c>
      <c r="B930" s="150" t="s">
        <v>23</v>
      </c>
      <c r="C930" s="150" t="s">
        <v>188</v>
      </c>
      <c r="D930" s="150" t="s">
        <v>195</v>
      </c>
      <c r="E930" s="150" t="s">
        <v>320</v>
      </c>
      <c r="F930" s="150" t="s">
        <v>25</v>
      </c>
      <c r="G930" s="151">
        <f>G931</f>
        <v>44980</v>
      </c>
      <c r="H930" s="158">
        <f>H931</f>
        <v>44980</v>
      </c>
      <c r="I930" s="158">
        <f t="shared" si="45"/>
        <v>100</v>
      </c>
    </row>
    <row r="931" spans="1:9" ht="31.5" outlineLevel="6">
      <c r="A931" s="149" t="s">
        <v>321</v>
      </c>
      <c r="B931" s="150" t="s">
        <v>23</v>
      </c>
      <c r="C931" s="150" t="s">
        <v>188</v>
      </c>
      <c r="D931" s="150" t="s">
        <v>195</v>
      </c>
      <c r="E931" s="150" t="s">
        <v>322</v>
      </c>
      <c r="F931" s="150" t="s">
        <v>25</v>
      </c>
      <c r="G931" s="151">
        <f>G932+G933</f>
        <v>44980</v>
      </c>
      <c r="H931" s="158">
        <f>H932+H933</f>
        <v>44980</v>
      </c>
      <c r="I931" s="158">
        <f t="shared" si="45"/>
        <v>100</v>
      </c>
    </row>
    <row r="932" spans="1:9" ht="94.5" outlineLevel="7">
      <c r="A932" s="149" t="s">
        <v>323</v>
      </c>
      <c r="B932" s="150" t="s">
        <v>23</v>
      </c>
      <c r="C932" s="150" t="s">
        <v>188</v>
      </c>
      <c r="D932" s="150" t="s">
        <v>195</v>
      </c>
      <c r="E932" s="150" t="s">
        <v>322</v>
      </c>
      <c r="F932" s="150" t="s">
        <v>54</v>
      </c>
      <c r="G932" s="151">
        <f>34296.95-10316.95</f>
        <v>23979.999999999996</v>
      </c>
      <c r="H932" s="158">
        <f>34296.95-10316.95</f>
        <v>23979.999999999996</v>
      </c>
      <c r="I932" s="158">
        <f t="shared" si="45"/>
        <v>100</v>
      </c>
    </row>
    <row r="933" spans="1:9" ht="31.5" outlineLevel="7">
      <c r="A933" s="149" t="s">
        <v>324</v>
      </c>
      <c r="B933" s="150" t="s">
        <v>23</v>
      </c>
      <c r="C933" s="150" t="s">
        <v>188</v>
      </c>
      <c r="D933" s="150" t="s">
        <v>195</v>
      </c>
      <c r="E933" s="150" t="s">
        <v>322</v>
      </c>
      <c r="F933" s="150" t="s">
        <v>325</v>
      </c>
      <c r="G933" s="151">
        <f>46913-25913</f>
        <v>21000</v>
      </c>
      <c r="H933" s="158">
        <f>46913-25913</f>
        <v>21000</v>
      </c>
      <c r="I933" s="158">
        <f t="shared" si="45"/>
        <v>100</v>
      </c>
    </row>
    <row r="934" spans="1:9" ht="15.75" outlineLevel="5">
      <c r="A934" s="149" t="s">
        <v>338</v>
      </c>
      <c r="B934" s="150" t="s">
        <v>23</v>
      </c>
      <c r="C934" s="150" t="s">
        <v>188</v>
      </c>
      <c r="D934" s="150" t="s">
        <v>195</v>
      </c>
      <c r="E934" s="150" t="s">
        <v>339</v>
      </c>
      <c r="F934" s="150" t="s">
        <v>25</v>
      </c>
      <c r="G934" s="151">
        <f>G935</f>
        <v>39483</v>
      </c>
      <c r="H934" s="158">
        <f>H935</f>
        <v>39483</v>
      </c>
      <c r="I934" s="158">
        <f t="shared" si="45"/>
        <v>100</v>
      </c>
    </row>
    <row r="935" spans="1:9" ht="31.5" outlineLevel="6">
      <c r="A935" s="149" t="s">
        <v>321</v>
      </c>
      <c r="B935" s="150" t="s">
        <v>23</v>
      </c>
      <c r="C935" s="150" t="s">
        <v>188</v>
      </c>
      <c r="D935" s="150" t="s">
        <v>195</v>
      </c>
      <c r="E935" s="150" t="s">
        <v>340</v>
      </c>
      <c r="F935" s="150" t="s">
        <v>25</v>
      </c>
      <c r="G935" s="151">
        <f>G936</f>
        <v>39483</v>
      </c>
      <c r="H935" s="158">
        <f>H936</f>
        <v>39483</v>
      </c>
      <c r="I935" s="158">
        <f t="shared" si="45"/>
        <v>100</v>
      </c>
    </row>
    <row r="936" spans="1:9" ht="31.5" outlineLevel="7">
      <c r="A936" s="149" t="s">
        <v>324</v>
      </c>
      <c r="B936" s="150" t="s">
        <v>23</v>
      </c>
      <c r="C936" s="150" t="s">
        <v>188</v>
      </c>
      <c r="D936" s="150" t="s">
        <v>195</v>
      </c>
      <c r="E936" s="150" t="s">
        <v>340</v>
      </c>
      <c r="F936" s="150" t="s">
        <v>325</v>
      </c>
      <c r="G936" s="151">
        <f>48900-9417</f>
        <v>39483</v>
      </c>
      <c r="H936" s="158">
        <f>48900-9417</f>
        <v>39483</v>
      </c>
      <c r="I936" s="158">
        <f t="shared" si="45"/>
        <v>100</v>
      </c>
    </row>
    <row r="937" spans="1:10" s="148" customFormat="1" ht="15.75" outlineLevel="2">
      <c r="A937" s="144" t="s">
        <v>204</v>
      </c>
      <c r="B937" s="145" t="s">
        <v>23</v>
      </c>
      <c r="C937" s="145" t="s">
        <v>188</v>
      </c>
      <c r="D937" s="145" t="s">
        <v>205</v>
      </c>
      <c r="E937" s="145" t="s">
        <v>313</v>
      </c>
      <c r="F937" s="145" t="s">
        <v>25</v>
      </c>
      <c r="G937" s="146">
        <f aca="true" t="shared" si="46" ref="G937:H941">G938</f>
        <v>191520.38</v>
      </c>
      <c r="H937" s="161">
        <f t="shared" si="46"/>
        <v>179687.88</v>
      </c>
      <c r="I937" s="161">
        <f t="shared" si="45"/>
        <v>93.82180632682537</v>
      </c>
      <c r="J937" s="147"/>
    </row>
    <row r="938" spans="1:10" s="148" customFormat="1" ht="47.25" outlineLevel="3">
      <c r="A938" s="144" t="s">
        <v>347</v>
      </c>
      <c r="B938" s="145" t="s">
        <v>23</v>
      </c>
      <c r="C938" s="145" t="s">
        <v>188</v>
      </c>
      <c r="D938" s="145" t="s">
        <v>205</v>
      </c>
      <c r="E938" s="145" t="s">
        <v>348</v>
      </c>
      <c r="F938" s="145" t="s">
        <v>25</v>
      </c>
      <c r="G938" s="146">
        <f t="shared" si="46"/>
        <v>191520.38</v>
      </c>
      <c r="H938" s="161">
        <f t="shared" si="46"/>
        <v>179687.88</v>
      </c>
      <c r="I938" s="161">
        <f t="shared" si="45"/>
        <v>93.82180632682537</v>
      </c>
      <c r="J938" s="147"/>
    </row>
    <row r="939" spans="1:10" s="148" customFormat="1" ht="47.25" outlineLevel="4">
      <c r="A939" s="144" t="s">
        <v>349</v>
      </c>
      <c r="B939" s="145" t="s">
        <v>23</v>
      </c>
      <c r="C939" s="145" t="s">
        <v>188</v>
      </c>
      <c r="D939" s="145" t="s">
        <v>205</v>
      </c>
      <c r="E939" s="145" t="s">
        <v>350</v>
      </c>
      <c r="F939" s="145" t="s">
        <v>25</v>
      </c>
      <c r="G939" s="146">
        <f t="shared" si="46"/>
        <v>191520.38</v>
      </c>
      <c r="H939" s="161">
        <f t="shared" si="46"/>
        <v>179687.88</v>
      </c>
      <c r="I939" s="161">
        <f t="shared" si="45"/>
        <v>93.82180632682537</v>
      </c>
      <c r="J939" s="147"/>
    </row>
    <row r="940" spans="1:9" ht="47.25" outlineLevel="5">
      <c r="A940" s="149" t="s">
        <v>355</v>
      </c>
      <c r="B940" s="150" t="s">
        <v>23</v>
      </c>
      <c r="C940" s="150" t="s">
        <v>188</v>
      </c>
      <c r="D940" s="150" t="s">
        <v>205</v>
      </c>
      <c r="E940" s="150" t="s">
        <v>356</v>
      </c>
      <c r="F940" s="150" t="s">
        <v>25</v>
      </c>
      <c r="G940" s="151">
        <f t="shared" si="46"/>
        <v>191520.38</v>
      </c>
      <c r="H940" s="158">
        <f t="shared" si="46"/>
        <v>179687.88</v>
      </c>
      <c r="I940" s="158">
        <f t="shared" si="45"/>
        <v>93.82180632682537</v>
      </c>
    </row>
    <row r="941" spans="1:9" ht="31.5" outlineLevel="6">
      <c r="A941" s="149" t="s">
        <v>353</v>
      </c>
      <c r="B941" s="150" t="s">
        <v>23</v>
      </c>
      <c r="C941" s="150" t="s">
        <v>188</v>
      </c>
      <c r="D941" s="150" t="s">
        <v>205</v>
      </c>
      <c r="E941" s="150" t="s">
        <v>357</v>
      </c>
      <c r="F941" s="150" t="s">
        <v>25</v>
      </c>
      <c r="G941" s="151">
        <f t="shared" si="46"/>
        <v>191520.38</v>
      </c>
      <c r="H941" s="158">
        <f t="shared" si="46"/>
        <v>179687.88</v>
      </c>
      <c r="I941" s="158">
        <f t="shared" si="45"/>
        <v>93.82180632682537</v>
      </c>
    </row>
    <row r="942" spans="1:9" ht="31.5" outlineLevel="7">
      <c r="A942" s="149" t="s">
        <v>324</v>
      </c>
      <c r="B942" s="150" t="s">
        <v>23</v>
      </c>
      <c r="C942" s="150" t="s">
        <v>188</v>
      </c>
      <c r="D942" s="150" t="s">
        <v>205</v>
      </c>
      <c r="E942" s="150" t="s">
        <v>357</v>
      </c>
      <c r="F942" s="150" t="s">
        <v>325</v>
      </c>
      <c r="G942" s="151">
        <f>262512.33-70991.95</f>
        <v>191520.38</v>
      </c>
      <c r="H942" s="158">
        <v>179687.88</v>
      </c>
      <c r="I942" s="158">
        <f t="shared" si="45"/>
        <v>93.82180632682537</v>
      </c>
    </row>
    <row r="943" spans="1:10" s="148" customFormat="1" ht="15.75" outlineLevel="1">
      <c r="A943" s="144" t="s">
        <v>733</v>
      </c>
      <c r="B943" s="145" t="s">
        <v>23</v>
      </c>
      <c r="C943" s="145" t="s">
        <v>201</v>
      </c>
      <c r="D943" s="145" t="s">
        <v>189</v>
      </c>
      <c r="E943" s="145" t="s">
        <v>313</v>
      </c>
      <c r="F943" s="145" t="s">
        <v>25</v>
      </c>
      <c r="G943" s="146">
        <f>G944+G969</f>
        <v>85185929.56</v>
      </c>
      <c r="H943" s="161">
        <f>H944+H969</f>
        <v>85185929.56</v>
      </c>
      <c r="I943" s="161">
        <f t="shared" si="45"/>
        <v>100</v>
      </c>
      <c r="J943" s="147"/>
    </row>
    <row r="944" spans="1:10" s="148" customFormat="1" ht="15.75" outlineLevel="2">
      <c r="A944" s="144" t="s">
        <v>300</v>
      </c>
      <c r="B944" s="145" t="s">
        <v>23</v>
      </c>
      <c r="C944" s="145" t="s">
        <v>201</v>
      </c>
      <c r="D944" s="145" t="s">
        <v>193</v>
      </c>
      <c r="E944" s="145" t="s">
        <v>313</v>
      </c>
      <c r="F944" s="145" t="s">
        <v>25</v>
      </c>
      <c r="G944" s="146">
        <f>G945+G964</f>
        <v>64915482.620000005</v>
      </c>
      <c r="H944" s="161">
        <f>H945+H964</f>
        <v>64915482.620000005</v>
      </c>
      <c r="I944" s="161">
        <f t="shared" si="45"/>
        <v>100</v>
      </c>
      <c r="J944" s="147"/>
    </row>
    <row r="945" spans="1:10" s="148" customFormat="1" ht="63" outlineLevel="3">
      <c r="A945" s="144" t="s">
        <v>937</v>
      </c>
      <c r="B945" s="145" t="s">
        <v>23</v>
      </c>
      <c r="C945" s="145" t="s">
        <v>201</v>
      </c>
      <c r="D945" s="145" t="s">
        <v>193</v>
      </c>
      <c r="E945" s="145" t="s">
        <v>938</v>
      </c>
      <c r="F945" s="145" t="s">
        <v>25</v>
      </c>
      <c r="G945" s="146">
        <f>G946</f>
        <v>64586303.620000005</v>
      </c>
      <c r="H945" s="161">
        <f>H946</f>
        <v>64586303.620000005</v>
      </c>
      <c r="I945" s="161">
        <f t="shared" si="45"/>
        <v>100</v>
      </c>
      <c r="J945" s="147"/>
    </row>
    <row r="946" spans="1:10" s="148" customFormat="1" ht="47.25" outlineLevel="4">
      <c r="A946" s="144" t="s">
        <v>939</v>
      </c>
      <c r="B946" s="145" t="s">
        <v>23</v>
      </c>
      <c r="C946" s="145" t="s">
        <v>201</v>
      </c>
      <c r="D946" s="145" t="s">
        <v>193</v>
      </c>
      <c r="E946" s="145" t="s">
        <v>940</v>
      </c>
      <c r="F946" s="145" t="s">
        <v>25</v>
      </c>
      <c r="G946" s="146">
        <f>G947+G954+G961</f>
        <v>64586303.620000005</v>
      </c>
      <c r="H946" s="161">
        <f>H947+H954+H961</f>
        <v>64586303.620000005</v>
      </c>
      <c r="I946" s="161">
        <f t="shared" si="45"/>
        <v>100</v>
      </c>
      <c r="J946" s="147"/>
    </row>
    <row r="947" spans="1:9" ht="31.5" outlineLevel="5">
      <c r="A947" s="149" t="s">
        <v>941</v>
      </c>
      <c r="B947" s="150" t="s">
        <v>23</v>
      </c>
      <c r="C947" s="150" t="s">
        <v>201</v>
      </c>
      <c r="D947" s="150" t="s">
        <v>193</v>
      </c>
      <c r="E947" s="150" t="s">
        <v>942</v>
      </c>
      <c r="F947" s="150" t="s">
        <v>25</v>
      </c>
      <c r="G947" s="151">
        <f>G948+G950+G952</f>
        <v>43539711.37</v>
      </c>
      <c r="H947" s="158">
        <f>H948+H950+H952</f>
        <v>43539711.37</v>
      </c>
      <c r="I947" s="158">
        <f t="shared" si="45"/>
        <v>100</v>
      </c>
    </row>
    <row r="948" spans="1:9" ht="78.75" outlineLevel="6">
      <c r="A948" s="149" t="s">
        <v>431</v>
      </c>
      <c r="B948" s="150" t="s">
        <v>23</v>
      </c>
      <c r="C948" s="150" t="s">
        <v>201</v>
      </c>
      <c r="D948" s="150" t="s">
        <v>193</v>
      </c>
      <c r="E948" s="150" t="s">
        <v>943</v>
      </c>
      <c r="F948" s="150" t="s">
        <v>25</v>
      </c>
      <c r="G948" s="151">
        <f>G949</f>
        <v>41030262.86</v>
      </c>
      <c r="H948" s="158">
        <f>H949</f>
        <v>41030262.86</v>
      </c>
      <c r="I948" s="158">
        <f t="shared" si="45"/>
        <v>100</v>
      </c>
    </row>
    <row r="949" spans="1:9" ht="47.25" outlineLevel="7">
      <c r="A949" s="149" t="s">
        <v>386</v>
      </c>
      <c r="B949" s="150" t="s">
        <v>23</v>
      </c>
      <c r="C949" s="150" t="s">
        <v>201</v>
      </c>
      <c r="D949" s="150" t="s">
        <v>193</v>
      </c>
      <c r="E949" s="150" t="s">
        <v>943</v>
      </c>
      <c r="F949" s="150" t="s">
        <v>273</v>
      </c>
      <c r="G949" s="151">
        <v>41030262.86</v>
      </c>
      <c r="H949" s="158">
        <v>41030262.86</v>
      </c>
      <c r="I949" s="158">
        <f t="shared" si="45"/>
        <v>100</v>
      </c>
    </row>
    <row r="950" spans="1:9" ht="78.75" outlineLevel="6">
      <c r="A950" s="149" t="s">
        <v>794</v>
      </c>
      <c r="B950" s="150" t="s">
        <v>23</v>
      </c>
      <c r="C950" s="150" t="s">
        <v>201</v>
      </c>
      <c r="D950" s="150" t="s">
        <v>193</v>
      </c>
      <c r="E950" s="150" t="s">
        <v>944</v>
      </c>
      <c r="F950" s="150" t="s">
        <v>25</v>
      </c>
      <c r="G950" s="151">
        <f>G951</f>
        <v>784098.29</v>
      </c>
      <c r="H950" s="158">
        <f>H951</f>
        <v>784098.29</v>
      </c>
      <c r="I950" s="158">
        <f t="shared" si="45"/>
        <v>100</v>
      </c>
    </row>
    <row r="951" spans="1:9" ht="47.25" outlineLevel="7">
      <c r="A951" s="149" t="s">
        <v>386</v>
      </c>
      <c r="B951" s="150" t="s">
        <v>23</v>
      </c>
      <c r="C951" s="150" t="s">
        <v>201</v>
      </c>
      <c r="D951" s="150" t="s">
        <v>193</v>
      </c>
      <c r="E951" s="150" t="s">
        <v>944</v>
      </c>
      <c r="F951" s="150" t="s">
        <v>273</v>
      </c>
      <c r="G951" s="151">
        <f>544827.14+239271.15</f>
        <v>784098.29</v>
      </c>
      <c r="H951" s="158">
        <f>544827.14+239271.15</f>
        <v>784098.29</v>
      </c>
      <c r="I951" s="158">
        <f t="shared" si="45"/>
        <v>100</v>
      </c>
    </row>
    <row r="952" spans="1:9" ht="78.75" outlineLevel="6">
      <c r="A952" s="149" t="s">
        <v>794</v>
      </c>
      <c r="B952" s="150" t="s">
        <v>23</v>
      </c>
      <c r="C952" s="150" t="s">
        <v>201</v>
      </c>
      <c r="D952" s="150" t="s">
        <v>193</v>
      </c>
      <c r="E952" s="150" t="s">
        <v>945</v>
      </c>
      <c r="F952" s="150" t="s">
        <v>25</v>
      </c>
      <c r="G952" s="151">
        <f>G953</f>
        <v>1725350.22</v>
      </c>
      <c r="H952" s="158">
        <f>H953</f>
        <v>1725350.22</v>
      </c>
      <c r="I952" s="158">
        <f t="shared" si="45"/>
        <v>100</v>
      </c>
    </row>
    <row r="953" spans="1:9" ht="47.25" outlineLevel="7">
      <c r="A953" s="149" t="s">
        <v>386</v>
      </c>
      <c r="B953" s="150" t="s">
        <v>23</v>
      </c>
      <c r="C953" s="150" t="s">
        <v>201</v>
      </c>
      <c r="D953" s="150" t="s">
        <v>193</v>
      </c>
      <c r="E953" s="150" t="s">
        <v>945</v>
      </c>
      <c r="F953" s="150" t="s">
        <v>273</v>
      </c>
      <c r="G953" s="151">
        <v>1725350.22</v>
      </c>
      <c r="H953" s="158">
        <v>1725350.22</v>
      </c>
      <c r="I953" s="158">
        <f t="shared" si="45"/>
        <v>100</v>
      </c>
    </row>
    <row r="954" spans="1:9" ht="47.25" outlineLevel="5">
      <c r="A954" s="149" t="s">
        <v>946</v>
      </c>
      <c r="B954" s="150" t="s">
        <v>23</v>
      </c>
      <c r="C954" s="150" t="s">
        <v>201</v>
      </c>
      <c r="D954" s="150" t="s">
        <v>193</v>
      </c>
      <c r="E954" s="150" t="s">
        <v>947</v>
      </c>
      <c r="F954" s="150" t="s">
        <v>25</v>
      </c>
      <c r="G954" s="151">
        <f>G955+G957+G959</f>
        <v>20043383.910000004</v>
      </c>
      <c r="H954" s="158">
        <f>H955+H957+H959</f>
        <v>20043383.910000004</v>
      </c>
      <c r="I954" s="158">
        <f t="shared" si="45"/>
        <v>100</v>
      </c>
    </row>
    <row r="955" spans="1:9" ht="78.75" outlineLevel="6">
      <c r="A955" s="149" t="s">
        <v>431</v>
      </c>
      <c r="B955" s="150" t="s">
        <v>23</v>
      </c>
      <c r="C955" s="150" t="s">
        <v>201</v>
      </c>
      <c r="D955" s="150" t="s">
        <v>193</v>
      </c>
      <c r="E955" s="150" t="s">
        <v>948</v>
      </c>
      <c r="F955" s="150" t="s">
        <v>25</v>
      </c>
      <c r="G955" s="151">
        <f>G956</f>
        <v>19023449.14</v>
      </c>
      <c r="H955" s="158">
        <f>H956</f>
        <v>19023449.14</v>
      </c>
      <c r="I955" s="158">
        <f t="shared" si="45"/>
        <v>100</v>
      </c>
    </row>
    <row r="956" spans="1:9" ht="47.25" outlineLevel="7">
      <c r="A956" s="149" t="s">
        <v>386</v>
      </c>
      <c r="B956" s="150" t="s">
        <v>23</v>
      </c>
      <c r="C956" s="150" t="s">
        <v>201</v>
      </c>
      <c r="D956" s="150" t="s">
        <v>193</v>
      </c>
      <c r="E956" s="150" t="s">
        <v>948</v>
      </c>
      <c r="F956" s="150" t="s">
        <v>273</v>
      </c>
      <c r="G956" s="151">
        <v>19023449.14</v>
      </c>
      <c r="H956" s="158">
        <v>19023449.14</v>
      </c>
      <c r="I956" s="158">
        <f t="shared" si="45"/>
        <v>100</v>
      </c>
    </row>
    <row r="957" spans="1:9" ht="78.75" outlineLevel="6">
      <c r="A957" s="149" t="s">
        <v>794</v>
      </c>
      <c r="B957" s="150" t="s">
        <v>23</v>
      </c>
      <c r="C957" s="150" t="s">
        <v>201</v>
      </c>
      <c r="D957" s="150" t="s">
        <v>193</v>
      </c>
      <c r="E957" s="150" t="s">
        <v>949</v>
      </c>
      <c r="F957" s="150" t="s">
        <v>25</v>
      </c>
      <c r="G957" s="151">
        <f>G958</f>
        <v>244777.42</v>
      </c>
      <c r="H957" s="158">
        <f>H958</f>
        <v>244777.42</v>
      </c>
      <c r="I957" s="158">
        <f t="shared" si="45"/>
        <v>100</v>
      </c>
    </row>
    <row r="958" spans="1:9" ht="47.25" outlineLevel="7">
      <c r="A958" s="149" t="s">
        <v>386</v>
      </c>
      <c r="B958" s="150" t="s">
        <v>23</v>
      </c>
      <c r="C958" s="150" t="s">
        <v>201</v>
      </c>
      <c r="D958" s="150" t="s">
        <v>193</v>
      </c>
      <c r="E958" s="150" t="s">
        <v>949</v>
      </c>
      <c r="F958" s="150" t="s">
        <v>273</v>
      </c>
      <c r="G958" s="151">
        <v>244777.42</v>
      </c>
      <c r="H958" s="158">
        <v>244777.42</v>
      </c>
      <c r="I958" s="158">
        <f t="shared" si="45"/>
        <v>100</v>
      </c>
    </row>
    <row r="959" spans="1:9" ht="78.75" outlineLevel="6">
      <c r="A959" s="149" t="s">
        <v>794</v>
      </c>
      <c r="B959" s="150" t="s">
        <v>23</v>
      </c>
      <c r="C959" s="150" t="s">
        <v>201</v>
      </c>
      <c r="D959" s="150" t="s">
        <v>193</v>
      </c>
      <c r="E959" s="150" t="s">
        <v>950</v>
      </c>
      <c r="F959" s="150" t="s">
        <v>25</v>
      </c>
      <c r="G959" s="151">
        <f>G960</f>
        <v>775157.35</v>
      </c>
      <c r="H959" s="158">
        <f>H960</f>
        <v>775157.35</v>
      </c>
      <c r="I959" s="158">
        <f t="shared" si="45"/>
        <v>100</v>
      </c>
    </row>
    <row r="960" spans="1:9" ht="47.25" outlineLevel="7">
      <c r="A960" s="149" t="s">
        <v>386</v>
      </c>
      <c r="B960" s="150" t="s">
        <v>23</v>
      </c>
      <c r="C960" s="150" t="s">
        <v>201</v>
      </c>
      <c r="D960" s="150" t="s">
        <v>193</v>
      </c>
      <c r="E960" s="150" t="s">
        <v>950</v>
      </c>
      <c r="F960" s="150" t="s">
        <v>273</v>
      </c>
      <c r="G960" s="151">
        <v>775157.35</v>
      </c>
      <c r="H960" s="158">
        <v>775157.35</v>
      </c>
      <c r="I960" s="158">
        <f t="shared" si="45"/>
        <v>100</v>
      </c>
    </row>
    <row r="961" spans="1:9" ht="31.5" outlineLevel="5">
      <c r="A961" s="149" t="s">
        <v>802</v>
      </c>
      <c r="B961" s="150" t="s">
        <v>23</v>
      </c>
      <c r="C961" s="150" t="s">
        <v>201</v>
      </c>
      <c r="D961" s="150" t="s">
        <v>193</v>
      </c>
      <c r="E961" s="150" t="s">
        <v>951</v>
      </c>
      <c r="F961" s="150" t="s">
        <v>25</v>
      </c>
      <c r="G961" s="151">
        <f>G962</f>
        <v>1003208.3400000001</v>
      </c>
      <c r="H961" s="158">
        <f>H962</f>
        <v>1003208.3400000001</v>
      </c>
      <c r="I961" s="158">
        <f t="shared" si="45"/>
        <v>100</v>
      </c>
    </row>
    <row r="962" spans="1:9" ht="78.75" outlineLevel="6">
      <c r="A962" s="149" t="s">
        <v>335</v>
      </c>
      <c r="B962" s="150" t="s">
        <v>23</v>
      </c>
      <c r="C962" s="150" t="s">
        <v>201</v>
      </c>
      <c r="D962" s="150" t="s">
        <v>193</v>
      </c>
      <c r="E962" s="150" t="s">
        <v>952</v>
      </c>
      <c r="F962" s="150" t="s">
        <v>25</v>
      </c>
      <c r="G962" s="151">
        <f>G963</f>
        <v>1003208.3400000001</v>
      </c>
      <c r="H962" s="158">
        <f>H963</f>
        <v>1003208.3400000001</v>
      </c>
      <c r="I962" s="158">
        <f t="shared" si="45"/>
        <v>100</v>
      </c>
    </row>
    <row r="963" spans="1:9" ht="47.25" outlineLevel="7">
      <c r="A963" s="149" t="s">
        <v>386</v>
      </c>
      <c r="B963" s="150" t="s">
        <v>23</v>
      </c>
      <c r="C963" s="150" t="s">
        <v>201</v>
      </c>
      <c r="D963" s="150" t="s">
        <v>193</v>
      </c>
      <c r="E963" s="150" t="s">
        <v>952</v>
      </c>
      <c r="F963" s="150" t="s">
        <v>273</v>
      </c>
      <c r="G963" s="151">
        <f>1032524+10781.03-40096.69</f>
        <v>1003208.3400000001</v>
      </c>
      <c r="H963" s="158">
        <f>1032524+10781.03-40096.69</f>
        <v>1003208.3400000001</v>
      </c>
      <c r="I963" s="158">
        <f t="shared" si="45"/>
        <v>100</v>
      </c>
    </row>
    <row r="964" spans="1:10" s="148" customFormat="1" ht="47.25" outlineLevel="3">
      <c r="A964" s="144" t="s">
        <v>347</v>
      </c>
      <c r="B964" s="145" t="s">
        <v>23</v>
      </c>
      <c r="C964" s="145" t="s">
        <v>201</v>
      </c>
      <c r="D964" s="145" t="s">
        <v>193</v>
      </c>
      <c r="E964" s="145" t="s">
        <v>348</v>
      </c>
      <c r="F964" s="145" t="s">
        <v>25</v>
      </c>
      <c r="G964" s="146">
        <f aca="true" t="shared" si="47" ref="G964:H967">G965</f>
        <v>329179</v>
      </c>
      <c r="H964" s="161">
        <f t="shared" si="47"/>
        <v>329179</v>
      </c>
      <c r="I964" s="161">
        <f t="shared" si="45"/>
        <v>100</v>
      </c>
      <c r="J964" s="147"/>
    </row>
    <row r="965" spans="1:10" s="148" customFormat="1" ht="47.25" outlineLevel="4">
      <c r="A965" s="144" t="s">
        <v>349</v>
      </c>
      <c r="B965" s="145" t="s">
        <v>23</v>
      </c>
      <c r="C965" s="145" t="s">
        <v>201</v>
      </c>
      <c r="D965" s="145" t="s">
        <v>193</v>
      </c>
      <c r="E965" s="145" t="s">
        <v>350</v>
      </c>
      <c r="F965" s="145" t="s">
        <v>25</v>
      </c>
      <c r="G965" s="146">
        <f t="shared" si="47"/>
        <v>329179</v>
      </c>
      <c r="H965" s="161">
        <f t="shared" si="47"/>
        <v>329179</v>
      </c>
      <c r="I965" s="161">
        <f t="shared" si="45"/>
        <v>100</v>
      </c>
      <c r="J965" s="147"/>
    </row>
    <row r="966" spans="1:9" ht="31.5" outlineLevel="5">
      <c r="A966" s="149" t="s">
        <v>418</v>
      </c>
      <c r="B966" s="150" t="s">
        <v>23</v>
      </c>
      <c r="C966" s="150" t="s">
        <v>201</v>
      </c>
      <c r="D966" s="150" t="s">
        <v>193</v>
      </c>
      <c r="E966" s="150" t="s">
        <v>419</v>
      </c>
      <c r="F966" s="150" t="s">
        <v>25</v>
      </c>
      <c r="G966" s="151">
        <f t="shared" si="47"/>
        <v>329179</v>
      </c>
      <c r="H966" s="158">
        <f t="shared" si="47"/>
        <v>329179</v>
      </c>
      <c r="I966" s="158">
        <f t="shared" si="45"/>
        <v>100</v>
      </c>
    </row>
    <row r="967" spans="1:9" ht="31.5" outlineLevel="6">
      <c r="A967" s="149" t="s">
        <v>353</v>
      </c>
      <c r="B967" s="150" t="s">
        <v>23</v>
      </c>
      <c r="C967" s="150" t="s">
        <v>201</v>
      </c>
      <c r="D967" s="150" t="s">
        <v>193</v>
      </c>
      <c r="E967" s="150" t="s">
        <v>420</v>
      </c>
      <c r="F967" s="150" t="s">
        <v>25</v>
      </c>
      <c r="G967" s="151">
        <f t="shared" si="47"/>
        <v>329179</v>
      </c>
      <c r="H967" s="158">
        <f t="shared" si="47"/>
        <v>329179</v>
      </c>
      <c r="I967" s="158">
        <f t="shared" si="45"/>
        <v>100</v>
      </c>
    </row>
    <row r="968" spans="1:9" ht="47.25" outlineLevel="7">
      <c r="A968" s="149" t="s">
        <v>386</v>
      </c>
      <c r="B968" s="150" t="s">
        <v>23</v>
      </c>
      <c r="C968" s="150" t="s">
        <v>201</v>
      </c>
      <c r="D968" s="150" t="s">
        <v>193</v>
      </c>
      <c r="E968" s="150" t="s">
        <v>420</v>
      </c>
      <c r="F968" s="150" t="s">
        <v>273</v>
      </c>
      <c r="G968" s="151">
        <v>329179</v>
      </c>
      <c r="H968" s="158">
        <v>329179</v>
      </c>
      <c r="I968" s="158">
        <f t="shared" si="45"/>
        <v>100</v>
      </c>
    </row>
    <row r="969" spans="1:10" s="148" customFormat="1" ht="15.75" outlineLevel="2">
      <c r="A969" s="144" t="s">
        <v>301</v>
      </c>
      <c r="B969" s="145" t="s">
        <v>23</v>
      </c>
      <c r="C969" s="145" t="s">
        <v>201</v>
      </c>
      <c r="D969" s="145" t="s">
        <v>201</v>
      </c>
      <c r="E969" s="145" t="s">
        <v>313</v>
      </c>
      <c r="F969" s="145" t="s">
        <v>25</v>
      </c>
      <c r="G969" s="146">
        <f>G970+G997</f>
        <v>20270446.94</v>
      </c>
      <c r="H969" s="161">
        <f>H970+H997</f>
        <v>20270446.94</v>
      </c>
      <c r="I969" s="161">
        <f t="shared" si="45"/>
        <v>100</v>
      </c>
      <c r="J969" s="147"/>
    </row>
    <row r="970" spans="1:10" s="148" customFormat="1" ht="63" outlineLevel="3">
      <c r="A970" s="144" t="s">
        <v>953</v>
      </c>
      <c r="B970" s="145" t="s">
        <v>23</v>
      </c>
      <c r="C970" s="145" t="s">
        <v>201</v>
      </c>
      <c r="D970" s="145" t="s">
        <v>201</v>
      </c>
      <c r="E970" s="145" t="s">
        <v>954</v>
      </c>
      <c r="F970" s="145" t="s">
        <v>25</v>
      </c>
      <c r="G970" s="146">
        <f>G971+G987</f>
        <v>20075508.94</v>
      </c>
      <c r="H970" s="161">
        <f>H971+H987</f>
        <v>20075508.94</v>
      </c>
      <c r="I970" s="161">
        <f t="shared" si="45"/>
        <v>100</v>
      </c>
      <c r="J970" s="147"/>
    </row>
    <row r="971" spans="1:10" s="148" customFormat="1" ht="31.5" outlineLevel="4">
      <c r="A971" s="144" t="s">
        <v>955</v>
      </c>
      <c r="B971" s="145" t="s">
        <v>23</v>
      </c>
      <c r="C971" s="145" t="s">
        <v>201</v>
      </c>
      <c r="D971" s="145" t="s">
        <v>201</v>
      </c>
      <c r="E971" s="145" t="s">
        <v>956</v>
      </c>
      <c r="F971" s="145" t="s">
        <v>25</v>
      </c>
      <c r="G971" s="146">
        <f>G972+G976+G981+G984</f>
        <v>1017581.42</v>
      </c>
      <c r="H971" s="161">
        <f>H972+H976+H981+H984</f>
        <v>1017581.42</v>
      </c>
      <c r="I971" s="161">
        <f t="shared" si="45"/>
        <v>100</v>
      </c>
      <c r="J971" s="147"/>
    </row>
    <row r="972" spans="1:9" ht="47.25" outlineLevel="5">
      <c r="A972" s="149" t="s">
        <v>957</v>
      </c>
      <c r="B972" s="150" t="s">
        <v>23</v>
      </c>
      <c r="C972" s="150" t="s">
        <v>201</v>
      </c>
      <c r="D972" s="150" t="s">
        <v>201</v>
      </c>
      <c r="E972" s="150" t="s">
        <v>958</v>
      </c>
      <c r="F972" s="150" t="s">
        <v>25</v>
      </c>
      <c r="G972" s="151">
        <f>G973</f>
        <v>403406</v>
      </c>
      <c r="H972" s="158">
        <f>H973</f>
        <v>403406</v>
      </c>
      <c r="I972" s="158">
        <f t="shared" si="45"/>
        <v>100</v>
      </c>
    </row>
    <row r="973" spans="1:9" ht="31.5" outlineLevel="6">
      <c r="A973" s="149" t="s">
        <v>353</v>
      </c>
      <c r="B973" s="150" t="s">
        <v>23</v>
      </c>
      <c r="C973" s="150" t="s">
        <v>201</v>
      </c>
      <c r="D973" s="150" t="s">
        <v>201</v>
      </c>
      <c r="E973" s="150" t="s">
        <v>959</v>
      </c>
      <c r="F973" s="150" t="s">
        <v>25</v>
      </c>
      <c r="G973" s="151">
        <f>G975+G974</f>
        <v>403406</v>
      </c>
      <c r="H973" s="158">
        <f>H975+H974</f>
        <v>403406</v>
      </c>
      <c r="I973" s="158">
        <f t="shared" si="45"/>
        <v>100</v>
      </c>
    </row>
    <row r="974" spans="1:9" ht="31.5" outlineLevel="7">
      <c r="A974" s="149" t="s">
        <v>324</v>
      </c>
      <c r="B974" s="150" t="s">
        <v>23</v>
      </c>
      <c r="C974" s="150" t="s">
        <v>201</v>
      </c>
      <c r="D974" s="150" t="s">
        <v>201</v>
      </c>
      <c r="E974" s="150" t="s">
        <v>959</v>
      </c>
      <c r="F974" s="150" t="s">
        <v>325</v>
      </c>
      <c r="G974" s="151">
        <f>236250-32844</f>
        <v>203406</v>
      </c>
      <c r="H974" s="158">
        <f>236250-32844</f>
        <v>203406</v>
      </c>
      <c r="I974" s="158">
        <f t="shared" si="45"/>
        <v>100</v>
      </c>
    </row>
    <row r="975" spans="1:9" ht="47.25" outlineLevel="7">
      <c r="A975" s="149" t="s">
        <v>386</v>
      </c>
      <c r="B975" s="150" t="s">
        <v>23</v>
      </c>
      <c r="C975" s="150" t="s">
        <v>201</v>
      </c>
      <c r="D975" s="150" t="s">
        <v>201</v>
      </c>
      <c r="E975" s="150" t="s">
        <v>959</v>
      </c>
      <c r="F975" s="150" t="s">
        <v>273</v>
      </c>
      <c r="G975" s="151">
        <v>200000</v>
      </c>
      <c r="H975" s="158">
        <v>200000</v>
      </c>
      <c r="I975" s="158">
        <f t="shared" si="45"/>
        <v>100</v>
      </c>
    </row>
    <row r="976" spans="1:9" ht="78.75" outlineLevel="5">
      <c r="A976" s="149" t="s">
        <v>960</v>
      </c>
      <c r="B976" s="150" t="s">
        <v>23</v>
      </c>
      <c r="C976" s="150" t="s">
        <v>201</v>
      </c>
      <c r="D976" s="150" t="s">
        <v>201</v>
      </c>
      <c r="E976" s="150" t="s">
        <v>961</v>
      </c>
      <c r="F976" s="150" t="s">
        <v>25</v>
      </c>
      <c r="G976" s="151">
        <f>G977</f>
        <v>309221.42000000004</v>
      </c>
      <c r="H976" s="158">
        <f>H977</f>
        <v>309221.42000000004</v>
      </c>
      <c r="I976" s="158">
        <f t="shared" si="45"/>
        <v>100</v>
      </c>
    </row>
    <row r="977" spans="1:9" ht="31.5" outlineLevel="6">
      <c r="A977" s="149" t="s">
        <v>353</v>
      </c>
      <c r="B977" s="150" t="s">
        <v>23</v>
      </c>
      <c r="C977" s="150" t="s">
        <v>201</v>
      </c>
      <c r="D977" s="150" t="s">
        <v>201</v>
      </c>
      <c r="E977" s="150" t="s">
        <v>962</v>
      </c>
      <c r="F977" s="150" t="s">
        <v>25</v>
      </c>
      <c r="G977" s="151">
        <f>G980+G979+G978</f>
        <v>309221.42000000004</v>
      </c>
      <c r="H977" s="158">
        <f>H980+H979+H978</f>
        <v>309221.42000000004</v>
      </c>
      <c r="I977" s="158">
        <f t="shared" si="45"/>
        <v>100</v>
      </c>
    </row>
    <row r="978" spans="1:9" ht="94.5" outlineLevel="7">
      <c r="A978" s="149" t="s">
        <v>323</v>
      </c>
      <c r="B978" s="150" t="s">
        <v>23</v>
      </c>
      <c r="C978" s="150" t="s">
        <v>201</v>
      </c>
      <c r="D978" s="150" t="s">
        <v>201</v>
      </c>
      <c r="E978" s="150" t="s">
        <v>962</v>
      </c>
      <c r="F978" s="150" t="s">
        <v>54</v>
      </c>
      <c r="G978" s="151">
        <f>30000+10000+204221.42</f>
        <v>244221.42</v>
      </c>
      <c r="H978" s="158">
        <f>30000+10000+204221.42</f>
        <v>244221.42</v>
      </c>
      <c r="I978" s="158">
        <f t="shared" si="45"/>
        <v>100</v>
      </c>
    </row>
    <row r="979" spans="1:9" ht="31.5" outlineLevel="7">
      <c r="A979" s="149" t="s">
        <v>324</v>
      </c>
      <c r="B979" s="150" t="s">
        <v>23</v>
      </c>
      <c r="C979" s="150" t="s">
        <v>201</v>
      </c>
      <c r="D979" s="150" t="s">
        <v>201</v>
      </c>
      <c r="E979" s="150" t="s">
        <v>962</v>
      </c>
      <c r="F979" s="150" t="s">
        <v>325</v>
      </c>
      <c r="G979" s="151">
        <f>30000-10000</f>
        <v>20000</v>
      </c>
      <c r="H979" s="158">
        <f>30000-10000</f>
        <v>20000</v>
      </c>
      <c r="I979" s="158">
        <f t="shared" si="45"/>
        <v>100</v>
      </c>
    </row>
    <row r="980" spans="1:9" ht="47.25" outlineLevel="7">
      <c r="A980" s="149" t="s">
        <v>386</v>
      </c>
      <c r="B980" s="150" t="s">
        <v>23</v>
      </c>
      <c r="C980" s="150" t="s">
        <v>201</v>
      </c>
      <c r="D980" s="150" t="s">
        <v>201</v>
      </c>
      <c r="E980" s="150" t="s">
        <v>962</v>
      </c>
      <c r="F980" s="150" t="s">
        <v>273</v>
      </c>
      <c r="G980" s="151">
        <v>45000</v>
      </c>
      <c r="H980" s="158">
        <v>45000</v>
      </c>
      <c r="I980" s="158">
        <f t="shared" si="45"/>
        <v>100</v>
      </c>
    </row>
    <row r="981" spans="1:9" ht="31.5" outlineLevel="5">
      <c r="A981" s="149" t="s">
        <v>963</v>
      </c>
      <c r="B981" s="150" t="s">
        <v>23</v>
      </c>
      <c r="C981" s="150" t="s">
        <v>201</v>
      </c>
      <c r="D981" s="150" t="s">
        <v>201</v>
      </c>
      <c r="E981" s="150" t="s">
        <v>964</v>
      </c>
      <c r="F981" s="150" t="s">
        <v>25</v>
      </c>
      <c r="G981" s="151">
        <f>G982</f>
        <v>5000</v>
      </c>
      <c r="H981" s="158">
        <f>H982</f>
        <v>5000</v>
      </c>
      <c r="I981" s="158">
        <f t="shared" si="45"/>
        <v>100</v>
      </c>
    </row>
    <row r="982" spans="1:9" ht="31.5" outlineLevel="6">
      <c r="A982" s="149" t="s">
        <v>353</v>
      </c>
      <c r="B982" s="150" t="s">
        <v>23</v>
      </c>
      <c r="C982" s="150" t="s">
        <v>201</v>
      </c>
      <c r="D982" s="150" t="s">
        <v>201</v>
      </c>
      <c r="E982" s="150" t="s">
        <v>965</v>
      </c>
      <c r="F982" s="150" t="s">
        <v>25</v>
      </c>
      <c r="G982" s="151">
        <f>G983</f>
        <v>5000</v>
      </c>
      <c r="H982" s="158">
        <f>H983</f>
        <v>5000</v>
      </c>
      <c r="I982" s="158">
        <f t="shared" si="45"/>
        <v>100</v>
      </c>
    </row>
    <row r="983" spans="1:9" ht="31.5" outlineLevel="7">
      <c r="A983" s="149" t="s">
        <v>324</v>
      </c>
      <c r="B983" s="150" t="s">
        <v>23</v>
      </c>
      <c r="C983" s="150" t="s">
        <v>201</v>
      </c>
      <c r="D983" s="150" t="s">
        <v>201</v>
      </c>
      <c r="E983" s="150" t="s">
        <v>965</v>
      </c>
      <c r="F983" s="150" t="s">
        <v>325</v>
      </c>
      <c r="G983" s="151">
        <v>5000</v>
      </c>
      <c r="H983" s="158">
        <v>5000</v>
      </c>
      <c r="I983" s="158">
        <f aca="true" t="shared" si="48" ref="I983:I1046">H983/G983*100</f>
        <v>100</v>
      </c>
    </row>
    <row r="984" spans="1:9" ht="47.25" outlineLevel="5">
      <c r="A984" s="149" t="s">
        <v>966</v>
      </c>
      <c r="B984" s="150" t="s">
        <v>23</v>
      </c>
      <c r="C984" s="150" t="s">
        <v>201</v>
      </c>
      <c r="D984" s="150" t="s">
        <v>201</v>
      </c>
      <c r="E984" s="150" t="s">
        <v>967</v>
      </c>
      <c r="F984" s="150" t="s">
        <v>25</v>
      </c>
      <c r="G984" s="151">
        <f>G985</f>
        <v>299954</v>
      </c>
      <c r="H984" s="158">
        <f>H985</f>
        <v>299954</v>
      </c>
      <c r="I984" s="158">
        <f t="shared" si="48"/>
        <v>100</v>
      </c>
    </row>
    <row r="985" spans="1:9" ht="31.5" outlineLevel="6">
      <c r="A985" s="149" t="s">
        <v>968</v>
      </c>
      <c r="B985" s="150" t="s">
        <v>23</v>
      </c>
      <c r="C985" s="150" t="s">
        <v>201</v>
      </c>
      <c r="D985" s="150" t="s">
        <v>201</v>
      </c>
      <c r="E985" s="150" t="s">
        <v>969</v>
      </c>
      <c r="F985" s="150" t="s">
        <v>25</v>
      </c>
      <c r="G985" s="151">
        <f>G986</f>
        <v>299954</v>
      </c>
      <c r="H985" s="158">
        <f>H986</f>
        <v>299954</v>
      </c>
      <c r="I985" s="158">
        <f t="shared" si="48"/>
        <v>100</v>
      </c>
    </row>
    <row r="986" spans="1:9" ht="31.5" outlineLevel="7">
      <c r="A986" s="149" t="s">
        <v>371</v>
      </c>
      <c r="B986" s="150" t="s">
        <v>23</v>
      </c>
      <c r="C986" s="150" t="s">
        <v>201</v>
      </c>
      <c r="D986" s="150" t="s">
        <v>201</v>
      </c>
      <c r="E986" s="150" t="s">
        <v>969</v>
      </c>
      <c r="F986" s="150" t="s">
        <v>372</v>
      </c>
      <c r="G986" s="151">
        <f>300000-46</f>
        <v>299954</v>
      </c>
      <c r="H986" s="158">
        <f>300000-46</f>
        <v>299954</v>
      </c>
      <c r="I986" s="158">
        <f t="shared" si="48"/>
        <v>100</v>
      </c>
    </row>
    <row r="987" spans="1:10" s="148" customFormat="1" ht="31.5" outlineLevel="4">
      <c r="A987" s="144" t="s">
        <v>970</v>
      </c>
      <c r="B987" s="145" t="s">
        <v>23</v>
      </c>
      <c r="C987" s="145" t="s">
        <v>201</v>
      </c>
      <c r="D987" s="145" t="s">
        <v>201</v>
      </c>
      <c r="E987" s="145" t="s">
        <v>971</v>
      </c>
      <c r="F987" s="145" t="s">
        <v>25</v>
      </c>
      <c r="G987" s="146">
        <f>G988+G991+G994</f>
        <v>19057927.52</v>
      </c>
      <c r="H987" s="161">
        <f>H988+H991+H994</f>
        <v>19057927.52</v>
      </c>
      <c r="I987" s="161">
        <f t="shared" si="48"/>
        <v>100</v>
      </c>
      <c r="J987" s="147"/>
    </row>
    <row r="988" spans="1:9" ht="94.5" outlineLevel="5">
      <c r="A988" s="149" t="s">
        <v>972</v>
      </c>
      <c r="B988" s="150" t="s">
        <v>23</v>
      </c>
      <c r="C988" s="150" t="s">
        <v>201</v>
      </c>
      <c r="D988" s="150" t="s">
        <v>201</v>
      </c>
      <c r="E988" s="150" t="s">
        <v>973</v>
      </c>
      <c r="F988" s="150" t="s">
        <v>25</v>
      </c>
      <c r="G988" s="151">
        <f>G989</f>
        <v>75972</v>
      </c>
      <c r="H988" s="158">
        <f>H989</f>
        <v>75972</v>
      </c>
      <c r="I988" s="158">
        <f t="shared" si="48"/>
        <v>100</v>
      </c>
    </row>
    <row r="989" spans="1:9" ht="78.75" outlineLevel="6">
      <c r="A989" s="149" t="s">
        <v>431</v>
      </c>
      <c r="B989" s="150" t="s">
        <v>23</v>
      </c>
      <c r="C989" s="150" t="s">
        <v>201</v>
      </c>
      <c r="D989" s="150" t="s">
        <v>201</v>
      </c>
      <c r="E989" s="150" t="s">
        <v>974</v>
      </c>
      <c r="F989" s="150" t="s">
        <v>25</v>
      </c>
      <c r="G989" s="151">
        <f>G990</f>
        <v>75972</v>
      </c>
      <c r="H989" s="158">
        <f>H990</f>
        <v>75972</v>
      </c>
      <c r="I989" s="158">
        <f t="shared" si="48"/>
        <v>100</v>
      </c>
    </row>
    <row r="990" spans="1:9" ht="47.25" outlineLevel="7">
      <c r="A990" s="149" t="s">
        <v>386</v>
      </c>
      <c r="B990" s="150" t="s">
        <v>23</v>
      </c>
      <c r="C990" s="150" t="s">
        <v>201</v>
      </c>
      <c r="D990" s="150" t="s">
        <v>201</v>
      </c>
      <c r="E990" s="150" t="s">
        <v>974</v>
      </c>
      <c r="F990" s="150" t="s">
        <v>273</v>
      </c>
      <c r="G990" s="151">
        <v>75972</v>
      </c>
      <c r="H990" s="158">
        <v>75972</v>
      </c>
      <c r="I990" s="158">
        <f t="shared" si="48"/>
        <v>100</v>
      </c>
    </row>
    <row r="991" spans="1:9" ht="126" outlineLevel="5">
      <c r="A991" s="149" t="s">
        <v>975</v>
      </c>
      <c r="B991" s="150" t="s">
        <v>23</v>
      </c>
      <c r="C991" s="150" t="s">
        <v>201</v>
      </c>
      <c r="D991" s="150" t="s">
        <v>201</v>
      </c>
      <c r="E991" s="150" t="s">
        <v>976</v>
      </c>
      <c r="F991" s="150" t="s">
        <v>25</v>
      </c>
      <c r="G991" s="151">
        <f>G992</f>
        <v>18708017</v>
      </c>
      <c r="H991" s="158">
        <f>H992</f>
        <v>18708017</v>
      </c>
      <c r="I991" s="158">
        <f t="shared" si="48"/>
        <v>100</v>
      </c>
    </row>
    <row r="992" spans="1:9" ht="78.75" outlineLevel="6">
      <c r="A992" s="149" t="s">
        <v>431</v>
      </c>
      <c r="B992" s="150" t="s">
        <v>23</v>
      </c>
      <c r="C992" s="150" t="s">
        <v>201</v>
      </c>
      <c r="D992" s="150" t="s">
        <v>201</v>
      </c>
      <c r="E992" s="150" t="s">
        <v>977</v>
      </c>
      <c r="F992" s="150" t="s">
        <v>25</v>
      </c>
      <c r="G992" s="151">
        <f>G993</f>
        <v>18708017</v>
      </c>
      <c r="H992" s="158">
        <f>H993</f>
        <v>18708017</v>
      </c>
      <c r="I992" s="158">
        <f t="shared" si="48"/>
        <v>100</v>
      </c>
    </row>
    <row r="993" spans="1:9" ht="47.25" outlineLevel="7">
      <c r="A993" s="149" t="s">
        <v>386</v>
      </c>
      <c r="B993" s="150" t="s">
        <v>23</v>
      </c>
      <c r="C993" s="150" t="s">
        <v>201</v>
      </c>
      <c r="D993" s="150" t="s">
        <v>201</v>
      </c>
      <c r="E993" s="150" t="s">
        <v>977</v>
      </c>
      <c r="F993" s="150" t="s">
        <v>273</v>
      </c>
      <c r="G993" s="151">
        <v>18708017</v>
      </c>
      <c r="H993" s="158">
        <v>18708017</v>
      </c>
      <c r="I993" s="158">
        <f t="shared" si="48"/>
        <v>100</v>
      </c>
    </row>
    <row r="994" spans="1:9" ht="31.5" outlineLevel="5">
      <c r="A994" s="149" t="s">
        <v>802</v>
      </c>
      <c r="B994" s="150" t="s">
        <v>23</v>
      </c>
      <c r="C994" s="150" t="s">
        <v>201</v>
      </c>
      <c r="D994" s="150" t="s">
        <v>201</v>
      </c>
      <c r="E994" s="150" t="s">
        <v>978</v>
      </c>
      <c r="F994" s="150" t="s">
        <v>25</v>
      </c>
      <c r="G994" s="151">
        <f>G995</f>
        <v>273938.52</v>
      </c>
      <c r="H994" s="158">
        <f>H995</f>
        <v>273938.52</v>
      </c>
      <c r="I994" s="158">
        <f t="shared" si="48"/>
        <v>100</v>
      </c>
    </row>
    <row r="995" spans="1:9" ht="78.75" outlineLevel="6">
      <c r="A995" s="149" t="s">
        <v>335</v>
      </c>
      <c r="B995" s="150" t="s">
        <v>23</v>
      </c>
      <c r="C995" s="150" t="s">
        <v>201</v>
      </c>
      <c r="D995" s="150" t="s">
        <v>201</v>
      </c>
      <c r="E995" s="150" t="s">
        <v>979</v>
      </c>
      <c r="F995" s="150" t="s">
        <v>25</v>
      </c>
      <c r="G995" s="151">
        <f>G996</f>
        <v>273938.52</v>
      </c>
      <c r="H995" s="158">
        <f>H996</f>
        <v>273938.52</v>
      </c>
      <c r="I995" s="158">
        <f t="shared" si="48"/>
        <v>100</v>
      </c>
    </row>
    <row r="996" spans="1:9" ht="47.25" outlineLevel="7">
      <c r="A996" s="149" t="s">
        <v>386</v>
      </c>
      <c r="B996" s="150" t="s">
        <v>23</v>
      </c>
      <c r="C996" s="150" t="s">
        <v>201</v>
      </c>
      <c r="D996" s="150" t="s">
        <v>201</v>
      </c>
      <c r="E996" s="150" t="s">
        <v>979</v>
      </c>
      <c r="F996" s="150" t="s">
        <v>273</v>
      </c>
      <c r="G996" s="151">
        <f>205833+68105.52</f>
        <v>273938.52</v>
      </c>
      <c r="H996" s="158">
        <f>205833+68105.52</f>
        <v>273938.52</v>
      </c>
      <c r="I996" s="158">
        <f t="shared" si="48"/>
        <v>100</v>
      </c>
    </row>
    <row r="997" spans="1:10" s="148" customFormat="1" ht="47.25" outlineLevel="3">
      <c r="A997" s="144" t="s">
        <v>347</v>
      </c>
      <c r="B997" s="145" t="s">
        <v>23</v>
      </c>
      <c r="C997" s="145" t="s">
        <v>201</v>
      </c>
      <c r="D997" s="145" t="s">
        <v>201</v>
      </c>
      <c r="E997" s="145" t="s">
        <v>348</v>
      </c>
      <c r="F997" s="145" t="s">
        <v>25</v>
      </c>
      <c r="G997" s="146">
        <f aca="true" t="shared" si="49" ref="G997:H1000">G998</f>
        <v>194938</v>
      </c>
      <c r="H997" s="161">
        <f t="shared" si="49"/>
        <v>194938</v>
      </c>
      <c r="I997" s="161">
        <f t="shared" si="48"/>
        <v>100</v>
      </c>
      <c r="J997" s="147"/>
    </row>
    <row r="998" spans="1:10" s="148" customFormat="1" ht="47.25" outlineLevel="4">
      <c r="A998" s="144" t="s">
        <v>349</v>
      </c>
      <c r="B998" s="145" t="s">
        <v>23</v>
      </c>
      <c r="C998" s="145" t="s">
        <v>201</v>
      </c>
      <c r="D998" s="145" t="s">
        <v>201</v>
      </c>
      <c r="E998" s="145" t="s">
        <v>350</v>
      </c>
      <c r="F998" s="145" t="s">
        <v>25</v>
      </c>
      <c r="G998" s="146">
        <f t="shared" si="49"/>
        <v>194938</v>
      </c>
      <c r="H998" s="161">
        <f t="shared" si="49"/>
        <v>194938</v>
      </c>
      <c r="I998" s="161">
        <f t="shared" si="48"/>
        <v>100</v>
      </c>
      <c r="J998" s="147"/>
    </row>
    <row r="999" spans="1:9" ht="31.5" outlineLevel="5">
      <c r="A999" s="149" t="s">
        <v>418</v>
      </c>
      <c r="B999" s="150" t="s">
        <v>23</v>
      </c>
      <c r="C999" s="150" t="s">
        <v>201</v>
      </c>
      <c r="D999" s="150" t="s">
        <v>201</v>
      </c>
      <c r="E999" s="150" t="s">
        <v>419</v>
      </c>
      <c r="F999" s="150" t="s">
        <v>25</v>
      </c>
      <c r="G999" s="151">
        <f t="shared" si="49"/>
        <v>194938</v>
      </c>
      <c r="H999" s="158">
        <f t="shared" si="49"/>
        <v>194938</v>
      </c>
      <c r="I999" s="158">
        <f t="shared" si="48"/>
        <v>100</v>
      </c>
    </row>
    <row r="1000" spans="1:9" ht="31.5" outlineLevel="6">
      <c r="A1000" s="149" t="s">
        <v>353</v>
      </c>
      <c r="B1000" s="150" t="s">
        <v>23</v>
      </c>
      <c r="C1000" s="150" t="s">
        <v>201</v>
      </c>
      <c r="D1000" s="150" t="s">
        <v>201</v>
      </c>
      <c r="E1000" s="150" t="s">
        <v>420</v>
      </c>
      <c r="F1000" s="150" t="s">
        <v>25</v>
      </c>
      <c r="G1000" s="151">
        <f t="shared" si="49"/>
        <v>194938</v>
      </c>
      <c r="H1000" s="158">
        <f t="shared" si="49"/>
        <v>194938</v>
      </c>
      <c r="I1000" s="158">
        <f t="shared" si="48"/>
        <v>100</v>
      </c>
    </row>
    <row r="1001" spans="1:9" ht="47.25" outlineLevel="7">
      <c r="A1001" s="149" t="s">
        <v>386</v>
      </c>
      <c r="B1001" s="150" t="s">
        <v>23</v>
      </c>
      <c r="C1001" s="150" t="s">
        <v>201</v>
      </c>
      <c r="D1001" s="150" t="s">
        <v>201</v>
      </c>
      <c r="E1001" s="150" t="s">
        <v>420</v>
      </c>
      <c r="F1001" s="150" t="s">
        <v>273</v>
      </c>
      <c r="G1001" s="151">
        <v>194938</v>
      </c>
      <c r="H1001" s="158">
        <v>194938</v>
      </c>
      <c r="I1001" s="158">
        <f t="shared" si="48"/>
        <v>100</v>
      </c>
    </row>
    <row r="1002" spans="1:10" s="148" customFormat="1" ht="15.75" outlineLevel="1">
      <c r="A1002" s="144" t="s">
        <v>980</v>
      </c>
      <c r="B1002" s="145" t="s">
        <v>23</v>
      </c>
      <c r="C1002" s="145" t="s">
        <v>215</v>
      </c>
      <c r="D1002" s="145" t="s">
        <v>189</v>
      </c>
      <c r="E1002" s="145" t="s">
        <v>313</v>
      </c>
      <c r="F1002" s="145" t="s">
        <v>25</v>
      </c>
      <c r="G1002" s="146">
        <f>G1003</f>
        <v>216944155.94999996</v>
      </c>
      <c r="H1002" s="161">
        <f>H1003</f>
        <v>216942889.20999998</v>
      </c>
      <c r="I1002" s="161">
        <f t="shared" si="48"/>
        <v>99.99941609858332</v>
      </c>
      <c r="J1002" s="147"/>
    </row>
    <row r="1003" spans="1:10" s="148" customFormat="1" ht="15.75" outlineLevel="2">
      <c r="A1003" s="144" t="s">
        <v>232</v>
      </c>
      <c r="B1003" s="145" t="s">
        <v>23</v>
      </c>
      <c r="C1003" s="145" t="s">
        <v>215</v>
      </c>
      <c r="D1003" s="145" t="s">
        <v>188</v>
      </c>
      <c r="E1003" s="145" t="s">
        <v>313</v>
      </c>
      <c r="F1003" s="145" t="s">
        <v>25</v>
      </c>
      <c r="G1003" s="146">
        <f>G1004+G1010+G1077</f>
        <v>216944155.94999996</v>
      </c>
      <c r="H1003" s="161">
        <f>H1004+H1010+H1077</f>
        <v>216942889.20999998</v>
      </c>
      <c r="I1003" s="161">
        <f t="shared" si="48"/>
        <v>99.99941609858332</v>
      </c>
      <c r="J1003" s="147"/>
    </row>
    <row r="1004" spans="1:10" s="148" customFormat="1" ht="63" outlineLevel="4">
      <c r="A1004" s="144" t="s">
        <v>380</v>
      </c>
      <c r="B1004" s="145" t="s">
        <v>23</v>
      </c>
      <c r="C1004" s="145" t="s">
        <v>215</v>
      </c>
      <c r="D1004" s="145" t="s">
        <v>188</v>
      </c>
      <c r="E1004" s="145" t="s">
        <v>381</v>
      </c>
      <c r="F1004" s="145" t="s">
        <v>25</v>
      </c>
      <c r="G1004" s="146">
        <f>G1005</f>
        <v>609776.79</v>
      </c>
      <c r="H1004" s="161">
        <f>H1005</f>
        <v>609776.79</v>
      </c>
      <c r="I1004" s="158">
        <f t="shared" si="48"/>
        <v>100</v>
      </c>
      <c r="J1004" s="147"/>
    </row>
    <row r="1005" spans="1:9" ht="63" outlineLevel="5">
      <c r="A1005" s="149" t="s">
        <v>981</v>
      </c>
      <c r="B1005" s="150" t="s">
        <v>23</v>
      </c>
      <c r="C1005" s="150" t="s">
        <v>215</v>
      </c>
      <c r="D1005" s="150" t="s">
        <v>188</v>
      </c>
      <c r="E1005" s="150" t="s">
        <v>982</v>
      </c>
      <c r="F1005" s="150" t="s">
        <v>25</v>
      </c>
      <c r="G1005" s="151">
        <f>G1006+G1008</f>
        <v>609776.79</v>
      </c>
      <c r="H1005" s="158">
        <f>H1006+H1008</f>
        <v>609776.79</v>
      </c>
      <c r="I1005" s="158">
        <f t="shared" si="48"/>
        <v>100</v>
      </c>
    </row>
    <row r="1006" spans="1:9" ht="31.5" outlineLevel="6">
      <c r="A1006" s="149" t="s">
        <v>612</v>
      </c>
      <c r="B1006" s="150" t="s">
        <v>23</v>
      </c>
      <c r="C1006" s="150" t="s">
        <v>215</v>
      </c>
      <c r="D1006" s="150" t="s">
        <v>188</v>
      </c>
      <c r="E1006" s="150" t="s">
        <v>983</v>
      </c>
      <c r="F1006" s="150" t="s">
        <v>25</v>
      </c>
      <c r="G1006" s="151">
        <f>G1007</f>
        <v>491531.49</v>
      </c>
      <c r="H1006" s="158">
        <f>H1007</f>
        <v>491531.49</v>
      </c>
      <c r="I1006" s="158">
        <f t="shared" si="48"/>
        <v>100</v>
      </c>
    </row>
    <row r="1007" spans="1:9" ht="47.25" outlineLevel="7">
      <c r="A1007" s="149" t="s">
        <v>386</v>
      </c>
      <c r="B1007" s="150" t="s">
        <v>23</v>
      </c>
      <c r="C1007" s="150" t="s">
        <v>215</v>
      </c>
      <c r="D1007" s="150" t="s">
        <v>188</v>
      </c>
      <c r="E1007" s="150" t="s">
        <v>983</v>
      </c>
      <c r="F1007" s="150" t="s">
        <v>273</v>
      </c>
      <c r="G1007" s="151">
        <v>491531.49</v>
      </c>
      <c r="H1007" s="158">
        <v>491531.49</v>
      </c>
      <c r="I1007" s="158">
        <f t="shared" si="48"/>
        <v>100</v>
      </c>
    </row>
    <row r="1008" spans="1:9" ht="31.5" outlineLevel="6">
      <c r="A1008" s="149" t="s">
        <v>353</v>
      </c>
      <c r="B1008" s="150" t="s">
        <v>23</v>
      </c>
      <c r="C1008" s="150" t="s">
        <v>215</v>
      </c>
      <c r="D1008" s="150" t="s">
        <v>188</v>
      </c>
      <c r="E1008" s="150" t="s">
        <v>984</v>
      </c>
      <c r="F1008" s="150" t="s">
        <v>25</v>
      </c>
      <c r="G1008" s="151">
        <f>G1009</f>
        <v>118245.3</v>
      </c>
      <c r="H1008" s="158">
        <f>H1009</f>
        <v>118245.3</v>
      </c>
      <c r="I1008" s="158">
        <f t="shared" si="48"/>
        <v>100</v>
      </c>
    </row>
    <row r="1009" spans="1:9" ht="47.25" outlineLevel="7">
      <c r="A1009" s="149" t="s">
        <v>386</v>
      </c>
      <c r="B1009" s="150" t="s">
        <v>23</v>
      </c>
      <c r="C1009" s="150" t="s">
        <v>215</v>
      </c>
      <c r="D1009" s="150" t="s">
        <v>188</v>
      </c>
      <c r="E1009" s="150" t="s">
        <v>984</v>
      </c>
      <c r="F1009" s="150" t="s">
        <v>273</v>
      </c>
      <c r="G1009" s="151">
        <v>118245.3</v>
      </c>
      <c r="H1009" s="158">
        <v>118245.3</v>
      </c>
      <c r="I1009" s="158">
        <f t="shared" si="48"/>
        <v>100</v>
      </c>
    </row>
    <row r="1010" spans="1:10" s="148" customFormat="1" ht="63" outlineLevel="3">
      <c r="A1010" s="144" t="s">
        <v>937</v>
      </c>
      <c r="B1010" s="145" t="s">
        <v>23</v>
      </c>
      <c r="C1010" s="145" t="s">
        <v>215</v>
      </c>
      <c r="D1010" s="145" t="s">
        <v>188</v>
      </c>
      <c r="E1010" s="145" t="s">
        <v>938</v>
      </c>
      <c r="F1010" s="145" t="s">
        <v>25</v>
      </c>
      <c r="G1010" s="146">
        <f>G1011+G1028+G1052+G1073</f>
        <v>215326176.15999997</v>
      </c>
      <c r="H1010" s="161">
        <f>H1011+H1028+H1052+H1073</f>
        <v>215324909.42</v>
      </c>
      <c r="I1010" s="161">
        <f t="shared" si="48"/>
        <v>99.99941171109683</v>
      </c>
      <c r="J1010" s="147"/>
    </row>
    <row r="1011" spans="1:10" s="148" customFormat="1" ht="47.25" outlineLevel="4">
      <c r="A1011" s="144" t="s">
        <v>939</v>
      </c>
      <c r="B1011" s="145" t="s">
        <v>23</v>
      </c>
      <c r="C1011" s="145" t="s">
        <v>215</v>
      </c>
      <c r="D1011" s="145" t="s">
        <v>188</v>
      </c>
      <c r="E1011" s="145" t="s">
        <v>940</v>
      </c>
      <c r="F1011" s="145" t="s">
        <v>25</v>
      </c>
      <c r="G1011" s="146">
        <f>G1012+G1016+G1025</f>
        <v>122993184.06</v>
      </c>
      <c r="H1011" s="161">
        <f>H1012+H1016+H1025</f>
        <v>122993184.02</v>
      </c>
      <c r="I1011" s="161">
        <f t="shared" si="48"/>
        <v>99.99999996747788</v>
      </c>
      <c r="J1011" s="147"/>
    </row>
    <row r="1012" spans="1:9" ht="47.25" outlineLevel="5">
      <c r="A1012" s="149" t="s">
        <v>985</v>
      </c>
      <c r="B1012" s="150" t="s">
        <v>23</v>
      </c>
      <c r="C1012" s="150" t="s">
        <v>215</v>
      </c>
      <c r="D1012" s="150" t="s">
        <v>188</v>
      </c>
      <c r="E1012" s="150" t="s">
        <v>986</v>
      </c>
      <c r="F1012" s="150" t="s">
        <v>25</v>
      </c>
      <c r="G1012" s="151">
        <f>G1013</f>
        <v>4923720</v>
      </c>
      <c r="H1012" s="158">
        <f>H1013</f>
        <v>4923719.96</v>
      </c>
      <c r="I1012" s="158">
        <f t="shared" si="48"/>
        <v>99.99999918760611</v>
      </c>
    </row>
    <row r="1013" spans="1:9" ht="31.5" outlineLevel="6">
      <c r="A1013" s="149" t="s">
        <v>353</v>
      </c>
      <c r="B1013" s="150" t="s">
        <v>23</v>
      </c>
      <c r="C1013" s="150" t="s">
        <v>215</v>
      </c>
      <c r="D1013" s="150" t="s">
        <v>188</v>
      </c>
      <c r="E1013" s="150" t="s">
        <v>987</v>
      </c>
      <c r="F1013" s="150" t="s">
        <v>25</v>
      </c>
      <c r="G1013" s="151">
        <f>G1014+G1015</f>
        <v>4923720</v>
      </c>
      <c r="H1013" s="158">
        <f>H1014+H1015</f>
        <v>4923719.96</v>
      </c>
      <c r="I1013" s="158">
        <f t="shared" si="48"/>
        <v>99.99999918760611</v>
      </c>
    </row>
    <row r="1014" spans="1:9" ht="31.5" outlineLevel="7">
      <c r="A1014" s="149" t="s">
        <v>324</v>
      </c>
      <c r="B1014" s="150" t="s">
        <v>23</v>
      </c>
      <c r="C1014" s="150" t="s">
        <v>215</v>
      </c>
      <c r="D1014" s="150" t="s">
        <v>188</v>
      </c>
      <c r="E1014" s="150" t="s">
        <v>987</v>
      </c>
      <c r="F1014" s="150" t="s">
        <v>325</v>
      </c>
      <c r="G1014" s="151">
        <f>2262720-750000</f>
        <v>1512720</v>
      </c>
      <c r="H1014" s="158">
        <v>1512719.96</v>
      </c>
      <c r="I1014" s="158">
        <f t="shared" si="48"/>
        <v>99.99999735575652</v>
      </c>
    </row>
    <row r="1015" spans="1:9" ht="47.25" outlineLevel="7">
      <c r="A1015" s="149" t="s">
        <v>386</v>
      </c>
      <c r="B1015" s="150" t="s">
        <v>23</v>
      </c>
      <c r="C1015" s="150" t="s">
        <v>215</v>
      </c>
      <c r="D1015" s="150" t="s">
        <v>188</v>
      </c>
      <c r="E1015" s="150" t="s">
        <v>987</v>
      </c>
      <c r="F1015" s="150" t="s">
        <v>273</v>
      </c>
      <c r="G1015" s="151">
        <f>2661000+750000</f>
        <v>3411000</v>
      </c>
      <c r="H1015" s="158">
        <f>2661000+750000</f>
        <v>3411000</v>
      </c>
      <c r="I1015" s="158">
        <f t="shared" si="48"/>
        <v>100</v>
      </c>
    </row>
    <row r="1016" spans="1:9" ht="47.25" outlineLevel="5">
      <c r="A1016" s="149" t="s">
        <v>988</v>
      </c>
      <c r="B1016" s="150" t="s">
        <v>23</v>
      </c>
      <c r="C1016" s="150" t="s">
        <v>215</v>
      </c>
      <c r="D1016" s="150" t="s">
        <v>188</v>
      </c>
      <c r="E1016" s="150" t="s">
        <v>989</v>
      </c>
      <c r="F1016" s="150" t="s">
        <v>25</v>
      </c>
      <c r="G1016" s="151">
        <f>G1017+G1019+G1021+G1023</f>
        <v>116681059.71000001</v>
      </c>
      <c r="H1016" s="158">
        <f>H1017+H1019+H1021+H1023</f>
        <v>116681059.71000001</v>
      </c>
      <c r="I1016" s="158">
        <f t="shared" si="48"/>
        <v>100</v>
      </c>
    </row>
    <row r="1017" spans="1:9" ht="78.75" outlineLevel="6">
      <c r="A1017" s="149" t="s">
        <v>431</v>
      </c>
      <c r="B1017" s="150" t="s">
        <v>23</v>
      </c>
      <c r="C1017" s="150" t="s">
        <v>215</v>
      </c>
      <c r="D1017" s="150" t="s">
        <v>188</v>
      </c>
      <c r="E1017" s="150" t="s">
        <v>990</v>
      </c>
      <c r="F1017" s="150" t="s">
        <v>25</v>
      </c>
      <c r="G1017" s="151">
        <f>G1018</f>
        <v>98897170.43</v>
      </c>
      <c r="H1017" s="158">
        <f>H1018</f>
        <v>98897170.43</v>
      </c>
      <c r="I1017" s="158">
        <f t="shared" si="48"/>
        <v>100</v>
      </c>
    </row>
    <row r="1018" spans="1:9" ht="47.25" outlineLevel="7">
      <c r="A1018" s="149" t="s">
        <v>386</v>
      </c>
      <c r="B1018" s="150" t="s">
        <v>23</v>
      </c>
      <c r="C1018" s="150" t="s">
        <v>215</v>
      </c>
      <c r="D1018" s="150" t="s">
        <v>188</v>
      </c>
      <c r="E1018" s="150" t="s">
        <v>990</v>
      </c>
      <c r="F1018" s="150" t="s">
        <v>273</v>
      </c>
      <c r="G1018" s="151">
        <v>98897170.43</v>
      </c>
      <c r="H1018" s="158">
        <v>98897170.43</v>
      </c>
      <c r="I1018" s="158">
        <f t="shared" si="48"/>
        <v>100</v>
      </c>
    </row>
    <row r="1019" spans="1:9" ht="78.75" outlineLevel="6">
      <c r="A1019" s="149" t="s">
        <v>794</v>
      </c>
      <c r="B1019" s="150" t="s">
        <v>23</v>
      </c>
      <c r="C1019" s="150" t="s">
        <v>215</v>
      </c>
      <c r="D1019" s="150" t="s">
        <v>188</v>
      </c>
      <c r="E1019" s="150" t="s">
        <v>991</v>
      </c>
      <c r="F1019" s="150" t="s">
        <v>25</v>
      </c>
      <c r="G1019" s="151">
        <f>G1020</f>
        <v>11540400.52</v>
      </c>
      <c r="H1019" s="158">
        <f>H1020</f>
        <v>11540400.52</v>
      </c>
      <c r="I1019" s="158">
        <f t="shared" si="48"/>
        <v>100</v>
      </c>
    </row>
    <row r="1020" spans="1:9" ht="47.25" outlineLevel="7">
      <c r="A1020" s="149" t="s">
        <v>386</v>
      </c>
      <c r="B1020" s="150" t="s">
        <v>23</v>
      </c>
      <c r="C1020" s="150" t="s">
        <v>215</v>
      </c>
      <c r="D1020" s="150" t="s">
        <v>188</v>
      </c>
      <c r="E1020" s="150" t="s">
        <v>991</v>
      </c>
      <c r="F1020" s="150" t="s">
        <v>273</v>
      </c>
      <c r="G1020" s="151">
        <v>11540400.52</v>
      </c>
      <c r="H1020" s="158">
        <v>11540400.52</v>
      </c>
      <c r="I1020" s="158">
        <f t="shared" si="48"/>
        <v>100</v>
      </c>
    </row>
    <row r="1021" spans="1:9" ht="78.75" outlineLevel="6">
      <c r="A1021" s="149" t="s">
        <v>794</v>
      </c>
      <c r="B1021" s="150" t="s">
        <v>23</v>
      </c>
      <c r="C1021" s="150" t="s">
        <v>215</v>
      </c>
      <c r="D1021" s="150" t="s">
        <v>188</v>
      </c>
      <c r="E1021" s="150" t="s">
        <v>992</v>
      </c>
      <c r="F1021" s="150" t="s">
        <v>25</v>
      </c>
      <c r="G1021" s="151">
        <f>G1022</f>
        <v>6193488.76</v>
      </c>
      <c r="H1021" s="158">
        <f>H1022</f>
        <v>6193488.76</v>
      </c>
      <c r="I1021" s="158">
        <f t="shared" si="48"/>
        <v>100</v>
      </c>
    </row>
    <row r="1022" spans="1:9" ht="47.25" outlineLevel="7">
      <c r="A1022" s="149" t="s">
        <v>386</v>
      </c>
      <c r="B1022" s="150" t="s">
        <v>23</v>
      </c>
      <c r="C1022" s="150" t="s">
        <v>215</v>
      </c>
      <c r="D1022" s="150" t="s">
        <v>188</v>
      </c>
      <c r="E1022" s="150" t="s">
        <v>992</v>
      </c>
      <c r="F1022" s="150" t="s">
        <v>273</v>
      </c>
      <c r="G1022" s="151">
        <v>6193488.76</v>
      </c>
      <c r="H1022" s="158">
        <v>6193488.76</v>
      </c>
      <c r="I1022" s="158">
        <f t="shared" si="48"/>
        <v>100</v>
      </c>
    </row>
    <row r="1023" spans="1:9" ht="70.5" customHeight="1" outlineLevel="7">
      <c r="A1023" s="149" t="s">
        <v>993</v>
      </c>
      <c r="B1023" s="150" t="s">
        <v>23</v>
      </c>
      <c r="C1023" s="150" t="s">
        <v>215</v>
      </c>
      <c r="D1023" s="150" t="s">
        <v>188</v>
      </c>
      <c r="E1023" s="150" t="s">
        <v>994</v>
      </c>
      <c r="F1023" s="150" t="s">
        <v>25</v>
      </c>
      <c r="G1023" s="151">
        <f>G1024</f>
        <v>50000</v>
      </c>
      <c r="H1023" s="158">
        <f>H1024</f>
        <v>50000</v>
      </c>
      <c r="I1023" s="158">
        <f t="shared" si="48"/>
        <v>100</v>
      </c>
    </row>
    <row r="1024" spans="1:9" ht="47.25" outlineLevel="7">
      <c r="A1024" s="149" t="s">
        <v>386</v>
      </c>
      <c r="B1024" s="150" t="s">
        <v>23</v>
      </c>
      <c r="C1024" s="150" t="s">
        <v>215</v>
      </c>
      <c r="D1024" s="150" t="s">
        <v>188</v>
      </c>
      <c r="E1024" s="150" t="s">
        <v>994</v>
      </c>
      <c r="F1024" s="150" t="s">
        <v>273</v>
      </c>
      <c r="G1024" s="151">
        <v>50000</v>
      </c>
      <c r="H1024" s="158">
        <v>50000</v>
      </c>
      <c r="I1024" s="158">
        <f t="shared" si="48"/>
        <v>100</v>
      </c>
    </row>
    <row r="1025" spans="1:9" ht="31.5" outlineLevel="5">
      <c r="A1025" s="149" t="s">
        <v>802</v>
      </c>
      <c r="B1025" s="150" t="s">
        <v>23</v>
      </c>
      <c r="C1025" s="150" t="s">
        <v>215</v>
      </c>
      <c r="D1025" s="150" t="s">
        <v>188</v>
      </c>
      <c r="E1025" s="150" t="s">
        <v>995</v>
      </c>
      <c r="F1025" s="150" t="s">
        <v>25</v>
      </c>
      <c r="G1025" s="151">
        <f>G1026</f>
        <v>1388404.35</v>
      </c>
      <c r="H1025" s="158">
        <f>H1026</f>
        <v>1388404.35</v>
      </c>
      <c r="I1025" s="158">
        <f t="shared" si="48"/>
        <v>100</v>
      </c>
    </row>
    <row r="1026" spans="1:9" ht="78.75" outlineLevel="6">
      <c r="A1026" s="149" t="s">
        <v>335</v>
      </c>
      <c r="B1026" s="150" t="s">
        <v>23</v>
      </c>
      <c r="C1026" s="150" t="s">
        <v>215</v>
      </c>
      <c r="D1026" s="150" t="s">
        <v>188</v>
      </c>
      <c r="E1026" s="150" t="s">
        <v>996</v>
      </c>
      <c r="F1026" s="150" t="s">
        <v>25</v>
      </c>
      <c r="G1026" s="151">
        <f>G1027</f>
        <v>1388404.35</v>
      </c>
      <c r="H1026" s="158">
        <f>H1027</f>
        <v>1388404.35</v>
      </c>
      <c r="I1026" s="158">
        <f t="shared" si="48"/>
        <v>100</v>
      </c>
    </row>
    <row r="1027" spans="1:9" ht="47.25" outlineLevel="7">
      <c r="A1027" s="149" t="s">
        <v>386</v>
      </c>
      <c r="B1027" s="150" t="s">
        <v>23</v>
      </c>
      <c r="C1027" s="150" t="s">
        <v>215</v>
      </c>
      <c r="D1027" s="150" t="s">
        <v>188</v>
      </c>
      <c r="E1027" s="150" t="s">
        <v>996</v>
      </c>
      <c r="F1027" s="150" t="s">
        <v>273</v>
      </c>
      <c r="G1027" s="151">
        <f>1251082+133729.27+3593.08</f>
        <v>1388404.35</v>
      </c>
      <c r="H1027" s="158">
        <f>1251082+133729.27+3593.08</f>
        <v>1388404.35</v>
      </c>
      <c r="I1027" s="158">
        <f t="shared" si="48"/>
        <v>100</v>
      </c>
    </row>
    <row r="1028" spans="1:10" s="148" customFormat="1" ht="31.5" outlineLevel="4">
      <c r="A1028" s="159" t="s">
        <v>997</v>
      </c>
      <c r="B1028" s="160" t="s">
        <v>23</v>
      </c>
      <c r="C1028" s="160" t="s">
        <v>215</v>
      </c>
      <c r="D1028" s="160" t="s">
        <v>188</v>
      </c>
      <c r="E1028" s="160" t="s">
        <v>998</v>
      </c>
      <c r="F1028" s="160" t="s">
        <v>25</v>
      </c>
      <c r="G1028" s="161">
        <f>G1029+G1036+G1039+G1046+G1049</f>
        <v>55798563.14999999</v>
      </c>
      <c r="H1028" s="161">
        <f>H1029+H1036+H1039+H1046+H1049</f>
        <v>55798563.14999999</v>
      </c>
      <c r="I1028" s="161">
        <f t="shared" si="48"/>
        <v>100</v>
      </c>
      <c r="J1028" s="147"/>
    </row>
    <row r="1029" spans="1:9" ht="47.25" outlineLevel="5">
      <c r="A1029" s="149" t="s">
        <v>999</v>
      </c>
      <c r="B1029" s="150" t="s">
        <v>23</v>
      </c>
      <c r="C1029" s="150" t="s">
        <v>215</v>
      </c>
      <c r="D1029" s="150" t="s">
        <v>188</v>
      </c>
      <c r="E1029" s="150" t="s">
        <v>1000</v>
      </c>
      <c r="F1029" s="150" t="s">
        <v>25</v>
      </c>
      <c r="G1029" s="151">
        <f>G1030+G1032+G1034</f>
        <v>45534824.599999994</v>
      </c>
      <c r="H1029" s="158">
        <f>H1030+H1032+H1034</f>
        <v>45534824.599999994</v>
      </c>
      <c r="I1029" s="158">
        <f t="shared" si="48"/>
        <v>100</v>
      </c>
    </row>
    <row r="1030" spans="1:9" ht="78.75" outlineLevel="6">
      <c r="A1030" s="149" t="s">
        <v>431</v>
      </c>
      <c r="B1030" s="150" t="s">
        <v>23</v>
      </c>
      <c r="C1030" s="150" t="s">
        <v>215</v>
      </c>
      <c r="D1030" s="150" t="s">
        <v>188</v>
      </c>
      <c r="E1030" s="150" t="s">
        <v>1001</v>
      </c>
      <c r="F1030" s="150" t="s">
        <v>25</v>
      </c>
      <c r="G1030" s="151">
        <f>G1031</f>
        <v>38910048.419999994</v>
      </c>
      <c r="H1030" s="158">
        <f>H1031</f>
        <v>38910048.419999994</v>
      </c>
      <c r="I1030" s="158">
        <f t="shared" si="48"/>
        <v>100</v>
      </c>
    </row>
    <row r="1031" spans="1:9" ht="47.25" outlineLevel="7">
      <c r="A1031" s="149" t="s">
        <v>386</v>
      </c>
      <c r="B1031" s="150" t="s">
        <v>23</v>
      </c>
      <c r="C1031" s="150" t="s">
        <v>215</v>
      </c>
      <c r="D1031" s="150" t="s">
        <v>188</v>
      </c>
      <c r="E1031" s="150" t="s">
        <v>1001</v>
      </c>
      <c r="F1031" s="150" t="s">
        <v>273</v>
      </c>
      <c r="G1031" s="151">
        <f>37937563.69+972484.73</f>
        <v>38910048.419999994</v>
      </c>
      <c r="H1031" s="158">
        <f>37937563.69+972484.73</f>
        <v>38910048.419999994</v>
      </c>
      <c r="I1031" s="158">
        <f t="shared" si="48"/>
        <v>100</v>
      </c>
    </row>
    <row r="1032" spans="1:9" ht="78.75" outlineLevel="6">
      <c r="A1032" s="149" t="s">
        <v>794</v>
      </c>
      <c r="B1032" s="150" t="s">
        <v>23</v>
      </c>
      <c r="C1032" s="150" t="s">
        <v>215</v>
      </c>
      <c r="D1032" s="150" t="s">
        <v>188</v>
      </c>
      <c r="E1032" s="150" t="s">
        <v>1002</v>
      </c>
      <c r="F1032" s="150" t="s">
        <v>25</v>
      </c>
      <c r="G1032" s="151">
        <f>G1033</f>
        <v>5135772.78</v>
      </c>
      <c r="H1032" s="158">
        <f>H1033</f>
        <v>5135772.78</v>
      </c>
      <c r="I1032" s="158">
        <f t="shared" si="48"/>
        <v>100</v>
      </c>
    </row>
    <row r="1033" spans="1:9" ht="47.25" outlineLevel="7">
      <c r="A1033" s="149" t="s">
        <v>386</v>
      </c>
      <c r="B1033" s="150" t="s">
        <v>23</v>
      </c>
      <c r="C1033" s="150" t="s">
        <v>215</v>
      </c>
      <c r="D1033" s="150" t="s">
        <v>188</v>
      </c>
      <c r="E1033" s="150" t="s">
        <v>1002</v>
      </c>
      <c r="F1033" s="150" t="s">
        <v>273</v>
      </c>
      <c r="G1033" s="151">
        <v>5135772.78</v>
      </c>
      <c r="H1033" s="158">
        <v>5135772.78</v>
      </c>
      <c r="I1033" s="158">
        <f t="shared" si="48"/>
        <v>100</v>
      </c>
    </row>
    <row r="1034" spans="1:9" ht="78.75" outlineLevel="6">
      <c r="A1034" s="149" t="s">
        <v>794</v>
      </c>
      <c r="B1034" s="150" t="s">
        <v>23</v>
      </c>
      <c r="C1034" s="150" t="s">
        <v>215</v>
      </c>
      <c r="D1034" s="150" t="s">
        <v>188</v>
      </c>
      <c r="E1034" s="150" t="s">
        <v>1003</v>
      </c>
      <c r="F1034" s="150" t="s">
        <v>25</v>
      </c>
      <c r="G1034" s="151">
        <f>G1035</f>
        <v>1489003.4</v>
      </c>
      <c r="H1034" s="158">
        <f>H1035</f>
        <v>1489003.4</v>
      </c>
      <c r="I1034" s="158">
        <f t="shared" si="48"/>
        <v>100</v>
      </c>
    </row>
    <row r="1035" spans="1:9" ht="47.25" outlineLevel="7">
      <c r="A1035" s="149" t="s">
        <v>386</v>
      </c>
      <c r="B1035" s="150" t="s">
        <v>23</v>
      </c>
      <c r="C1035" s="150" t="s">
        <v>215</v>
      </c>
      <c r="D1035" s="150" t="s">
        <v>188</v>
      </c>
      <c r="E1035" s="150" t="s">
        <v>1003</v>
      </c>
      <c r="F1035" s="150" t="s">
        <v>273</v>
      </c>
      <c r="G1035" s="151">
        <v>1489003.4</v>
      </c>
      <c r="H1035" s="158">
        <v>1489003.4</v>
      </c>
      <c r="I1035" s="158">
        <f t="shared" si="48"/>
        <v>100</v>
      </c>
    </row>
    <row r="1036" spans="1:9" ht="31.5" outlineLevel="5">
      <c r="A1036" s="149" t="s">
        <v>802</v>
      </c>
      <c r="B1036" s="150" t="s">
        <v>23</v>
      </c>
      <c r="C1036" s="150" t="s">
        <v>215</v>
      </c>
      <c r="D1036" s="150" t="s">
        <v>188</v>
      </c>
      <c r="E1036" s="150" t="s">
        <v>1004</v>
      </c>
      <c r="F1036" s="150" t="s">
        <v>25</v>
      </c>
      <c r="G1036" s="151">
        <f>G1037</f>
        <v>729709.48</v>
      </c>
      <c r="H1036" s="158">
        <f>H1037</f>
        <v>729709.48</v>
      </c>
      <c r="I1036" s="158">
        <f t="shared" si="48"/>
        <v>100</v>
      </c>
    </row>
    <row r="1037" spans="1:9" ht="78.75" outlineLevel="6">
      <c r="A1037" s="149" t="s">
        <v>335</v>
      </c>
      <c r="B1037" s="150" t="s">
        <v>23</v>
      </c>
      <c r="C1037" s="150" t="s">
        <v>215</v>
      </c>
      <c r="D1037" s="150" t="s">
        <v>188</v>
      </c>
      <c r="E1037" s="150" t="s">
        <v>1005</v>
      </c>
      <c r="F1037" s="150" t="s">
        <v>25</v>
      </c>
      <c r="G1037" s="151">
        <f>G1038</f>
        <v>729709.48</v>
      </c>
      <c r="H1037" s="158">
        <f>H1038</f>
        <v>729709.48</v>
      </c>
      <c r="I1037" s="158">
        <f t="shared" si="48"/>
        <v>100</v>
      </c>
    </row>
    <row r="1038" spans="1:9" ht="47.25" outlineLevel="7">
      <c r="A1038" s="149" t="s">
        <v>386</v>
      </c>
      <c r="B1038" s="150" t="s">
        <v>23</v>
      </c>
      <c r="C1038" s="150" t="s">
        <v>215</v>
      </c>
      <c r="D1038" s="150" t="s">
        <v>188</v>
      </c>
      <c r="E1038" s="150" t="s">
        <v>1005</v>
      </c>
      <c r="F1038" s="150" t="s">
        <v>273</v>
      </c>
      <c r="G1038" s="151">
        <f>949162-219452.52</f>
        <v>729709.48</v>
      </c>
      <c r="H1038" s="158">
        <f>949162-219452.52</f>
        <v>729709.48</v>
      </c>
      <c r="I1038" s="158">
        <f t="shared" si="48"/>
        <v>100</v>
      </c>
    </row>
    <row r="1039" spans="1:9" ht="47.25" outlineLevel="5">
      <c r="A1039" s="149" t="s">
        <v>1006</v>
      </c>
      <c r="B1039" s="150" t="s">
        <v>23</v>
      </c>
      <c r="C1039" s="150" t="s">
        <v>215</v>
      </c>
      <c r="D1039" s="150" t="s">
        <v>188</v>
      </c>
      <c r="E1039" s="150" t="s">
        <v>1007</v>
      </c>
      <c r="F1039" s="150" t="s">
        <v>25</v>
      </c>
      <c r="G1039" s="151">
        <f>G1040+G1042+G1044</f>
        <v>5282577.76</v>
      </c>
      <c r="H1039" s="158">
        <f>H1040+H1042+H1044</f>
        <v>5282577.76</v>
      </c>
      <c r="I1039" s="158">
        <f t="shared" si="48"/>
        <v>100</v>
      </c>
    </row>
    <row r="1040" spans="1:9" ht="78.75" outlineLevel="6">
      <c r="A1040" s="149" t="s">
        <v>431</v>
      </c>
      <c r="B1040" s="150" t="s">
        <v>23</v>
      </c>
      <c r="C1040" s="150" t="s">
        <v>215</v>
      </c>
      <c r="D1040" s="150" t="s">
        <v>188</v>
      </c>
      <c r="E1040" s="150" t="s">
        <v>1008</v>
      </c>
      <c r="F1040" s="150" t="s">
        <v>25</v>
      </c>
      <c r="G1040" s="151">
        <f>G1041</f>
        <v>4804616.25</v>
      </c>
      <c r="H1040" s="158">
        <f>H1041</f>
        <v>4804616.25</v>
      </c>
      <c r="I1040" s="158">
        <f t="shared" si="48"/>
        <v>100</v>
      </c>
    </row>
    <row r="1041" spans="1:9" ht="47.25" outlineLevel="7">
      <c r="A1041" s="149" t="s">
        <v>386</v>
      </c>
      <c r="B1041" s="150" t="s">
        <v>23</v>
      </c>
      <c r="C1041" s="150" t="s">
        <v>215</v>
      </c>
      <c r="D1041" s="150" t="s">
        <v>188</v>
      </c>
      <c r="E1041" s="150" t="s">
        <v>1008</v>
      </c>
      <c r="F1041" s="150" t="s">
        <v>273</v>
      </c>
      <c r="G1041" s="151">
        <f>5248567.25-443951</f>
        <v>4804616.25</v>
      </c>
      <c r="H1041" s="158">
        <f>5248567.25-443951</f>
        <v>4804616.25</v>
      </c>
      <c r="I1041" s="158">
        <f t="shared" si="48"/>
        <v>100</v>
      </c>
    </row>
    <row r="1042" spans="1:9" ht="78.75" outlineLevel="7">
      <c r="A1042" s="149" t="s">
        <v>1009</v>
      </c>
      <c r="B1042" s="150" t="s">
        <v>23</v>
      </c>
      <c r="C1042" s="150" t="s">
        <v>215</v>
      </c>
      <c r="D1042" s="150" t="s">
        <v>188</v>
      </c>
      <c r="E1042" s="150" t="s">
        <v>1010</v>
      </c>
      <c r="F1042" s="150" t="s">
        <v>25</v>
      </c>
      <c r="G1042" s="151">
        <f>G1043</f>
        <v>443951</v>
      </c>
      <c r="H1042" s="158">
        <f>H1043</f>
        <v>443951</v>
      </c>
      <c r="I1042" s="158">
        <f t="shared" si="48"/>
        <v>100</v>
      </c>
    </row>
    <row r="1043" spans="1:9" ht="47.25" outlineLevel="7">
      <c r="A1043" s="149" t="s">
        <v>386</v>
      </c>
      <c r="B1043" s="150" t="s">
        <v>23</v>
      </c>
      <c r="C1043" s="150" t="s">
        <v>215</v>
      </c>
      <c r="D1043" s="150" t="s">
        <v>188</v>
      </c>
      <c r="E1043" s="150" t="s">
        <v>1010</v>
      </c>
      <c r="F1043" s="150" t="s">
        <v>273</v>
      </c>
      <c r="G1043" s="151">
        <f>443951</f>
        <v>443951</v>
      </c>
      <c r="H1043" s="158">
        <f>443951</f>
        <v>443951</v>
      </c>
      <c r="I1043" s="158">
        <f t="shared" si="48"/>
        <v>100</v>
      </c>
    </row>
    <row r="1044" spans="1:9" ht="78.75" outlineLevel="7">
      <c r="A1044" s="149" t="s">
        <v>1009</v>
      </c>
      <c r="B1044" s="150" t="s">
        <v>23</v>
      </c>
      <c r="C1044" s="150" t="s">
        <v>215</v>
      </c>
      <c r="D1044" s="150" t="s">
        <v>188</v>
      </c>
      <c r="E1044" s="150" t="s">
        <v>1011</v>
      </c>
      <c r="F1044" s="150" t="s">
        <v>25</v>
      </c>
      <c r="G1044" s="151">
        <f>G1045</f>
        <v>34010.51</v>
      </c>
      <c r="H1044" s="158">
        <f>H1045</f>
        <v>34010.51</v>
      </c>
      <c r="I1044" s="158">
        <f t="shared" si="48"/>
        <v>100</v>
      </c>
    </row>
    <row r="1045" spans="1:9" ht="47.25" outlineLevel="7">
      <c r="A1045" s="149" t="s">
        <v>386</v>
      </c>
      <c r="B1045" s="150" t="s">
        <v>23</v>
      </c>
      <c r="C1045" s="150" t="s">
        <v>215</v>
      </c>
      <c r="D1045" s="150" t="s">
        <v>188</v>
      </c>
      <c r="E1045" s="150" t="s">
        <v>1011</v>
      </c>
      <c r="F1045" s="150" t="s">
        <v>273</v>
      </c>
      <c r="G1045" s="151">
        <f>18025.34+15985.17</f>
        <v>34010.51</v>
      </c>
      <c r="H1045" s="158">
        <f>18025.34+15985.17</f>
        <v>34010.51</v>
      </c>
      <c r="I1045" s="158">
        <f t="shared" si="48"/>
        <v>100</v>
      </c>
    </row>
    <row r="1046" spans="1:9" ht="31.5" outlineLevel="5">
      <c r="A1046" s="149" t="s">
        <v>1012</v>
      </c>
      <c r="B1046" s="150" t="s">
        <v>23</v>
      </c>
      <c r="C1046" s="150" t="s">
        <v>215</v>
      </c>
      <c r="D1046" s="150" t="s">
        <v>188</v>
      </c>
      <c r="E1046" s="150" t="s">
        <v>1013</v>
      </c>
      <c r="F1046" s="150" t="s">
        <v>25</v>
      </c>
      <c r="G1046" s="151">
        <f>G1047</f>
        <v>4142944.31</v>
      </c>
      <c r="H1046" s="158">
        <f>H1047</f>
        <v>4142944.31</v>
      </c>
      <c r="I1046" s="158">
        <f t="shared" si="48"/>
        <v>100</v>
      </c>
    </row>
    <row r="1047" spans="1:9" ht="78.75" outlineLevel="6">
      <c r="A1047" s="149" t="s">
        <v>431</v>
      </c>
      <c r="B1047" s="150" t="s">
        <v>23</v>
      </c>
      <c r="C1047" s="150" t="s">
        <v>215</v>
      </c>
      <c r="D1047" s="150" t="s">
        <v>188</v>
      </c>
      <c r="E1047" s="150" t="s">
        <v>1014</v>
      </c>
      <c r="F1047" s="150" t="s">
        <v>25</v>
      </c>
      <c r="G1047" s="151">
        <f>G1048</f>
        <v>4142944.31</v>
      </c>
      <c r="H1047" s="158">
        <f>H1048</f>
        <v>4142944.31</v>
      </c>
      <c r="I1047" s="158">
        <f aca="true" t="shared" si="50" ref="I1047:I1108">H1047/G1047*100</f>
        <v>100</v>
      </c>
    </row>
    <row r="1048" spans="1:9" ht="47.25" outlineLevel="7">
      <c r="A1048" s="149" t="s">
        <v>386</v>
      </c>
      <c r="B1048" s="150" t="s">
        <v>23</v>
      </c>
      <c r="C1048" s="150" t="s">
        <v>215</v>
      </c>
      <c r="D1048" s="150" t="s">
        <v>188</v>
      </c>
      <c r="E1048" s="150" t="s">
        <v>1014</v>
      </c>
      <c r="F1048" s="150" t="s">
        <v>273</v>
      </c>
      <c r="G1048" s="151">
        <v>4142944.31</v>
      </c>
      <c r="H1048" s="158">
        <v>4142944.31</v>
      </c>
      <c r="I1048" s="158">
        <f t="shared" si="50"/>
        <v>100</v>
      </c>
    </row>
    <row r="1049" spans="1:9" ht="31.5" outlineLevel="5">
      <c r="A1049" s="149" t="s">
        <v>1015</v>
      </c>
      <c r="B1049" s="150" t="s">
        <v>23</v>
      </c>
      <c r="C1049" s="150" t="s">
        <v>215</v>
      </c>
      <c r="D1049" s="150" t="s">
        <v>188</v>
      </c>
      <c r="E1049" s="150" t="s">
        <v>1016</v>
      </c>
      <c r="F1049" s="150" t="s">
        <v>25</v>
      </c>
      <c r="G1049" s="151">
        <f>G1050</f>
        <v>108507</v>
      </c>
      <c r="H1049" s="158">
        <f>H1050</f>
        <v>108507</v>
      </c>
      <c r="I1049" s="158">
        <f t="shared" si="50"/>
        <v>100</v>
      </c>
    </row>
    <row r="1050" spans="1:9" ht="78.75" outlineLevel="6">
      <c r="A1050" s="149" t="s">
        <v>431</v>
      </c>
      <c r="B1050" s="150" t="s">
        <v>23</v>
      </c>
      <c r="C1050" s="150" t="s">
        <v>215</v>
      </c>
      <c r="D1050" s="150" t="s">
        <v>188</v>
      </c>
      <c r="E1050" s="150" t="s">
        <v>1017</v>
      </c>
      <c r="F1050" s="150" t="s">
        <v>25</v>
      </c>
      <c r="G1050" s="151">
        <f>G1051</f>
        <v>108507</v>
      </c>
      <c r="H1050" s="158">
        <f>H1051</f>
        <v>108507</v>
      </c>
      <c r="I1050" s="158">
        <f t="shared" si="50"/>
        <v>100</v>
      </c>
    </row>
    <row r="1051" spans="1:9" ht="47.25" outlineLevel="7">
      <c r="A1051" s="149" t="s">
        <v>386</v>
      </c>
      <c r="B1051" s="150" t="s">
        <v>23</v>
      </c>
      <c r="C1051" s="150" t="s">
        <v>215</v>
      </c>
      <c r="D1051" s="150" t="s">
        <v>188</v>
      </c>
      <c r="E1051" s="150" t="s">
        <v>1017</v>
      </c>
      <c r="F1051" s="150" t="s">
        <v>273</v>
      </c>
      <c r="G1051" s="151">
        <v>108507</v>
      </c>
      <c r="H1051" s="158">
        <v>108507</v>
      </c>
      <c r="I1051" s="158">
        <f t="shared" si="50"/>
        <v>100</v>
      </c>
    </row>
    <row r="1052" spans="1:10" s="148" customFormat="1" ht="31.5" outlineLevel="4">
      <c r="A1052" s="144" t="s">
        <v>1018</v>
      </c>
      <c r="B1052" s="145" t="s">
        <v>23</v>
      </c>
      <c r="C1052" s="145" t="s">
        <v>215</v>
      </c>
      <c r="D1052" s="145" t="s">
        <v>188</v>
      </c>
      <c r="E1052" s="145" t="s">
        <v>1019</v>
      </c>
      <c r="F1052" s="145" t="s">
        <v>25</v>
      </c>
      <c r="G1052" s="146">
        <f>G1053+G1056+G1063+G1070</f>
        <v>15633510.509999998</v>
      </c>
      <c r="H1052" s="161">
        <f>H1053+H1056+H1063+H1070</f>
        <v>15632243.809999999</v>
      </c>
      <c r="I1052" s="161">
        <f t="shared" si="50"/>
        <v>99.99189753319199</v>
      </c>
      <c r="J1052" s="147"/>
    </row>
    <row r="1053" spans="1:9" ht="47.25" outlineLevel="5">
      <c r="A1053" s="149" t="s">
        <v>1020</v>
      </c>
      <c r="B1053" s="150" t="s">
        <v>23</v>
      </c>
      <c r="C1053" s="150" t="s">
        <v>215</v>
      </c>
      <c r="D1053" s="150" t="s">
        <v>188</v>
      </c>
      <c r="E1053" s="150" t="s">
        <v>1021</v>
      </c>
      <c r="F1053" s="150" t="s">
        <v>25</v>
      </c>
      <c r="G1053" s="151">
        <f>G1054</f>
        <v>403464</v>
      </c>
      <c r="H1053" s="158">
        <f>H1054</f>
        <v>403464</v>
      </c>
      <c r="I1053" s="158">
        <f t="shared" si="50"/>
        <v>100</v>
      </c>
    </row>
    <row r="1054" spans="1:9" ht="78.75" outlineLevel="6">
      <c r="A1054" s="149" t="s">
        <v>431</v>
      </c>
      <c r="B1054" s="150" t="s">
        <v>23</v>
      </c>
      <c r="C1054" s="150" t="s">
        <v>215</v>
      </c>
      <c r="D1054" s="150" t="s">
        <v>188</v>
      </c>
      <c r="E1054" s="150" t="s">
        <v>1022</v>
      </c>
      <c r="F1054" s="150" t="s">
        <v>25</v>
      </c>
      <c r="G1054" s="151">
        <f>G1055</f>
        <v>403464</v>
      </c>
      <c r="H1054" s="158">
        <f>H1055</f>
        <v>403464</v>
      </c>
      <c r="I1054" s="158">
        <f t="shared" si="50"/>
        <v>100</v>
      </c>
    </row>
    <row r="1055" spans="1:9" ht="47.25" outlineLevel="7">
      <c r="A1055" s="149" t="s">
        <v>386</v>
      </c>
      <c r="B1055" s="150" t="s">
        <v>23</v>
      </c>
      <c r="C1055" s="150" t="s">
        <v>215</v>
      </c>
      <c r="D1055" s="150" t="s">
        <v>188</v>
      </c>
      <c r="E1055" s="150" t="s">
        <v>1022</v>
      </c>
      <c r="F1055" s="150" t="s">
        <v>273</v>
      </c>
      <c r="G1055" s="151">
        <v>403464</v>
      </c>
      <c r="H1055" s="158">
        <v>403464</v>
      </c>
      <c r="I1055" s="158">
        <f t="shared" si="50"/>
        <v>100</v>
      </c>
    </row>
    <row r="1056" spans="1:9" ht="31.5" outlineLevel="5">
      <c r="A1056" s="149" t="s">
        <v>1023</v>
      </c>
      <c r="B1056" s="150" t="s">
        <v>23</v>
      </c>
      <c r="C1056" s="150" t="s">
        <v>215</v>
      </c>
      <c r="D1056" s="150" t="s">
        <v>188</v>
      </c>
      <c r="E1056" s="150" t="s">
        <v>1024</v>
      </c>
      <c r="F1056" s="150" t="s">
        <v>25</v>
      </c>
      <c r="G1056" s="151">
        <f>G1057+G1059+G1061</f>
        <v>10653011.069999998</v>
      </c>
      <c r="H1056" s="158">
        <f>H1057+H1059+H1061</f>
        <v>10653011.069999998</v>
      </c>
      <c r="I1056" s="158">
        <f t="shared" si="50"/>
        <v>100</v>
      </c>
    </row>
    <row r="1057" spans="1:9" ht="78.75" outlineLevel="6">
      <c r="A1057" s="149" t="s">
        <v>431</v>
      </c>
      <c r="B1057" s="150" t="s">
        <v>23</v>
      </c>
      <c r="C1057" s="150" t="s">
        <v>215</v>
      </c>
      <c r="D1057" s="150" t="s">
        <v>188</v>
      </c>
      <c r="E1057" s="150" t="s">
        <v>1025</v>
      </c>
      <c r="F1057" s="150" t="s">
        <v>25</v>
      </c>
      <c r="G1057" s="151">
        <f>G1058</f>
        <v>9438953.53</v>
      </c>
      <c r="H1057" s="158">
        <f>H1058</f>
        <v>9438953.53</v>
      </c>
      <c r="I1057" s="158">
        <f t="shared" si="50"/>
        <v>100</v>
      </c>
    </row>
    <row r="1058" spans="1:9" ht="47.25" outlineLevel="7">
      <c r="A1058" s="149" t="s">
        <v>386</v>
      </c>
      <c r="B1058" s="150" t="s">
        <v>23</v>
      </c>
      <c r="C1058" s="150" t="s">
        <v>215</v>
      </c>
      <c r="D1058" s="150" t="s">
        <v>188</v>
      </c>
      <c r="E1058" s="150" t="s">
        <v>1025</v>
      </c>
      <c r="F1058" s="150" t="s">
        <v>273</v>
      </c>
      <c r="G1058" s="151">
        <v>9438953.53</v>
      </c>
      <c r="H1058" s="158">
        <v>9438953.53</v>
      </c>
      <c r="I1058" s="158">
        <f t="shared" si="50"/>
        <v>100</v>
      </c>
    </row>
    <row r="1059" spans="1:9" ht="78.75" outlineLevel="6">
      <c r="A1059" s="149" t="s">
        <v>794</v>
      </c>
      <c r="B1059" s="150" t="s">
        <v>23</v>
      </c>
      <c r="C1059" s="150" t="s">
        <v>215</v>
      </c>
      <c r="D1059" s="150" t="s">
        <v>188</v>
      </c>
      <c r="E1059" s="150" t="s">
        <v>1026</v>
      </c>
      <c r="F1059" s="150" t="s">
        <v>25</v>
      </c>
      <c r="G1059" s="151">
        <f>G1060</f>
        <v>940214.59</v>
      </c>
      <c r="H1059" s="158">
        <f>H1060</f>
        <v>940214.59</v>
      </c>
      <c r="I1059" s="158">
        <f t="shared" si="50"/>
        <v>100</v>
      </c>
    </row>
    <row r="1060" spans="1:9" ht="47.25" outlineLevel="7">
      <c r="A1060" s="149" t="s">
        <v>386</v>
      </c>
      <c r="B1060" s="150" t="s">
        <v>23</v>
      </c>
      <c r="C1060" s="150" t="s">
        <v>215</v>
      </c>
      <c r="D1060" s="150" t="s">
        <v>188</v>
      </c>
      <c r="E1060" s="150" t="s">
        <v>1026</v>
      </c>
      <c r="F1060" s="150" t="s">
        <v>273</v>
      </c>
      <c r="G1060" s="151">
        <v>940214.59</v>
      </c>
      <c r="H1060" s="158">
        <v>940214.59</v>
      </c>
      <c r="I1060" s="158">
        <f t="shared" si="50"/>
        <v>100</v>
      </c>
    </row>
    <row r="1061" spans="1:9" ht="78.75" outlineLevel="6">
      <c r="A1061" s="149" t="s">
        <v>794</v>
      </c>
      <c r="B1061" s="150" t="s">
        <v>23</v>
      </c>
      <c r="C1061" s="150" t="s">
        <v>215</v>
      </c>
      <c r="D1061" s="150" t="s">
        <v>188</v>
      </c>
      <c r="E1061" s="150" t="s">
        <v>1027</v>
      </c>
      <c r="F1061" s="150" t="s">
        <v>25</v>
      </c>
      <c r="G1061" s="151">
        <f>G1062</f>
        <v>273842.95</v>
      </c>
      <c r="H1061" s="158">
        <f>H1062</f>
        <v>273842.95</v>
      </c>
      <c r="I1061" s="158">
        <f t="shared" si="50"/>
        <v>100</v>
      </c>
    </row>
    <row r="1062" spans="1:9" ht="47.25" outlineLevel="7">
      <c r="A1062" s="149" t="s">
        <v>386</v>
      </c>
      <c r="B1062" s="150" t="s">
        <v>23</v>
      </c>
      <c r="C1062" s="150" t="s">
        <v>215</v>
      </c>
      <c r="D1062" s="150" t="s">
        <v>188</v>
      </c>
      <c r="E1062" s="150" t="s">
        <v>1027</v>
      </c>
      <c r="F1062" s="150" t="s">
        <v>273</v>
      </c>
      <c r="G1062" s="151">
        <v>273842.95</v>
      </c>
      <c r="H1062" s="158">
        <v>273842.95</v>
      </c>
      <c r="I1062" s="158">
        <f t="shared" si="50"/>
        <v>100</v>
      </c>
    </row>
    <row r="1063" spans="1:9" ht="31.5" outlineLevel="5">
      <c r="A1063" s="149" t="s">
        <v>1028</v>
      </c>
      <c r="B1063" s="150" t="s">
        <v>23</v>
      </c>
      <c r="C1063" s="150" t="s">
        <v>215</v>
      </c>
      <c r="D1063" s="150" t="s">
        <v>188</v>
      </c>
      <c r="E1063" s="150" t="s">
        <v>1029</v>
      </c>
      <c r="F1063" s="150" t="s">
        <v>25</v>
      </c>
      <c r="G1063" s="151">
        <f>G1064+G1066+G1068</f>
        <v>4226312.74</v>
      </c>
      <c r="H1063" s="158">
        <f>H1064+H1066+H1068</f>
        <v>4226312.74</v>
      </c>
      <c r="I1063" s="158">
        <f t="shared" si="50"/>
        <v>100</v>
      </c>
    </row>
    <row r="1064" spans="1:9" ht="78.75" outlineLevel="6">
      <c r="A1064" s="149" t="s">
        <v>431</v>
      </c>
      <c r="B1064" s="150" t="s">
        <v>23</v>
      </c>
      <c r="C1064" s="150" t="s">
        <v>215</v>
      </c>
      <c r="D1064" s="150" t="s">
        <v>188</v>
      </c>
      <c r="E1064" s="150" t="s">
        <v>1030</v>
      </c>
      <c r="F1064" s="150" t="s">
        <v>25</v>
      </c>
      <c r="G1064" s="151">
        <f>G1065</f>
        <v>3757081.49</v>
      </c>
      <c r="H1064" s="158">
        <f>H1065</f>
        <v>3757081.49</v>
      </c>
      <c r="I1064" s="158">
        <f t="shared" si="50"/>
        <v>100</v>
      </c>
    </row>
    <row r="1065" spans="1:9" ht="47.25" outlineLevel="7">
      <c r="A1065" s="149" t="s">
        <v>386</v>
      </c>
      <c r="B1065" s="150" t="s">
        <v>23</v>
      </c>
      <c r="C1065" s="150" t="s">
        <v>215</v>
      </c>
      <c r="D1065" s="150" t="s">
        <v>188</v>
      </c>
      <c r="E1065" s="150" t="s">
        <v>1030</v>
      </c>
      <c r="F1065" s="150" t="s">
        <v>273</v>
      </c>
      <c r="G1065" s="151">
        <v>3757081.49</v>
      </c>
      <c r="H1065" s="158">
        <v>3757081.49</v>
      </c>
      <c r="I1065" s="158">
        <f t="shared" si="50"/>
        <v>100</v>
      </c>
    </row>
    <row r="1066" spans="1:9" ht="78.75" outlineLevel="6">
      <c r="A1066" s="149" t="s">
        <v>794</v>
      </c>
      <c r="B1066" s="150" t="s">
        <v>23</v>
      </c>
      <c r="C1066" s="150" t="s">
        <v>215</v>
      </c>
      <c r="D1066" s="150" t="s">
        <v>188</v>
      </c>
      <c r="E1066" s="150" t="s">
        <v>1031</v>
      </c>
      <c r="F1066" s="150" t="s">
        <v>25</v>
      </c>
      <c r="G1066" s="151">
        <f>G1067</f>
        <v>376731.63</v>
      </c>
      <c r="H1066" s="158">
        <f>H1067</f>
        <v>376731.63</v>
      </c>
      <c r="I1066" s="158">
        <f t="shared" si="50"/>
        <v>100</v>
      </c>
    </row>
    <row r="1067" spans="1:9" ht="47.25" outlineLevel="7">
      <c r="A1067" s="149" t="s">
        <v>386</v>
      </c>
      <c r="B1067" s="150" t="s">
        <v>23</v>
      </c>
      <c r="C1067" s="150" t="s">
        <v>215</v>
      </c>
      <c r="D1067" s="150" t="s">
        <v>188</v>
      </c>
      <c r="E1067" s="150" t="s">
        <v>1031</v>
      </c>
      <c r="F1067" s="150" t="s">
        <v>273</v>
      </c>
      <c r="G1067" s="151">
        <v>376731.63</v>
      </c>
      <c r="H1067" s="158">
        <v>376731.63</v>
      </c>
      <c r="I1067" s="158">
        <f t="shared" si="50"/>
        <v>100</v>
      </c>
    </row>
    <row r="1068" spans="1:9" ht="78.75" outlineLevel="6">
      <c r="A1068" s="149" t="s">
        <v>794</v>
      </c>
      <c r="B1068" s="150" t="s">
        <v>23</v>
      </c>
      <c r="C1068" s="150" t="s">
        <v>215</v>
      </c>
      <c r="D1068" s="150" t="s">
        <v>188</v>
      </c>
      <c r="E1068" s="150" t="s">
        <v>1032</v>
      </c>
      <c r="F1068" s="150" t="s">
        <v>25</v>
      </c>
      <c r="G1068" s="151">
        <f>G1069</f>
        <v>92499.62</v>
      </c>
      <c r="H1068" s="158">
        <f>H1069</f>
        <v>92499.62</v>
      </c>
      <c r="I1068" s="158">
        <f t="shared" si="50"/>
        <v>100</v>
      </c>
    </row>
    <row r="1069" spans="1:9" ht="47.25" outlineLevel="7">
      <c r="A1069" s="149" t="s">
        <v>386</v>
      </c>
      <c r="B1069" s="150" t="s">
        <v>23</v>
      </c>
      <c r="C1069" s="150" t="s">
        <v>215</v>
      </c>
      <c r="D1069" s="150" t="s">
        <v>188</v>
      </c>
      <c r="E1069" s="150" t="s">
        <v>1032</v>
      </c>
      <c r="F1069" s="150" t="s">
        <v>273</v>
      </c>
      <c r="G1069" s="151">
        <v>92499.62</v>
      </c>
      <c r="H1069" s="158">
        <v>92499.62</v>
      </c>
      <c r="I1069" s="158">
        <f t="shared" si="50"/>
        <v>100</v>
      </c>
    </row>
    <row r="1070" spans="1:9" ht="31.5" outlineLevel="5">
      <c r="A1070" s="149" t="s">
        <v>802</v>
      </c>
      <c r="B1070" s="150" t="s">
        <v>23</v>
      </c>
      <c r="C1070" s="150" t="s">
        <v>215</v>
      </c>
      <c r="D1070" s="150" t="s">
        <v>188</v>
      </c>
      <c r="E1070" s="150" t="s">
        <v>1033</v>
      </c>
      <c r="F1070" s="150" t="s">
        <v>25</v>
      </c>
      <c r="G1070" s="151">
        <f>G1071</f>
        <v>350722.7</v>
      </c>
      <c r="H1070" s="158">
        <f>H1071</f>
        <v>349456</v>
      </c>
      <c r="I1070" s="158">
        <f t="shared" si="50"/>
        <v>99.6388314756929</v>
      </c>
    </row>
    <row r="1071" spans="1:9" ht="78.75" outlineLevel="6">
      <c r="A1071" s="149" t="s">
        <v>335</v>
      </c>
      <c r="B1071" s="150" t="s">
        <v>23</v>
      </c>
      <c r="C1071" s="150" t="s">
        <v>215</v>
      </c>
      <c r="D1071" s="150" t="s">
        <v>188</v>
      </c>
      <c r="E1071" s="150" t="s">
        <v>1034</v>
      </c>
      <c r="F1071" s="150" t="s">
        <v>25</v>
      </c>
      <c r="G1071" s="151">
        <f>G1072</f>
        <v>350722.7</v>
      </c>
      <c r="H1071" s="158">
        <f>H1072</f>
        <v>349456</v>
      </c>
      <c r="I1071" s="158">
        <f t="shared" si="50"/>
        <v>99.6388314756929</v>
      </c>
    </row>
    <row r="1072" spans="1:9" ht="47.25" outlineLevel="7">
      <c r="A1072" s="149" t="s">
        <v>386</v>
      </c>
      <c r="B1072" s="150" t="s">
        <v>23</v>
      </c>
      <c r="C1072" s="150" t="s">
        <v>215</v>
      </c>
      <c r="D1072" s="150" t="s">
        <v>188</v>
      </c>
      <c r="E1072" s="150" t="s">
        <v>1034</v>
      </c>
      <c r="F1072" s="150" t="s">
        <v>273</v>
      </c>
      <c r="G1072" s="151">
        <f>343886+6836.7</f>
        <v>350722.7</v>
      </c>
      <c r="H1072" s="158">
        <v>349456</v>
      </c>
      <c r="I1072" s="158">
        <f t="shared" si="50"/>
        <v>99.6388314756929</v>
      </c>
    </row>
    <row r="1073" spans="1:10" s="148" customFormat="1" ht="47.25" outlineLevel="4">
      <c r="A1073" s="144" t="s">
        <v>1035</v>
      </c>
      <c r="B1073" s="145" t="s">
        <v>23</v>
      </c>
      <c r="C1073" s="145" t="s">
        <v>215</v>
      </c>
      <c r="D1073" s="145" t="s">
        <v>188</v>
      </c>
      <c r="E1073" s="145" t="s">
        <v>1036</v>
      </c>
      <c r="F1073" s="145" t="s">
        <v>25</v>
      </c>
      <c r="G1073" s="146">
        <f aca="true" t="shared" si="51" ref="G1073:H1075">G1074</f>
        <v>20900918.44</v>
      </c>
      <c r="H1073" s="161">
        <f t="shared" si="51"/>
        <v>20900918.44</v>
      </c>
      <c r="I1073" s="161">
        <f t="shared" si="50"/>
        <v>100</v>
      </c>
      <c r="J1073" s="147"/>
    </row>
    <row r="1074" spans="1:9" ht="63" outlineLevel="5">
      <c r="A1074" s="149" t="s">
        <v>1037</v>
      </c>
      <c r="B1074" s="150" t="s">
        <v>23</v>
      </c>
      <c r="C1074" s="150" t="s">
        <v>215</v>
      </c>
      <c r="D1074" s="150" t="s">
        <v>188</v>
      </c>
      <c r="E1074" s="150" t="s">
        <v>1038</v>
      </c>
      <c r="F1074" s="150" t="s">
        <v>25</v>
      </c>
      <c r="G1074" s="151">
        <f t="shared" si="51"/>
        <v>20900918.44</v>
      </c>
      <c r="H1074" s="158">
        <f t="shared" si="51"/>
        <v>20900918.44</v>
      </c>
      <c r="I1074" s="158">
        <f t="shared" si="50"/>
        <v>100</v>
      </c>
    </row>
    <row r="1075" spans="1:9" ht="31.5" outlineLevel="6">
      <c r="A1075" s="149" t="s">
        <v>612</v>
      </c>
      <c r="B1075" s="150" t="s">
        <v>23</v>
      </c>
      <c r="C1075" s="150" t="s">
        <v>215</v>
      </c>
      <c r="D1075" s="150" t="s">
        <v>188</v>
      </c>
      <c r="E1075" s="150" t="s">
        <v>1039</v>
      </c>
      <c r="F1075" s="150" t="s">
        <v>25</v>
      </c>
      <c r="G1075" s="151">
        <f t="shared" si="51"/>
        <v>20900918.44</v>
      </c>
      <c r="H1075" s="158">
        <f t="shared" si="51"/>
        <v>20900918.44</v>
      </c>
      <c r="I1075" s="158">
        <f t="shared" si="50"/>
        <v>100</v>
      </c>
    </row>
    <row r="1076" spans="1:9" ht="47.25" outlineLevel="7">
      <c r="A1076" s="149" t="s">
        <v>386</v>
      </c>
      <c r="B1076" s="150" t="s">
        <v>23</v>
      </c>
      <c r="C1076" s="150" t="s">
        <v>215</v>
      </c>
      <c r="D1076" s="150" t="s">
        <v>188</v>
      </c>
      <c r="E1076" s="150" t="s">
        <v>1039</v>
      </c>
      <c r="F1076" s="150" t="s">
        <v>273</v>
      </c>
      <c r="G1076" s="151">
        <f>1598226.92+16922443.08+2380248.44</f>
        <v>20900918.44</v>
      </c>
      <c r="H1076" s="158">
        <f>1598226.92+16922443.08+2380248.44</f>
        <v>20900918.44</v>
      </c>
      <c r="I1076" s="158">
        <f t="shared" si="50"/>
        <v>100</v>
      </c>
    </row>
    <row r="1077" spans="1:10" s="148" customFormat="1" ht="47.25" outlineLevel="3">
      <c r="A1077" s="144" t="s">
        <v>347</v>
      </c>
      <c r="B1077" s="145" t="s">
        <v>23</v>
      </c>
      <c r="C1077" s="145" t="s">
        <v>215</v>
      </c>
      <c r="D1077" s="145" t="s">
        <v>188</v>
      </c>
      <c r="E1077" s="145" t="s">
        <v>348</v>
      </c>
      <c r="F1077" s="145" t="s">
        <v>25</v>
      </c>
      <c r="G1077" s="146">
        <f aca="true" t="shared" si="52" ref="G1077:H1080">G1078</f>
        <v>1008203</v>
      </c>
      <c r="H1077" s="161">
        <f t="shared" si="52"/>
        <v>1008203</v>
      </c>
      <c r="I1077" s="161">
        <f t="shared" si="50"/>
        <v>100</v>
      </c>
      <c r="J1077" s="147"/>
    </row>
    <row r="1078" spans="1:10" s="148" customFormat="1" ht="47.25" outlineLevel="4">
      <c r="A1078" s="144" t="s">
        <v>349</v>
      </c>
      <c r="B1078" s="145" t="s">
        <v>23</v>
      </c>
      <c r="C1078" s="145" t="s">
        <v>215</v>
      </c>
      <c r="D1078" s="145" t="s">
        <v>188</v>
      </c>
      <c r="E1078" s="145" t="s">
        <v>350</v>
      </c>
      <c r="F1078" s="145" t="s">
        <v>25</v>
      </c>
      <c r="G1078" s="146">
        <f t="shared" si="52"/>
        <v>1008203</v>
      </c>
      <c r="H1078" s="161">
        <f t="shared" si="52"/>
        <v>1008203</v>
      </c>
      <c r="I1078" s="161">
        <f t="shared" si="50"/>
        <v>100</v>
      </c>
      <c r="J1078" s="147"/>
    </row>
    <row r="1079" spans="1:9" ht="31.5" outlineLevel="5">
      <c r="A1079" s="149" t="s">
        <v>418</v>
      </c>
      <c r="B1079" s="150" t="s">
        <v>23</v>
      </c>
      <c r="C1079" s="150" t="s">
        <v>215</v>
      </c>
      <c r="D1079" s="150" t="s">
        <v>188</v>
      </c>
      <c r="E1079" s="150" t="s">
        <v>419</v>
      </c>
      <c r="F1079" s="150" t="s">
        <v>25</v>
      </c>
      <c r="G1079" s="151">
        <f t="shared" si="52"/>
        <v>1008203</v>
      </c>
      <c r="H1079" s="158">
        <f t="shared" si="52"/>
        <v>1008203</v>
      </c>
      <c r="I1079" s="158">
        <f t="shared" si="50"/>
        <v>100</v>
      </c>
    </row>
    <row r="1080" spans="1:9" ht="31.5" outlineLevel="6">
      <c r="A1080" s="149" t="s">
        <v>353</v>
      </c>
      <c r="B1080" s="150" t="s">
        <v>23</v>
      </c>
      <c r="C1080" s="150" t="s">
        <v>215</v>
      </c>
      <c r="D1080" s="150" t="s">
        <v>188</v>
      </c>
      <c r="E1080" s="150" t="s">
        <v>420</v>
      </c>
      <c r="F1080" s="150" t="s">
        <v>25</v>
      </c>
      <c r="G1080" s="151">
        <f t="shared" si="52"/>
        <v>1008203</v>
      </c>
      <c r="H1080" s="158">
        <f t="shared" si="52"/>
        <v>1008203</v>
      </c>
      <c r="I1080" s="158">
        <f t="shared" si="50"/>
        <v>100</v>
      </c>
    </row>
    <row r="1081" spans="1:9" ht="47.25" outlineLevel="7">
      <c r="A1081" s="149" t="s">
        <v>386</v>
      </c>
      <c r="B1081" s="150" t="s">
        <v>23</v>
      </c>
      <c r="C1081" s="150" t="s">
        <v>215</v>
      </c>
      <c r="D1081" s="150" t="s">
        <v>188</v>
      </c>
      <c r="E1081" s="150" t="s">
        <v>420</v>
      </c>
      <c r="F1081" s="150" t="s">
        <v>273</v>
      </c>
      <c r="G1081" s="151">
        <v>1008203</v>
      </c>
      <c r="H1081" s="158">
        <v>1008203</v>
      </c>
      <c r="I1081" s="158">
        <f t="shared" si="50"/>
        <v>100</v>
      </c>
    </row>
    <row r="1082" spans="1:10" s="148" customFormat="1" ht="15.75" outlineLevel="1">
      <c r="A1082" s="144" t="s">
        <v>514</v>
      </c>
      <c r="B1082" s="145" t="s">
        <v>23</v>
      </c>
      <c r="C1082" s="145" t="s">
        <v>218</v>
      </c>
      <c r="D1082" s="145" t="s">
        <v>189</v>
      </c>
      <c r="E1082" s="145" t="s">
        <v>313</v>
      </c>
      <c r="F1082" s="145" t="s">
        <v>25</v>
      </c>
      <c r="G1082" s="146">
        <f>G1083</f>
        <v>616164</v>
      </c>
      <c r="H1082" s="161">
        <f>H1083</f>
        <v>459504.12</v>
      </c>
      <c r="I1082" s="161">
        <f t="shared" si="50"/>
        <v>74.57497030011491</v>
      </c>
      <c r="J1082" s="147"/>
    </row>
    <row r="1083" spans="1:10" s="148" customFormat="1" ht="15.75" outlineLevel="2">
      <c r="A1083" s="144" t="s">
        <v>235</v>
      </c>
      <c r="B1083" s="145" t="s">
        <v>23</v>
      </c>
      <c r="C1083" s="145" t="s">
        <v>218</v>
      </c>
      <c r="D1083" s="145" t="s">
        <v>193</v>
      </c>
      <c r="E1083" s="145" t="s">
        <v>313</v>
      </c>
      <c r="F1083" s="145" t="s">
        <v>25</v>
      </c>
      <c r="G1083" s="146">
        <f>G1084</f>
        <v>616164</v>
      </c>
      <c r="H1083" s="161">
        <f>H1084</f>
        <v>459504.12</v>
      </c>
      <c r="I1083" s="161">
        <f t="shared" si="50"/>
        <v>74.57497030011491</v>
      </c>
      <c r="J1083" s="147"/>
    </row>
    <row r="1084" spans="1:10" s="148" customFormat="1" ht="63" outlineLevel="3">
      <c r="A1084" s="144" t="s">
        <v>937</v>
      </c>
      <c r="B1084" s="145" t="s">
        <v>23</v>
      </c>
      <c r="C1084" s="145" t="s">
        <v>218</v>
      </c>
      <c r="D1084" s="145" t="s">
        <v>193</v>
      </c>
      <c r="E1084" s="145" t="s">
        <v>938</v>
      </c>
      <c r="F1084" s="145" t="s">
        <v>25</v>
      </c>
      <c r="G1084" s="146">
        <f>G1085+G1091</f>
        <v>616164</v>
      </c>
      <c r="H1084" s="161">
        <f>H1085+H1091</f>
        <v>459504.12</v>
      </c>
      <c r="I1084" s="161">
        <f t="shared" si="50"/>
        <v>74.57497030011491</v>
      </c>
      <c r="J1084" s="147"/>
    </row>
    <row r="1085" spans="1:10" s="148" customFormat="1" ht="47.25" outlineLevel="4">
      <c r="A1085" s="144" t="s">
        <v>939</v>
      </c>
      <c r="B1085" s="145" t="s">
        <v>23</v>
      </c>
      <c r="C1085" s="145" t="s">
        <v>218</v>
      </c>
      <c r="D1085" s="145" t="s">
        <v>193</v>
      </c>
      <c r="E1085" s="145" t="s">
        <v>940</v>
      </c>
      <c r="F1085" s="145" t="s">
        <v>25</v>
      </c>
      <c r="G1085" s="146">
        <f>G1086</f>
        <v>487403.05</v>
      </c>
      <c r="H1085" s="161">
        <f>H1086</f>
        <v>331149.63</v>
      </c>
      <c r="I1085" s="161">
        <f t="shared" si="50"/>
        <v>67.94164090684292</v>
      </c>
      <c r="J1085" s="147"/>
    </row>
    <row r="1086" spans="1:9" ht="31.5" outlineLevel="5">
      <c r="A1086" s="149" t="s">
        <v>802</v>
      </c>
      <c r="B1086" s="150" t="s">
        <v>23</v>
      </c>
      <c r="C1086" s="150" t="s">
        <v>218</v>
      </c>
      <c r="D1086" s="150" t="s">
        <v>193</v>
      </c>
      <c r="E1086" s="150" t="s">
        <v>995</v>
      </c>
      <c r="F1086" s="150" t="s">
        <v>25</v>
      </c>
      <c r="G1086" s="151">
        <f>G1087+G1089</f>
        <v>487403.05</v>
      </c>
      <c r="H1086" s="158">
        <f>H1087+H1089</f>
        <v>331149.63</v>
      </c>
      <c r="I1086" s="158">
        <f t="shared" si="50"/>
        <v>67.94164090684292</v>
      </c>
    </row>
    <row r="1087" spans="1:9" ht="94.5" outlineLevel="6">
      <c r="A1087" s="149" t="s">
        <v>890</v>
      </c>
      <c r="B1087" s="150" t="s">
        <v>23</v>
      </c>
      <c r="C1087" s="150" t="s">
        <v>218</v>
      </c>
      <c r="D1087" s="150" t="s">
        <v>193</v>
      </c>
      <c r="E1087" s="150" t="s">
        <v>1040</v>
      </c>
      <c r="F1087" s="150" t="s">
        <v>25</v>
      </c>
      <c r="G1087" s="151">
        <f>G1088</f>
        <v>5536</v>
      </c>
      <c r="H1087" s="158">
        <f>H1088</f>
        <v>5536</v>
      </c>
      <c r="I1087" s="158">
        <f t="shared" si="50"/>
        <v>100</v>
      </c>
    </row>
    <row r="1088" spans="1:9" ht="47.25" outlineLevel="7">
      <c r="A1088" s="149" t="s">
        <v>386</v>
      </c>
      <c r="B1088" s="150" t="s">
        <v>23</v>
      </c>
      <c r="C1088" s="150" t="s">
        <v>218</v>
      </c>
      <c r="D1088" s="150" t="s">
        <v>193</v>
      </c>
      <c r="E1088" s="150" t="s">
        <v>1040</v>
      </c>
      <c r="F1088" s="150" t="s">
        <v>273</v>
      </c>
      <c r="G1088" s="151">
        <v>5536</v>
      </c>
      <c r="H1088" s="158">
        <v>5536</v>
      </c>
      <c r="I1088" s="158">
        <f t="shared" si="50"/>
        <v>100</v>
      </c>
    </row>
    <row r="1089" spans="1:9" ht="94.5" outlineLevel="6">
      <c r="A1089" s="149" t="s">
        <v>892</v>
      </c>
      <c r="B1089" s="150" t="s">
        <v>23</v>
      </c>
      <c r="C1089" s="150" t="s">
        <v>218</v>
      </c>
      <c r="D1089" s="150" t="s">
        <v>193</v>
      </c>
      <c r="E1089" s="150" t="s">
        <v>1041</v>
      </c>
      <c r="F1089" s="150" t="s">
        <v>25</v>
      </c>
      <c r="G1089" s="151">
        <f>G1090</f>
        <v>481867.05</v>
      </c>
      <c r="H1089" s="158">
        <f>H1090</f>
        <v>325613.63</v>
      </c>
      <c r="I1089" s="158">
        <f t="shared" si="50"/>
        <v>67.57333376498767</v>
      </c>
    </row>
    <row r="1090" spans="1:9" ht="47.25" outlineLevel="7">
      <c r="A1090" s="149" t="s">
        <v>386</v>
      </c>
      <c r="B1090" s="150" t="s">
        <v>23</v>
      </c>
      <c r="C1090" s="150" t="s">
        <v>218</v>
      </c>
      <c r="D1090" s="150" t="s">
        <v>193</v>
      </c>
      <c r="E1090" s="150" t="s">
        <v>1041</v>
      </c>
      <c r="F1090" s="150" t="s">
        <v>273</v>
      </c>
      <c r="G1090" s="151">
        <f>488400-6532.95</f>
        <v>481867.05</v>
      </c>
      <c r="H1090" s="158">
        <v>325613.63</v>
      </c>
      <c r="I1090" s="158">
        <f t="shared" si="50"/>
        <v>67.57333376498767</v>
      </c>
    </row>
    <row r="1091" spans="1:10" s="148" customFormat="1" ht="31.5" outlineLevel="4">
      <c r="A1091" s="144" t="s">
        <v>997</v>
      </c>
      <c r="B1091" s="145" t="s">
        <v>23</v>
      </c>
      <c r="C1091" s="145" t="s">
        <v>218</v>
      </c>
      <c r="D1091" s="145" t="s">
        <v>193</v>
      </c>
      <c r="E1091" s="145" t="s">
        <v>998</v>
      </c>
      <c r="F1091" s="145" t="s">
        <v>25</v>
      </c>
      <c r="G1091" s="146">
        <f>G1092</f>
        <v>128760.95</v>
      </c>
      <c r="H1091" s="161">
        <f>H1092</f>
        <v>128354.49</v>
      </c>
      <c r="I1091" s="161">
        <f t="shared" si="50"/>
        <v>99.68432975991557</v>
      </c>
      <c r="J1091" s="147"/>
    </row>
    <row r="1092" spans="1:9" ht="31.5" outlineLevel="5">
      <c r="A1092" s="149" t="s">
        <v>802</v>
      </c>
      <c r="B1092" s="150" t="s">
        <v>23</v>
      </c>
      <c r="C1092" s="150" t="s">
        <v>218</v>
      </c>
      <c r="D1092" s="150" t="s">
        <v>193</v>
      </c>
      <c r="E1092" s="150" t="s">
        <v>1004</v>
      </c>
      <c r="F1092" s="150" t="s">
        <v>25</v>
      </c>
      <c r="G1092" s="151">
        <f>G1093+G1095</f>
        <v>128760.95</v>
      </c>
      <c r="H1092" s="158">
        <f>H1093+H1095</f>
        <v>128354.49</v>
      </c>
      <c r="I1092" s="158">
        <f t="shared" si="50"/>
        <v>99.68432975991557</v>
      </c>
    </row>
    <row r="1093" spans="1:9" ht="94.5" outlineLevel="6">
      <c r="A1093" s="149" t="s">
        <v>890</v>
      </c>
      <c r="B1093" s="150" t="s">
        <v>23</v>
      </c>
      <c r="C1093" s="150" t="s">
        <v>218</v>
      </c>
      <c r="D1093" s="150" t="s">
        <v>193</v>
      </c>
      <c r="E1093" s="150" t="s">
        <v>1042</v>
      </c>
      <c r="F1093" s="150" t="s">
        <v>25</v>
      </c>
      <c r="G1093" s="151">
        <f>G1094</f>
        <v>2228</v>
      </c>
      <c r="H1093" s="158">
        <f>H1094</f>
        <v>2228</v>
      </c>
      <c r="I1093" s="158">
        <f t="shared" si="50"/>
        <v>100</v>
      </c>
    </row>
    <row r="1094" spans="1:9" ht="47.25" outlineLevel="7">
      <c r="A1094" s="149" t="s">
        <v>386</v>
      </c>
      <c r="B1094" s="150" t="s">
        <v>23</v>
      </c>
      <c r="C1094" s="150" t="s">
        <v>218</v>
      </c>
      <c r="D1094" s="150" t="s">
        <v>193</v>
      </c>
      <c r="E1094" s="150" t="s">
        <v>1042</v>
      </c>
      <c r="F1094" s="150" t="s">
        <v>273</v>
      </c>
      <c r="G1094" s="151">
        <v>2228</v>
      </c>
      <c r="H1094" s="158">
        <v>2228</v>
      </c>
      <c r="I1094" s="158">
        <f t="shared" si="50"/>
        <v>100</v>
      </c>
    </row>
    <row r="1095" spans="1:9" ht="94.5" outlineLevel="6">
      <c r="A1095" s="149" t="s">
        <v>892</v>
      </c>
      <c r="B1095" s="150" t="s">
        <v>23</v>
      </c>
      <c r="C1095" s="150" t="s">
        <v>218</v>
      </c>
      <c r="D1095" s="150" t="s">
        <v>193</v>
      </c>
      <c r="E1095" s="150" t="s">
        <v>1043</v>
      </c>
      <c r="F1095" s="150" t="s">
        <v>25</v>
      </c>
      <c r="G1095" s="151">
        <f>G1096</f>
        <v>126532.95</v>
      </c>
      <c r="H1095" s="158">
        <f>H1096</f>
        <v>126126.49</v>
      </c>
      <c r="I1095" s="158">
        <f t="shared" si="50"/>
        <v>99.67877141882808</v>
      </c>
    </row>
    <row r="1096" spans="1:9" ht="47.25" outlineLevel="7">
      <c r="A1096" s="149" t="s">
        <v>386</v>
      </c>
      <c r="B1096" s="150" t="s">
        <v>23</v>
      </c>
      <c r="C1096" s="150" t="s">
        <v>218</v>
      </c>
      <c r="D1096" s="150" t="s">
        <v>193</v>
      </c>
      <c r="E1096" s="150" t="s">
        <v>1043</v>
      </c>
      <c r="F1096" s="150" t="s">
        <v>273</v>
      </c>
      <c r="G1096" s="151">
        <f>120000+6532.95</f>
        <v>126532.95</v>
      </c>
      <c r="H1096" s="158">
        <v>126126.49</v>
      </c>
      <c r="I1096" s="158">
        <f t="shared" si="50"/>
        <v>99.67877141882808</v>
      </c>
    </row>
    <row r="1097" spans="1:10" s="148" customFormat="1" ht="15.75" outlineLevel="1">
      <c r="A1097" s="144" t="s">
        <v>1044</v>
      </c>
      <c r="B1097" s="145" t="s">
        <v>23</v>
      </c>
      <c r="C1097" s="145" t="s">
        <v>203</v>
      </c>
      <c r="D1097" s="145" t="s">
        <v>189</v>
      </c>
      <c r="E1097" s="145" t="s">
        <v>313</v>
      </c>
      <c r="F1097" s="145" t="s">
        <v>25</v>
      </c>
      <c r="G1097" s="146">
        <f aca="true" t="shared" si="53" ref="G1097:H1099">G1098</f>
        <v>1400050</v>
      </c>
      <c r="H1097" s="161">
        <f t="shared" si="53"/>
        <v>1389751</v>
      </c>
      <c r="I1097" s="161">
        <f t="shared" si="50"/>
        <v>99.26438341487804</v>
      </c>
      <c r="J1097" s="147"/>
    </row>
    <row r="1098" spans="1:10" s="148" customFormat="1" ht="31.5" outlineLevel="2">
      <c r="A1098" s="144" t="s">
        <v>1045</v>
      </c>
      <c r="B1098" s="145" t="s">
        <v>23</v>
      </c>
      <c r="C1098" s="145" t="s">
        <v>203</v>
      </c>
      <c r="D1098" s="145" t="s">
        <v>188</v>
      </c>
      <c r="E1098" s="145" t="s">
        <v>313</v>
      </c>
      <c r="F1098" s="145" t="s">
        <v>25</v>
      </c>
      <c r="G1098" s="146">
        <f t="shared" si="53"/>
        <v>1400050</v>
      </c>
      <c r="H1098" s="161">
        <f t="shared" si="53"/>
        <v>1389751</v>
      </c>
      <c r="I1098" s="161">
        <f t="shared" si="50"/>
        <v>99.26438341487804</v>
      </c>
      <c r="J1098" s="147"/>
    </row>
    <row r="1099" spans="1:10" s="148" customFormat="1" ht="63" outlineLevel="3">
      <c r="A1099" s="144" t="s">
        <v>953</v>
      </c>
      <c r="B1099" s="145" t="s">
        <v>23</v>
      </c>
      <c r="C1099" s="145" t="s">
        <v>203</v>
      </c>
      <c r="D1099" s="145" t="s">
        <v>188</v>
      </c>
      <c r="E1099" s="145" t="s">
        <v>954</v>
      </c>
      <c r="F1099" s="145" t="s">
        <v>25</v>
      </c>
      <c r="G1099" s="146">
        <f t="shared" si="53"/>
        <v>1400050</v>
      </c>
      <c r="H1099" s="161">
        <f t="shared" si="53"/>
        <v>1389751</v>
      </c>
      <c r="I1099" s="161">
        <f t="shared" si="50"/>
        <v>99.26438341487804</v>
      </c>
      <c r="J1099" s="147"/>
    </row>
    <row r="1100" spans="1:10" s="148" customFormat="1" ht="31.5" outlineLevel="4">
      <c r="A1100" s="144" t="s">
        <v>1046</v>
      </c>
      <c r="B1100" s="145" t="s">
        <v>23</v>
      </c>
      <c r="C1100" s="145" t="s">
        <v>203</v>
      </c>
      <c r="D1100" s="145" t="s">
        <v>188</v>
      </c>
      <c r="E1100" s="145" t="s">
        <v>1047</v>
      </c>
      <c r="F1100" s="145" t="s">
        <v>25</v>
      </c>
      <c r="G1100" s="146">
        <f>G1101+G1105</f>
        <v>1400050</v>
      </c>
      <c r="H1100" s="161">
        <f>H1101+H1105</f>
        <v>1389751</v>
      </c>
      <c r="I1100" s="161">
        <f t="shared" si="50"/>
        <v>99.26438341487804</v>
      </c>
      <c r="J1100" s="147"/>
    </row>
    <row r="1101" spans="1:9" ht="47.25" outlineLevel="5">
      <c r="A1101" s="149" t="s">
        <v>1048</v>
      </c>
      <c r="B1101" s="150" t="s">
        <v>23</v>
      </c>
      <c r="C1101" s="150" t="s">
        <v>203</v>
      </c>
      <c r="D1101" s="150" t="s">
        <v>188</v>
      </c>
      <c r="E1101" s="150" t="s">
        <v>1049</v>
      </c>
      <c r="F1101" s="150" t="s">
        <v>25</v>
      </c>
      <c r="G1101" s="151">
        <f>G1102</f>
        <v>817992.7999999999</v>
      </c>
      <c r="H1101" s="158">
        <f>H1102</f>
        <v>817396.4</v>
      </c>
      <c r="I1101" s="158">
        <f t="shared" si="50"/>
        <v>99.92708982279552</v>
      </c>
    </row>
    <row r="1102" spans="1:9" ht="31.5" outlineLevel="6">
      <c r="A1102" s="149" t="s">
        <v>353</v>
      </c>
      <c r="B1102" s="150" t="s">
        <v>23</v>
      </c>
      <c r="C1102" s="150" t="s">
        <v>203</v>
      </c>
      <c r="D1102" s="150" t="s">
        <v>188</v>
      </c>
      <c r="E1102" s="150" t="s">
        <v>1050</v>
      </c>
      <c r="F1102" s="150" t="s">
        <v>25</v>
      </c>
      <c r="G1102" s="151">
        <f>G1104+G1103</f>
        <v>817992.7999999999</v>
      </c>
      <c r="H1102" s="158">
        <f>H1104+H1103</f>
        <v>817396.4</v>
      </c>
      <c r="I1102" s="158">
        <f t="shared" si="50"/>
        <v>99.92708982279552</v>
      </c>
    </row>
    <row r="1103" spans="1:9" ht="94.5" outlineLevel="7">
      <c r="A1103" s="149" t="s">
        <v>323</v>
      </c>
      <c r="B1103" s="150" t="s">
        <v>23</v>
      </c>
      <c r="C1103" s="150" t="s">
        <v>203</v>
      </c>
      <c r="D1103" s="150" t="s">
        <v>188</v>
      </c>
      <c r="E1103" s="150" t="s">
        <v>1050</v>
      </c>
      <c r="F1103" s="150" t="s">
        <v>54</v>
      </c>
      <c r="G1103" s="151">
        <f>300000-60000-37057.2-9988.6</f>
        <v>192954.19999999998</v>
      </c>
      <c r="H1103" s="158">
        <v>192450</v>
      </c>
      <c r="I1103" s="158">
        <f t="shared" si="50"/>
        <v>99.73869446739175</v>
      </c>
    </row>
    <row r="1104" spans="1:9" ht="31.5" outlineLevel="7">
      <c r="A1104" s="149" t="s">
        <v>324</v>
      </c>
      <c r="B1104" s="150" t="s">
        <v>23</v>
      </c>
      <c r="C1104" s="150" t="s">
        <v>203</v>
      </c>
      <c r="D1104" s="150" t="s">
        <v>188</v>
      </c>
      <c r="E1104" s="150" t="s">
        <v>1050</v>
      </c>
      <c r="F1104" s="150" t="s">
        <v>325</v>
      </c>
      <c r="G1104" s="151">
        <f>580050+60000+13000-20000-8011.4</f>
        <v>625038.6</v>
      </c>
      <c r="H1104" s="158">
        <v>624946.4</v>
      </c>
      <c r="I1104" s="158">
        <f t="shared" si="50"/>
        <v>99.98524891102726</v>
      </c>
    </row>
    <row r="1105" spans="1:9" ht="78.75" outlineLevel="5">
      <c r="A1105" s="149" t="s">
        <v>1051</v>
      </c>
      <c r="B1105" s="150" t="s">
        <v>23</v>
      </c>
      <c r="C1105" s="150" t="s">
        <v>203</v>
      </c>
      <c r="D1105" s="150" t="s">
        <v>188</v>
      </c>
      <c r="E1105" s="150" t="s">
        <v>1052</v>
      </c>
      <c r="F1105" s="150" t="s">
        <v>25</v>
      </c>
      <c r="G1105" s="151">
        <f>G1106</f>
        <v>582057.2</v>
      </c>
      <c r="H1105" s="158">
        <f>H1106</f>
        <v>572354.6000000001</v>
      </c>
      <c r="I1105" s="158">
        <f t="shared" si="50"/>
        <v>98.33305042872077</v>
      </c>
    </row>
    <row r="1106" spans="1:9" ht="31.5" outlineLevel="6">
      <c r="A1106" s="149" t="s">
        <v>353</v>
      </c>
      <c r="B1106" s="150" t="s">
        <v>23</v>
      </c>
      <c r="C1106" s="150" t="s">
        <v>203</v>
      </c>
      <c r="D1106" s="150" t="s">
        <v>188</v>
      </c>
      <c r="E1106" s="150" t="s">
        <v>1053</v>
      </c>
      <c r="F1106" s="150" t="s">
        <v>25</v>
      </c>
      <c r="G1106" s="151">
        <f>G1108+G1107</f>
        <v>582057.2</v>
      </c>
      <c r="H1106" s="158">
        <f>H1108+H1107</f>
        <v>572354.6000000001</v>
      </c>
      <c r="I1106" s="158">
        <f t="shared" si="50"/>
        <v>98.33305042872077</v>
      </c>
    </row>
    <row r="1107" spans="1:9" ht="94.5" outlineLevel="7">
      <c r="A1107" s="149" t="s">
        <v>323</v>
      </c>
      <c r="B1107" s="150" t="s">
        <v>23</v>
      </c>
      <c r="C1107" s="150" t="s">
        <v>203</v>
      </c>
      <c r="D1107" s="150" t="s">
        <v>188</v>
      </c>
      <c r="E1107" s="150" t="s">
        <v>1053</v>
      </c>
      <c r="F1107" s="150" t="s">
        <v>54</v>
      </c>
      <c r="G1107" s="151">
        <f>240000+52104+18000</f>
        <v>310104</v>
      </c>
      <c r="H1107" s="158">
        <v>309969.4</v>
      </c>
      <c r="I1107" s="158">
        <f t="shared" si="50"/>
        <v>99.95659520676935</v>
      </c>
    </row>
    <row r="1108" spans="1:9" ht="31.5" outlineLevel="7">
      <c r="A1108" s="149" t="s">
        <v>324</v>
      </c>
      <c r="B1108" s="150" t="s">
        <v>23</v>
      </c>
      <c r="C1108" s="150" t="s">
        <v>203</v>
      </c>
      <c r="D1108" s="150" t="s">
        <v>188</v>
      </c>
      <c r="E1108" s="150" t="s">
        <v>1053</v>
      </c>
      <c r="F1108" s="150" t="s">
        <v>325</v>
      </c>
      <c r="G1108" s="151">
        <f>280000-13000+4953.2</f>
        <v>271953.2</v>
      </c>
      <c r="H1108" s="158">
        <v>262385.2</v>
      </c>
      <c r="I1108" s="158">
        <f t="shared" si="50"/>
        <v>96.48174759480675</v>
      </c>
    </row>
    <row r="1109" spans="1:10" s="148" customFormat="1" ht="47.25">
      <c r="A1109" s="144" t="s">
        <v>1054</v>
      </c>
      <c r="B1109" s="145" t="s">
        <v>157</v>
      </c>
      <c r="C1109" s="145" t="s">
        <v>189</v>
      </c>
      <c r="D1109" s="145" t="s">
        <v>189</v>
      </c>
      <c r="E1109" s="145" t="s">
        <v>313</v>
      </c>
      <c r="F1109" s="145" t="s">
        <v>25</v>
      </c>
      <c r="G1109" s="146">
        <f>G1110</f>
        <v>4606663.12</v>
      </c>
      <c r="H1109" s="161">
        <f>H1110</f>
        <v>4079152.5000000005</v>
      </c>
      <c r="I1109" s="161">
        <f>H1109/G1109*100</f>
        <v>88.5489647005054</v>
      </c>
      <c r="J1109" s="147">
        <v>4079152.5</v>
      </c>
    </row>
    <row r="1110" spans="1:10" s="148" customFormat="1" ht="15.75" outlineLevel="1">
      <c r="A1110" s="144" t="s">
        <v>314</v>
      </c>
      <c r="B1110" s="145" t="s">
        <v>157</v>
      </c>
      <c r="C1110" s="145" t="s">
        <v>188</v>
      </c>
      <c r="D1110" s="145" t="s">
        <v>189</v>
      </c>
      <c r="E1110" s="145" t="s">
        <v>313</v>
      </c>
      <c r="F1110" s="145" t="s">
        <v>25</v>
      </c>
      <c r="G1110" s="146">
        <f>G1111+G1132</f>
        <v>4606663.12</v>
      </c>
      <c r="H1110" s="161">
        <f>H1111+H1132</f>
        <v>4079152.5000000005</v>
      </c>
      <c r="I1110" s="161">
        <f aca="true" t="shared" si="54" ref="I1110:I1146">H1110/G1110*100</f>
        <v>88.5489647005054</v>
      </c>
      <c r="J1110" s="147">
        <f>H1109-J1109</f>
        <v>0</v>
      </c>
    </row>
    <row r="1111" spans="1:10" s="148" customFormat="1" ht="63" outlineLevel="2">
      <c r="A1111" s="144" t="s">
        <v>198</v>
      </c>
      <c r="B1111" s="145" t="s">
        <v>157</v>
      </c>
      <c r="C1111" s="145" t="s">
        <v>188</v>
      </c>
      <c r="D1111" s="145" t="s">
        <v>199</v>
      </c>
      <c r="E1111" s="145" t="s">
        <v>313</v>
      </c>
      <c r="F1111" s="145" t="s">
        <v>25</v>
      </c>
      <c r="G1111" s="146">
        <f>G1112+G1121</f>
        <v>4441116.62</v>
      </c>
      <c r="H1111" s="161">
        <f>H1112+H1121</f>
        <v>3962928.5700000003</v>
      </c>
      <c r="I1111" s="161">
        <f t="shared" si="54"/>
        <v>89.23270675112333</v>
      </c>
      <c r="J1111" s="147"/>
    </row>
    <row r="1112" spans="1:10" s="148" customFormat="1" ht="63" outlineLevel="3">
      <c r="A1112" s="144" t="s">
        <v>315</v>
      </c>
      <c r="B1112" s="145" t="s">
        <v>157</v>
      </c>
      <c r="C1112" s="145" t="s">
        <v>188</v>
      </c>
      <c r="D1112" s="145" t="s">
        <v>199</v>
      </c>
      <c r="E1112" s="145" t="s">
        <v>316</v>
      </c>
      <c r="F1112" s="145" t="s">
        <v>25</v>
      </c>
      <c r="G1112" s="146">
        <f>G1113</f>
        <v>73514</v>
      </c>
      <c r="H1112" s="161">
        <f>H1113</f>
        <v>23007</v>
      </c>
      <c r="I1112" s="161">
        <f t="shared" si="54"/>
        <v>31.296079658296378</v>
      </c>
      <c r="J1112" s="147"/>
    </row>
    <row r="1113" spans="1:10" s="148" customFormat="1" ht="31.5" outlineLevel="4">
      <c r="A1113" s="144" t="s">
        <v>317</v>
      </c>
      <c r="B1113" s="145" t="s">
        <v>157</v>
      </c>
      <c r="C1113" s="145" t="s">
        <v>188</v>
      </c>
      <c r="D1113" s="145" t="s">
        <v>199</v>
      </c>
      <c r="E1113" s="145" t="s">
        <v>318</v>
      </c>
      <c r="F1113" s="145" t="s">
        <v>25</v>
      </c>
      <c r="G1113" s="146">
        <f>G1114+G1118</f>
        <v>73514</v>
      </c>
      <c r="H1113" s="161">
        <f>H1114+H1118</f>
        <v>23007</v>
      </c>
      <c r="I1113" s="161">
        <f t="shared" si="54"/>
        <v>31.296079658296378</v>
      </c>
      <c r="J1113" s="147"/>
    </row>
    <row r="1114" spans="1:9" ht="63" outlineLevel="5">
      <c r="A1114" s="149" t="s">
        <v>337</v>
      </c>
      <c r="B1114" s="150" t="s">
        <v>157</v>
      </c>
      <c r="C1114" s="150" t="s">
        <v>188</v>
      </c>
      <c r="D1114" s="150" t="s">
        <v>199</v>
      </c>
      <c r="E1114" s="150" t="s">
        <v>320</v>
      </c>
      <c r="F1114" s="150" t="s">
        <v>25</v>
      </c>
      <c r="G1114" s="151">
        <f>G1115</f>
        <v>57400</v>
      </c>
      <c r="H1114" s="158">
        <f>H1115</f>
        <v>12945</v>
      </c>
      <c r="I1114" s="158">
        <f t="shared" si="54"/>
        <v>22.55226480836237</v>
      </c>
    </row>
    <row r="1115" spans="1:9" ht="31.5" outlineLevel="6">
      <c r="A1115" s="149" t="s">
        <v>321</v>
      </c>
      <c r="B1115" s="150" t="s">
        <v>157</v>
      </c>
      <c r="C1115" s="150" t="s">
        <v>188</v>
      </c>
      <c r="D1115" s="150" t="s">
        <v>199</v>
      </c>
      <c r="E1115" s="150" t="s">
        <v>322</v>
      </c>
      <c r="F1115" s="150" t="s">
        <v>25</v>
      </c>
      <c r="G1115" s="151">
        <f>G1117+G1116</f>
        <v>57400</v>
      </c>
      <c r="H1115" s="158">
        <f>H1117+H1116</f>
        <v>12945</v>
      </c>
      <c r="I1115" s="158">
        <f t="shared" si="54"/>
        <v>22.55226480836237</v>
      </c>
    </row>
    <row r="1116" spans="1:9" ht="94.5" outlineLevel="7">
      <c r="A1116" s="149" t="s">
        <v>323</v>
      </c>
      <c r="B1116" s="150" t="s">
        <v>157</v>
      </c>
      <c r="C1116" s="150" t="s">
        <v>188</v>
      </c>
      <c r="D1116" s="150" t="s">
        <v>199</v>
      </c>
      <c r="E1116" s="150" t="s">
        <v>322</v>
      </c>
      <c r="F1116" s="150" t="s">
        <v>54</v>
      </c>
      <c r="G1116" s="151">
        <v>30700</v>
      </c>
      <c r="H1116" s="158">
        <v>945</v>
      </c>
      <c r="I1116" s="158">
        <f t="shared" si="54"/>
        <v>3.0781758957654723</v>
      </c>
    </row>
    <row r="1117" spans="1:9" ht="31.5" outlineLevel="7">
      <c r="A1117" s="149" t="s">
        <v>324</v>
      </c>
      <c r="B1117" s="150" t="s">
        <v>157</v>
      </c>
      <c r="C1117" s="150" t="s">
        <v>188</v>
      </c>
      <c r="D1117" s="150" t="s">
        <v>199</v>
      </c>
      <c r="E1117" s="150" t="s">
        <v>322</v>
      </c>
      <c r="F1117" s="150" t="s">
        <v>325</v>
      </c>
      <c r="G1117" s="151">
        <v>26700</v>
      </c>
      <c r="H1117" s="158">
        <v>12000</v>
      </c>
      <c r="I1117" s="158">
        <f t="shared" si="54"/>
        <v>44.9438202247191</v>
      </c>
    </row>
    <row r="1118" spans="1:9" ht="15.75" outlineLevel="5">
      <c r="A1118" s="149" t="s">
        <v>338</v>
      </c>
      <c r="B1118" s="150" t="s">
        <v>157</v>
      </c>
      <c r="C1118" s="150" t="s">
        <v>188</v>
      </c>
      <c r="D1118" s="150" t="s">
        <v>199</v>
      </c>
      <c r="E1118" s="150" t="s">
        <v>339</v>
      </c>
      <c r="F1118" s="150" t="s">
        <v>25</v>
      </c>
      <c r="G1118" s="151">
        <f>G1119</f>
        <v>16114</v>
      </c>
      <c r="H1118" s="158">
        <f>H1119</f>
        <v>10062</v>
      </c>
      <c r="I1118" s="158">
        <f t="shared" si="54"/>
        <v>62.44259649993794</v>
      </c>
    </row>
    <row r="1119" spans="1:9" ht="31.5" outlineLevel="6">
      <c r="A1119" s="149" t="s">
        <v>321</v>
      </c>
      <c r="B1119" s="150" t="s">
        <v>157</v>
      </c>
      <c r="C1119" s="150" t="s">
        <v>188</v>
      </c>
      <c r="D1119" s="150" t="s">
        <v>199</v>
      </c>
      <c r="E1119" s="150" t="s">
        <v>340</v>
      </c>
      <c r="F1119" s="150" t="s">
        <v>25</v>
      </c>
      <c r="G1119" s="151">
        <f>G1120</f>
        <v>16114</v>
      </c>
      <c r="H1119" s="158">
        <f>H1120</f>
        <v>10062</v>
      </c>
      <c r="I1119" s="158">
        <f t="shared" si="54"/>
        <v>62.44259649993794</v>
      </c>
    </row>
    <row r="1120" spans="1:9" ht="31.5" outlineLevel="7">
      <c r="A1120" s="149" t="s">
        <v>324</v>
      </c>
      <c r="B1120" s="150" t="s">
        <v>157</v>
      </c>
      <c r="C1120" s="150" t="s">
        <v>188</v>
      </c>
      <c r="D1120" s="150" t="s">
        <v>199</v>
      </c>
      <c r="E1120" s="150" t="s">
        <v>340</v>
      </c>
      <c r="F1120" s="150" t="s">
        <v>325</v>
      </c>
      <c r="G1120" s="151">
        <v>16114</v>
      </c>
      <c r="H1120" s="158">
        <v>10062</v>
      </c>
      <c r="I1120" s="158">
        <f t="shared" si="54"/>
        <v>62.44259649993794</v>
      </c>
    </row>
    <row r="1121" spans="1:10" s="148" customFormat="1" ht="15.75" outlineLevel="3">
      <c r="A1121" s="144" t="s">
        <v>329</v>
      </c>
      <c r="B1121" s="145" t="s">
        <v>157</v>
      </c>
      <c r="C1121" s="145" t="s">
        <v>188</v>
      </c>
      <c r="D1121" s="145" t="s">
        <v>199</v>
      </c>
      <c r="E1121" s="145" t="s">
        <v>330</v>
      </c>
      <c r="F1121" s="145" t="s">
        <v>25</v>
      </c>
      <c r="G1121" s="146">
        <f>G1122+G1124+G1128+G1130+G1126</f>
        <v>4367602.62</v>
      </c>
      <c r="H1121" s="161">
        <f>H1122+H1124+H1128+H1130+H1126</f>
        <v>3939921.5700000003</v>
      </c>
      <c r="I1121" s="161">
        <f t="shared" si="54"/>
        <v>90.20787632918858</v>
      </c>
      <c r="J1121" s="147"/>
    </row>
    <row r="1122" spans="1:9" ht="63" outlineLevel="6">
      <c r="A1122" s="149" t="s">
        <v>1055</v>
      </c>
      <c r="B1122" s="150" t="s">
        <v>157</v>
      </c>
      <c r="C1122" s="150" t="s">
        <v>188</v>
      </c>
      <c r="D1122" s="150" t="s">
        <v>199</v>
      </c>
      <c r="E1122" s="150" t="s">
        <v>1056</v>
      </c>
      <c r="F1122" s="150" t="s">
        <v>25</v>
      </c>
      <c r="G1122" s="151">
        <f>G1123</f>
        <v>1728777.79</v>
      </c>
      <c r="H1122" s="158">
        <f>H1123</f>
        <v>1638723.67</v>
      </c>
      <c r="I1122" s="158">
        <f t="shared" si="54"/>
        <v>94.79087939925466</v>
      </c>
    </row>
    <row r="1123" spans="1:9" ht="94.5" outlineLevel="7">
      <c r="A1123" s="149" t="s">
        <v>323</v>
      </c>
      <c r="B1123" s="150" t="s">
        <v>157</v>
      </c>
      <c r="C1123" s="150" t="s">
        <v>188</v>
      </c>
      <c r="D1123" s="150" t="s">
        <v>199</v>
      </c>
      <c r="E1123" s="150" t="s">
        <v>1056</v>
      </c>
      <c r="F1123" s="150" t="s">
        <v>54</v>
      </c>
      <c r="G1123" s="151">
        <f>1299819+328873.41+125144.25-2814.64-13244.23-6000-3000</f>
        <v>1728777.79</v>
      </c>
      <c r="H1123" s="158">
        <v>1638723.67</v>
      </c>
      <c r="I1123" s="158">
        <f t="shared" si="54"/>
        <v>94.79087939925466</v>
      </c>
    </row>
    <row r="1124" spans="1:9" ht="31.5" outlineLevel="6">
      <c r="A1124" s="149" t="s">
        <v>343</v>
      </c>
      <c r="B1124" s="150" t="s">
        <v>157</v>
      </c>
      <c r="C1124" s="150" t="s">
        <v>188</v>
      </c>
      <c r="D1124" s="150" t="s">
        <v>199</v>
      </c>
      <c r="E1124" s="150" t="s">
        <v>344</v>
      </c>
      <c r="F1124" s="150" t="s">
        <v>25</v>
      </c>
      <c r="G1124" s="151">
        <f>G1125</f>
        <v>1971401</v>
      </c>
      <c r="H1124" s="158">
        <f>H1125</f>
        <v>1633774.07</v>
      </c>
      <c r="I1124" s="158">
        <f t="shared" si="54"/>
        <v>82.87375678514924</v>
      </c>
    </row>
    <row r="1125" spans="1:9" ht="94.5" outlineLevel="7">
      <c r="A1125" s="149" t="s">
        <v>323</v>
      </c>
      <c r="B1125" s="150" t="s">
        <v>157</v>
      </c>
      <c r="C1125" s="150" t="s">
        <v>188</v>
      </c>
      <c r="D1125" s="150" t="s">
        <v>199</v>
      </c>
      <c r="E1125" s="150" t="s">
        <v>344</v>
      </c>
      <c r="F1125" s="150" t="s">
        <v>54</v>
      </c>
      <c r="G1125" s="151">
        <f>2047661-60000-16260</f>
        <v>1971401</v>
      </c>
      <c r="H1125" s="158">
        <v>1633774.07</v>
      </c>
      <c r="I1125" s="158">
        <f t="shared" si="54"/>
        <v>82.87375678514924</v>
      </c>
    </row>
    <row r="1126" spans="1:9" ht="31.5" outlineLevel="7">
      <c r="A1126" s="149" t="s">
        <v>321</v>
      </c>
      <c r="B1126" s="150" t="s">
        <v>157</v>
      </c>
      <c r="C1126" s="150" t="s">
        <v>188</v>
      </c>
      <c r="D1126" s="150" t="s">
        <v>199</v>
      </c>
      <c r="E1126" s="150" t="s">
        <v>1057</v>
      </c>
      <c r="F1126" s="150" t="s">
        <v>25</v>
      </c>
      <c r="G1126" s="151">
        <f>G1127</f>
        <v>76260</v>
      </c>
      <c r="H1126" s="158">
        <f>H1127</f>
        <v>76260</v>
      </c>
      <c r="I1126" s="158">
        <f t="shared" si="54"/>
        <v>100</v>
      </c>
    </row>
    <row r="1127" spans="1:9" ht="31.5" outlineLevel="7">
      <c r="A1127" s="149" t="s">
        <v>324</v>
      </c>
      <c r="B1127" s="150" t="s">
        <v>157</v>
      </c>
      <c r="C1127" s="150" t="s">
        <v>188</v>
      </c>
      <c r="D1127" s="150" t="s">
        <v>199</v>
      </c>
      <c r="E1127" s="150" t="s">
        <v>1057</v>
      </c>
      <c r="F1127" s="150" t="s">
        <v>325</v>
      </c>
      <c r="G1127" s="151">
        <f>76260</f>
        <v>76260</v>
      </c>
      <c r="H1127" s="158">
        <f>76260</f>
        <v>76260</v>
      </c>
      <c r="I1127" s="158">
        <f t="shared" si="54"/>
        <v>100</v>
      </c>
    </row>
    <row r="1128" spans="1:9" ht="63" outlineLevel="6">
      <c r="A1128" s="149" t="s">
        <v>345</v>
      </c>
      <c r="B1128" s="150" t="s">
        <v>157</v>
      </c>
      <c r="C1128" s="150" t="s">
        <v>188</v>
      </c>
      <c r="D1128" s="150" t="s">
        <v>199</v>
      </c>
      <c r="E1128" s="150" t="s">
        <v>346</v>
      </c>
      <c r="F1128" s="150" t="s">
        <v>25</v>
      </c>
      <c r="G1128" s="151">
        <f>G1129</f>
        <v>533598.17</v>
      </c>
      <c r="H1128" s="158">
        <f>H1129</f>
        <v>533598.17</v>
      </c>
      <c r="I1128" s="158">
        <f t="shared" si="54"/>
        <v>100</v>
      </c>
    </row>
    <row r="1129" spans="1:9" ht="94.5" outlineLevel="7">
      <c r="A1129" s="149" t="s">
        <v>323</v>
      </c>
      <c r="B1129" s="150" t="s">
        <v>157</v>
      </c>
      <c r="C1129" s="150" t="s">
        <v>188</v>
      </c>
      <c r="D1129" s="150" t="s">
        <v>199</v>
      </c>
      <c r="E1129" s="150" t="s">
        <v>346</v>
      </c>
      <c r="F1129" s="150" t="s">
        <v>54</v>
      </c>
      <c r="G1129" s="151">
        <f>548195-1159.63-13437.2</f>
        <v>533598.17</v>
      </c>
      <c r="H1129" s="158">
        <f>548195-1159.63-13437.2</f>
        <v>533598.17</v>
      </c>
      <c r="I1129" s="158">
        <f t="shared" si="54"/>
        <v>100</v>
      </c>
    </row>
    <row r="1130" spans="1:9" ht="78.75" outlineLevel="6">
      <c r="A1130" s="149" t="s">
        <v>335</v>
      </c>
      <c r="B1130" s="150" t="s">
        <v>157</v>
      </c>
      <c r="C1130" s="150" t="s">
        <v>188</v>
      </c>
      <c r="D1130" s="150" t="s">
        <v>199</v>
      </c>
      <c r="E1130" s="150" t="s">
        <v>336</v>
      </c>
      <c r="F1130" s="150" t="s">
        <v>25</v>
      </c>
      <c r="G1130" s="151">
        <f>G1131</f>
        <v>57565.66</v>
      </c>
      <c r="H1130" s="158">
        <f>H1131</f>
        <v>57565.66</v>
      </c>
      <c r="I1130" s="158">
        <f t="shared" si="54"/>
        <v>100</v>
      </c>
    </row>
    <row r="1131" spans="1:9" ht="94.5" outlineLevel="7">
      <c r="A1131" s="149" t="s">
        <v>323</v>
      </c>
      <c r="B1131" s="150" t="s">
        <v>157</v>
      </c>
      <c r="C1131" s="150" t="s">
        <v>188</v>
      </c>
      <c r="D1131" s="150" t="s">
        <v>199</v>
      </c>
      <c r="E1131" s="150" t="s">
        <v>336</v>
      </c>
      <c r="F1131" s="150" t="s">
        <v>54</v>
      </c>
      <c r="G1131" s="151">
        <f>86000-28434.34</f>
        <v>57565.66</v>
      </c>
      <c r="H1131" s="158">
        <f>86000-28434.34</f>
        <v>57565.66</v>
      </c>
      <c r="I1131" s="158">
        <f t="shared" si="54"/>
        <v>100</v>
      </c>
    </row>
    <row r="1132" spans="1:10" s="148" customFormat="1" ht="15.75" outlineLevel="2">
      <c r="A1132" s="144" t="s">
        <v>204</v>
      </c>
      <c r="B1132" s="145" t="s">
        <v>157</v>
      </c>
      <c r="C1132" s="145" t="s">
        <v>188</v>
      </c>
      <c r="D1132" s="145" t="s">
        <v>205</v>
      </c>
      <c r="E1132" s="145" t="s">
        <v>313</v>
      </c>
      <c r="F1132" s="145" t="s">
        <v>25</v>
      </c>
      <c r="G1132" s="146">
        <f>G1133+G1141</f>
        <v>165546.5</v>
      </c>
      <c r="H1132" s="161">
        <f>H1133+H1141</f>
        <v>116223.93</v>
      </c>
      <c r="I1132" s="161">
        <f t="shared" si="54"/>
        <v>70.2062139640524</v>
      </c>
      <c r="J1132" s="147"/>
    </row>
    <row r="1133" spans="1:10" s="148" customFormat="1" ht="47.25" outlineLevel="3">
      <c r="A1133" s="144" t="s">
        <v>347</v>
      </c>
      <c r="B1133" s="145" t="s">
        <v>157</v>
      </c>
      <c r="C1133" s="145" t="s">
        <v>188</v>
      </c>
      <c r="D1133" s="145" t="s">
        <v>205</v>
      </c>
      <c r="E1133" s="145" t="s">
        <v>348</v>
      </c>
      <c r="F1133" s="145" t="s">
        <v>25</v>
      </c>
      <c r="G1133" s="146">
        <f>G1134</f>
        <v>156546.5</v>
      </c>
      <c r="H1133" s="161">
        <f>H1134</f>
        <v>107223.93</v>
      </c>
      <c r="I1133" s="161">
        <f t="shared" si="54"/>
        <v>68.49334223377717</v>
      </c>
      <c r="J1133" s="147"/>
    </row>
    <row r="1134" spans="1:10" s="148" customFormat="1" ht="47.25" outlineLevel="4">
      <c r="A1134" s="144" t="s">
        <v>349</v>
      </c>
      <c r="B1134" s="145" t="s">
        <v>157</v>
      </c>
      <c r="C1134" s="145" t="s">
        <v>188</v>
      </c>
      <c r="D1134" s="145" t="s">
        <v>205</v>
      </c>
      <c r="E1134" s="145" t="s">
        <v>350</v>
      </c>
      <c r="F1134" s="145" t="s">
        <v>25</v>
      </c>
      <c r="G1134" s="146">
        <f>G1135+G1138</f>
        <v>156546.5</v>
      </c>
      <c r="H1134" s="161">
        <f>H1135+H1138</f>
        <v>107223.93</v>
      </c>
      <c r="I1134" s="161">
        <f t="shared" si="54"/>
        <v>68.49334223377717</v>
      </c>
      <c r="J1134" s="147"/>
    </row>
    <row r="1135" spans="1:9" ht="47.25" outlineLevel="5">
      <c r="A1135" s="149" t="s">
        <v>351</v>
      </c>
      <c r="B1135" s="150" t="s">
        <v>157</v>
      </c>
      <c r="C1135" s="150" t="s">
        <v>188</v>
      </c>
      <c r="D1135" s="150" t="s">
        <v>205</v>
      </c>
      <c r="E1135" s="150" t="s">
        <v>352</v>
      </c>
      <c r="F1135" s="150" t="s">
        <v>25</v>
      </c>
      <c r="G1135" s="151">
        <f>G1136</f>
        <v>60000</v>
      </c>
      <c r="H1135" s="158">
        <f>H1136</f>
        <v>20160</v>
      </c>
      <c r="I1135" s="158">
        <f t="shared" si="54"/>
        <v>33.6</v>
      </c>
    </row>
    <row r="1136" spans="1:9" ht="31.5" outlineLevel="6">
      <c r="A1136" s="149" t="s">
        <v>353</v>
      </c>
      <c r="B1136" s="150" t="s">
        <v>157</v>
      </c>
      <c r="C1136" s="150" t="s">
        <v>188</v>
      </c>
      <c r="D1136" s="150" t="s">
        <v>205</v>
      </c>
      <c r="E1136" s="150" t="s">
        <v>354</v>
      </c>
      <c r="F1136" s="150" t="s">
        <v>25</v>
      </c>
      <c r="G1136" s="151">
        <f>G1137</f>
        <v>60000</v>
      </c>
      <c r="H1136" s="158">
        <f>H1137</f>
        <v>20160</v>
      </c>
      <c r="I1136" s="158">
        <f t="shared" si="54"/>
        <v>33.6</v>
      </c>
    </row>
    <row r="1137" spans="1:9" ht="31.5" outlineLevel="7">
      <c r="A1137" s="149" t="s">
        <v>324</v>
      </c>
      <c r="B1137" s="150" t="s">
        <v>157</v>
      </c>
      <c r="C1137" s="150" t="s">
        <v>188</v>
      </c>
      <c r="D1137" s="150" t="s">
        <v>205</v>
      </c>
      <c r="E1137" s="150" t="s">
        <v>354</v>
      </c>
      <c r="F1137" s="150" t="s">
        <v>325</v>
      </c>
      <c r="G1137" s="151">
        <v>60000</v>
      </c>
      <c r="H1137" s="158">
        <v>20160</v>
      </c>
      <c r="I1137" s="158">
        <f t="shared" si="54"/>
        <v>33.6</v>
      </c>
    </row>
    <row r="1138" spans="1:9" ht="47.25" outlineLevel="5">
      <c r="A1138" s="149" t="s">
        <v>355</v>
      </c>
      <c r="B1138" s="150" t="s">
        <v>157</v>
      </c>
      <c r="C1138" s="150" t="s">
        <v>188</v>
      </c>
      <c r="D1138" s="150" t="s">
        <v>205</v>
      </c>
      <c r="E1138" s="150" t="s">
        <v>356</v>
      </c>
      <c r="F1138" s="150" t="s">
        <v>25</v>
      </c>
      <c r="G1138" s="151">
        <f>G1139</f>
        <v>96546.5</v>
      </c>
      <c r="H1138" s="158">
        <f>H1139</f>
        <v>87063.93</v>
      </c>
      <c r="I1138" s="158">
        <f t="shared" si="54"/>
        <v>90.17823535809168</v>
      </c>
    </row>
    <row r="1139" spans="1:9" ht="31.5" outlineLevel="6">
      <c r="A1139" s="149" t="s">
        <v>353</v>
      </c>
      <c r="B1139" s="150" t="s">
        <v>157</v>
      </c>
      <c r="C1139" s="150" t="s">
        <v>188</v>
      </c>
      <c r="D1139" s="150" t="s">
        <v>205</v>
      </c>
      <c r="E1139" s="150" t="s">
        <v>357</v>
      </c>
      <c r="F1139" s="150" t="s">
        <v>25</v>
      </c>
      <c r="G1139" s="151">
        <f>G1140</f>
        <v>96546.5</v>
      </c>
      <c r="H1139" s="158">
        <f>H1140</f>
        <v>87063.93</v>
      </c>
      <c r="I1139" s="158">
        <f t="shared" si="54"/>
        <v>90.17823535809168</v>
      </c>
    </row>
    <row r="1140" spans="1:9" ht="31.5" outlineLevel="6">
      <c r="A1140" s="149" t="s">
        <v>324</v>
      </c>
      <c r="B1140" s="150" t="s">
        <v>157</v>
      </c>
      <c r="C1140" s="150" t="s">
        <v>188</v>
      </c>
      <c r="D1140" s="150" t="s">
        <v>205</v>
      </c>
      <c r="E1140" s="150" t="s">
        <v>357</v>
      </c>
      <c r="F1140" s="150" t="s">
        <v>325</v>
      </c>
      <c r="G1140" s="151">
        <v>96546.5</v>
      </c>
      <c r="H1140" s="158">
        <v>87063.93</v>
      </c>
      <c r="I1140" s="158">
        <f t="shared" si="54"/>
        <v>90.17823535809168</v>
      </c>
    </row>
    <row r="1141" spans="1:9" ht="15.75" outlineLevel="6">
      <c r="A1141" s="144" t="s">
        <v>329</v>
      </c>
      <c r="B1141" s="145" t="s">
        <v>157</v>
      </c>
      <c r="C1141" s="145" t="s">
        <v>188</v>
      </c>
      <c r="D1141" s="145" t="s">
        <v>205</v>
      </c>
      <c r="E1141" s="145" t="s">
        <v>330</v>
      </c>
      <c r="F1141" s="145" t="s">
        <v>25</v>
      </c>
      <c r="G1141" s="146">
        <f>G1144+G1142</f>
        <v>9000</v>
      </c>
      <c r="H1141" s="161">
        <f>H1144+H1142</f>
        <v>9000</v>
      </c>
      <c r="I1141" s="161">
        <f t="shared" si="54"/>
        <v>100</v>
      </c>
    </row>
    <row r="1142" spans="1:9" ht="47.25" outlineLevel="6">
      <c r="A1142" s="149" t="s">
        <v>1058</v>
      </c>
      <c r="B1142" s="150" t="s">
        <v>157</v>
      </c>
      <c r="C1142" s="150" t="s">
        <v>188</v>
      </c>
      <c r="D1142" s="150" t="s">
        <v>205</v>
      </c>
      <c r="E1142" s="150" t="s">
        <v>1059</v>
      </c>
      <c r="F1142" s="150" t="s">
        <v>25</v>
      </c>
      <c r="G1142" s="151">
        <f>G1143</f>
        <v>3000</v>
      </c>
      <c r="H1142" s="158">
        <f>H1143</f>
        <v>3000</v>
      </c>
      <c r="I1142" s="158">
        <f t="shared" si="54"/>
        <v>100</v>
      </c>
    </row>
    <row r="1143" spans="1:9" ht="15.75" outlineLevel="6">
      <c r="A1143" s="167" t="s">
        <v>411</v>
      </c>
      <c r="B1143" s="150" t="s">
        <v>157</v>
      </c>
      <c r="C1143" s="150" t="s">
        <v>188</v>
      </c>
      <c r="D1143" s="150" t="s">
        <v>205</v>
      </c>
      <c r="E1143" s="150" t="s">
        <v>1059</v>
      </c>
      <c r="F1143" s="150" t="s">
        <v>293</v>
      </c>
      <c r="G1143" s="151">
        <f>3000</f>
        <v>3000</v>
      </c>
      <c r="H1143" s="158">
        <f>3000</f>
        <v>3000</v>
      </c>
      <c r="I1143" s="158">
        <f t="shared" si="54"/>
        <v>100</v>
      </c>
    </row>
    <row r="1144" spans="1:9" ht="31.5" outlineLevel="6">
      <c r="A1144" s="149" t="s">
        <v>460</v>
      </c>
      <c r="B1144" s="150" t="s">
        <v>157</v>
      </c>
      <c r="C1144" s="150" t="s">
        <v>188</v>
      </c>
      <c r="D1144" s="150" t="s">
        <v>205</v>
      </c>
      <c r="E1144" s="150" t="s">
        <v>461</v>
      </c>
      <c r="F1144" s="150" t="s">
        <v>25</v>
      </c>
      <c r="G1144" s="151">
        <f>G1145</f>
        <v>6000</v>
      </c>
      <c r="H1144" s="158">
        <f>H1145</f>
        <v>6000</v>
      </c>
      <c r="I1144" s="158">
        <f t="shared" si="54"/>
        <v>100</v>
      </c>
    </row>
    <row r="1145" spans="1:9" ht="15.75" outlineLevel="6">
      <c r="A1145" s="167" t="s">
        <v>411</v>
      </c>
      <c r="B1145" s="150" t="s">
        <v>157</v>
      </c>
      <c r="C1145" s="150" t="s">
        <v>188</v>
      </c>
      <c r="D1145" s="150" t="s">
        <v>205</v>
      </c>
      <c r="E1145" s="150" t="s">
        <v>461</v>
      </c>
      <c r="F1145" s="150" t="s">
        <v>293</v>
      </c>
      <c r="G1145" s="151">
        <f>6000</f>
        <v>6000</v>
      </c>
      <c r="H1145" s="158">
        <f>6000</f>
        <v>6000</v>
      </c>
      <c r="I1145" s="158">
        <f t="shared" si="54"/>
        <v>100</v>
      </c>
    </row>
    <row r="1146" spans="1:10" s="148" customFormat="1" ht="21.75" customHeight="1" outlineLevel="7">
      <c r="A1146" s="196" t="s">
        <v>1060</v>
      </c>
      <c r="B1146" s="197"/>
      <c r="C1146" s="197"/>
      <c r="D1146" s="197"/>
      <c r="E1146" s="197"/>
      <c r="F1146" s="198"/>
      <c r="G1146" s="146">
        <f>G1109+G917+G650+G589+G305+G62+G9</f>
        <v>2318089369.2300005</v>
      </c>
      <c r="H1146" s="161">
        <f>H1109+H917+H650+H589+H305+H62+H9</f>
        <v>2283168787.713</v>
      </c>
      <c r="I1146" s="161">
        <f t="shared" si="54"/>
        <v>98.49356189711528</v>
      </c>
      <c r="J1146" s="147"/>
    </row>
    <row r="1147" spans="1:9" ht="12.75" customHeight="1">
      <c r="A1147" s="181"/>
      <c r="B1147" s="181"/>
      <c r="C1147" s="181"/>
      <c r="D1147" s="181"/>
      <c r="E1147" s="181"/>
      <c r="F1147" s="181"/>
      <c r="G1147" s="181"/>
      <c r="H1147" s="186"/>
      <c r="I1147" s="186"/>
    </row>
    <row r="1148" spans="7:9" ht="15.75" hidden="1">
      <c r="G1148" s="138">
        <v>2324114390.89</v>
      </c>
      <c r="H1148" s="187">
        <v>2324114390.89</v>
      </c>
      <c r="I1148" s="187">
        <v>855338484.55</v>
      </c>
    </row>
    <row r="1149" spans="7:9" ht="15.75" hidden="1">
      <c r="G1149" s="138"/>
      <c r="H1149" s="187"/>
      <c r="I1149" s="187"/>
    </row>
    <row r="1150" spans="7:9" ht="15.75" hidden="1">
      <c r="G1150" s="138">
        <f>G1146-G1148</f>
        <v>-6025021.659999371</v>
      </c>
      <c r="H1150" s="187">
        <f>H1146-H1148</f>
        <v>-40945603.177000046</v>
      </c>
      <c r="I1150" s="187">
        <f>I1146-I1148</f>
        <v>-855338386.0564381</v>
      </c>
    </row>
    <row r="1151" spans="7:9" ht="15.75" hidden="1">
      <c r="G1151" s="138"/>
      <c r="H1151" s="187"/>
      <c r="I1151" s="187"/>
    </row>
    <row r="1152" spans="5:9" ht="15.75" hidden="1">
      <c r="E1152" s="139" t="s">
        <v>1061</v>
      </c>
      <c r="G1152" s="138">
        <f>-2095547.2-551067.8</f>
        <v>-2646615</v>
      </c>
      <c r="H1152" s="187">
        <f>-2095547.2-551067.8</f>
        <v>-2646615</v>
      </c>
      <c r="I1152" s="187">
        <f>-(138354.69+3510.4+35654.23+292080.68+81467.8)</f>
        <v>-551067.8</v>
      </c>
    </row>
    <row r="1153" spans="5:9" ht="15.75" hidden="1">
      <c r="E1153" s="139" t="s">
        <v>1062</v>
      </c>
      <c r="G1153" s="138">
        <v>-114132.36</v>
      </c>
      <c r="H1153" s="187">
        <v>-114132.36</v>
      </c>
      <c r="I1153" s="187"/>
    </row>
    <row r="1154" spans="5:9" ht="15.75" hidden="1">
      <c r="E1154" s="139" t="s">
        <v>1063</v>
      </c>
      <c r="G1154" s="138">
        <v>-4068595.15</v>
      </c>
      <c r="H1154" s="187">
        <v>-4068595.15</v>
      </c>
      <c r="I1154" s="187">
        <v>-4068595.15</v>
      </c>
    </row>
    <row r="1155" spans="5:9" ht="15.75" hidden="1">
      <c r="E1155" s="139" t="s">
        <v>1064</v>
      </c>
      <c r="G1155" s="138">
        <f>239271.15+972484.73</f>
        <v>1211755.88</v>
      </c>
      <c r="H1155" s="187">
        <f>239271.15+972484.73</f>
        <v>1211755.88</v>
      </c>
      <c r="I1155" s="187">
        <v>239271.15</v>
      </c>
    </row>
    <row r="1156" spans="5:9" ht="15.75" hidden="1">
      <c r="E1156" s="139" t="s">
        <v>1065</v>
      </c>
      <c r="G1156" s="138">
        <f>1047812.95-1455247.98</f>
        <v>-407435.03</v>
      </c>
      <c r="H1156" s="187">
        <f>1047812.95-1455247.98</f>
        <v>-407435.03</v>
      </c>
      <c r="I1156" s="187"/>
    </row>
    <row r="1157" spans="5:8" ht="15.75" hidden="1">
      <c r="E1157" s="138"/>
      <c r="G1157" s="138"/>
      <c r="H1157" s="187"/>
    </row>
    <row r="1158" spans="7:9" ht="15.75" hidden="1">
      <c r="G1158" s="138">
        <f>G1152+G1153+G1154+G1155+G1156</f>
        <v>-6025021.66</v>
      </c>
      <c r="H1158" s="187">
        <f>H1152+H1153+H1154+H1155+H1156</f>
        <v>-6025021.66</v>
      </c>
      <c r="I1158" s="187">
        <f>I1152+I1153+I1154+I1155+I1156</f>
        <v>-4380391.8</v>
      </c>
    </row>
    <row r="1159" ht="15.75" hidden="1"/>
    <row r="1160" spans="7:8" ht="15.75" hidden="1">
      <c r="G1160" s="138">
        <f>G1158-G1150</f>
        <v>-6.295740604400635E-07</v>
      </c>
      <c r="H1160" s="187">
        <f>H1158-H1150</f>
        <v>34920581.51700005</v>
      </c>
    </row>
    <row r="1161" ht="15.75" hidden="1"/>
    <row r="1162" ht="15.75" hidden="1"/>
  </sheetData>
  <sheetProtection/>
  <mergeCells count="5">
    <mergeCell ref="A1146:F1146"/>
    <mergeCell ref="A5:I5"/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6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9.00390625" style="62" customWidth="1"/>
    <col min="2" max="3" width="12.75390625" style="62" customWidth="1"/>
    <col min="4" max="4" width="19.75390625" style="77" customWidth="1"/>
    <col min="5" max="5" width="21.00390625" style="77" customWidth="1"/>
    <col min="6" max="6" width="21.375" style="62" customWidth="1"/>
    <col min="7" max="7" width="23.625" style="62" bestFit="1" customWidth="1"/>
    <col min="8" max="8" width="21.125" style="62" bestFit="1" customWidth="1"/>
    <col min="9" max="16384" width="9.125" style="62" customWidth="1"/>
  </cols>
  <sheetData>
    <row r="1" spans="1:7" ht="15.75">
      <c r="A1" s="201" t="s">
        <v>181</v>
      </c>
      <c r="B1" s="201"/>
      <c r="C1" s="201"/>
      <c r="D1" s="201"/>
      <c r="E1" s="201"/>
      <c r="F1" s="201"/>
      <c r="G1" s="61"/>
    </row>
    <row r="2" spans="1:7" ht="15.75">
      <c r="A2" s="201" t="s">
        <v>71</v>
      </c>
      <c r="B2" s="201"/>
      <c r="C2" s="201"/>
      <c r="D2" s="201"/>
      <c r="E2" s="201"/>
      <c r="F2" s="201"/>
      <c r="G2" s="61"/>
    </row>
    <row r="3" spans="1:7" ht="15.75">
      <c r="A3" s="201" t="s">
        <v>297</v>
      </c>
      <c r="B3" s="201"/>
      <c r="C3" s="201"/>
      <c r="D3" s="201"/>
      <c r="E3" s="201"/>
      <c r="F3" s="201"/>
      <c r="G3" s="61"/>
    </row>
    <row r="4" spans="1:5" ht="15.75">
      <c r="A4" s="61"/>
      <c r="B4" s="61"/>
      <c r="C4" s="61"/>
      <c r="D4" s="61"/>
      <c r="E4" s="61"/>
    </row>
    <row r="5" spans="1:6" ht="15.75">
      <c r="A5" s="202" t="s">
        <v>298</v>
      </c>
      <c r="B5" s="202"/>
      <c r="C5" s="202"/>
      <c r="D5" s="202"/>
      <c r="E5" s="202"/>
      <c r="F5" s="202"/>
    </row>
    <row r="6" spans="1:6" ht="15.75">
      <c r="A6" s="202" t="s">
        <v>182</v>
      </c>
      <c r="B6" s="202"/>
      <c r="C6" s="202"/>
      <c r="D6" s="202"/>
      <c r="E6" s="202"/>
      <c r="F6" s="202"/>
    </row>
    <row r="7" spans="4:6" ht="15.75">
      <c r="D7" s="63"/>
      <c r="E7" s="63"/>
      <c r="F7" s="63"/>
    </row>
    <row r="8" spans="1:6" ht="31.5">
      <c r="A8" s="64" t="s">
        <v>41</v>
      </c>
      <c r="B8" s="64" t="s">
        <v>183</v>
      </c>
      <c r="C8" s="64" t="s">
        <v>184</v>
      </c>
      <c r="D8" s="64" t="s">
        <v>185</v>
      </c>
      <c r="E8" s="64" t="s">
        <v>186</v>
      </c>
      <c r="F8" s="65" t="s">
        <v>67</v>
      </c>
    </row>
    <row r="9" spans="1:6" ht="15.7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6">
        <v>6</v>
      </c>
    </row>
    <row r="10" spans="1:8" s="71" customFormat="1" ht="20.25">
      <c r="A10" s="67" t="s">
        <v>187</v>
      </c>
      <c r="B10" s="68" t="s">
        <v>188</v>
      </c>
      <c r="C10" s="68" t="s">
        <v>189</v>
      </c>
      <c r="D10" s="69">
        <f>SUM(D11:D18)</f>
        <v>210472819.11</v>
      </c>
      <c r="E10" s="69">
        <f>SUM(E11:E18)</f>
        <v>206087592.79000002</v>
      </c>
      <c r="F10" s="69">
        <f>ROUND(E10/D10*100,2)</f>
        <v>97.92</v>
      </c>
      <c r="G10" s="70"/>
      <c r="H10" s="70"/>
    </row>
    <row r="11" spans="1:6" s="71" customFormat="1" ht="63">
      <c r="A11" s="72" t="s">
        <v>190</v>
      </c>
      <c r="B11" s="73" t="s">
        <v>188</v>
      </c>
      <c r="C11" s="73" t="s">
        <v>191</v>
      </c>
      <c r="D11" s="74">
        <v>2383890.23</v>
      </c>
      <c r="E11" s="74">
        <v>2329427.22</v>
      </c>
      <c r="F11" s="74">
        <f aca="true" t="shared" si="0" ref="F11:F54">ROUND(E11/D11*100,2)</f>
        <v>97.72</v>
      </c>
    </row>
    <row r="12" spans="1:6" ht="78.75">
      <c r="A12" s="72" t="s">
        <v>192</v>
      </c>
      <c r="B12" s="73" t="s">
        <v>188</v>
      </c>
      <c r="C12" s="73" t="s">
        <v>193</v>
      </c>
      <c r="D12" s="74">
        <v>3474648.95</v>
      </c>
      <c r="E12" s="74">
        <v>3464523.29</v>
      </c>
      <c r="F12" s="74">
        <f t="shared" si="0"/>
        <v>99.71</v>
      </c>
    </row>
    <row r="13" spans="1:6" ht="94.5">
      <c r="A13" s="72" t="s">
        <v>194</v>
      </c>
      <c r="B13" s="73" t="s">
        <v>188</v>
      </c>
      <c r="C13" s="73" t="s">
        <v>195</v>
      </c>
      <c r="D13" s="74">
        <v>79991968.28</v>
      </c>
      <c r="E13" s="74">
        <v>78453164.03</v>
      </c>
      <c r="F13" s="74">
        <f t="shared" si="0"/>
        <v>98.08</v>
      </c>
    </row>
    <row r="14" spans="1:6" ht="15.75" hidden="1">
      <c r="A14" s="72" t="s">
        <v>196</v>
      </c>
      <c r="B14" s="73" t="s">
        <v>188</v>
      </c>
      <c r="C14" s="73" t="s">
        <v>197</v>
      </c>
      <c r="D14" s="74"/>
      <c r="E14" s="74"/>
      <c r="F14" s="74"/>
    </row>
    <row r="15" spans="1:6" ht="78.75">
      <c r="A15" s="72" t="s">
        <v>198</v>
      </c>
      <c r="B15" s="73" t="s">
        <v>188</v>
      </c>
      <c r="C15" s="73" t="s">
        <v>199</v>
      </c>
      <c r="D15" s="74">
        <f>4441116.62</f>
        <v>4441116.62</v>
      </c>
      <c r="E15" s="74">
        <v>3962928.57</v>
      </c>
      <c r="F15" s="74">
        <f t="shared" si="0"/>
        <v>89.23</v>
      </c>
    </row>
    <row r="16" spans="1:6" ht="34.5" customHeight="1">
      <c r="A16" s="72" t="s">
        <v>200</v>
      </c>
      <c r="B16" s="73" t="s">
        <v>188</v>
      </c>
      <c r="C16" s="73" t="s">
        <v>201</v>
      </c>
      <c r="D16" s="74">
        <v>1063600</v>
      </c>
      <c r="E16" s="74">
        <v>1063600</v>
      </c>
      <c r="F16" s="74">
        <f t="shared" si="0"/>
        <v>100</v>
      </c>
    </row>
    <row r="17" spans="1:6" ht="15.75">
      <c r="A17" s="72" t="s">
        <v>202</v>
      </c>
      <c r="B17" s="73" t="s">
        <v>188</v>
      </c>
      <c r="C17" s="73" t="s">
        <v>203</v>
      </c>
      <c r="D17" s="75">
        <v>513310</v>
      </c>
      <c r="E17" s="75">
        <v>0</v>
      </c>
      <c r="F17" s="75">
        <f t="shared" si="0"/>
        <v>0</v>
      </c>
    </row>
    <row r="18" spans="1:6" ht="31.5">
      <c r="A18" s="72" t="s">
        <v>204</v>
      </c>
      <c r="B18" s="73" t="s">
        <v>188</v>
      </c>
      <c r="C18" s="73" t="s">
        <v>205</v>
      </c>
      <c r="D18" s="74">
        <v>118604285.03</v>
      </c>
      <c r="E18" s="74">
        <v>116813949.68</v>
      </c>
      <c r="F18" s="74">
        <f t="shared" si="0"/>
        <v>98.49</v>
      </c>
    </row>
    <row r="19" spans="1:8" ht="56.25">
      <c r="A19" s="76" t="s">
        <v>206</v>
      </c>
      <c r="B19" s="68" t="s">
        <v>193</v>
      </c>
      <c r="C19" s="68" t="s">
        <v>189</v>
      </c>
      <c r="D19" s="69">
        <f>D21+D20+D22</f>
        <v>40709828.73</v>
      </c>
      <c r="E19" s="69">
        <f>E21+E20+E22</f>
        <v>40019533.74</v>
      </c>
      <c r="F19" s="69">
        <f t="shared" si="0"/>
        <v>98.3</v>
      </c>
      <c r="G19" s="77"/>
      <c r="H19" s="70"/>
    </row>
    <row r="20" spans="1:6" ht="15.75">
      <c r="A20" s="72" t="s">
        <v>207</v>
      </c>
      <c r="B20" s="73" t="s">
        <v>193</v>
      </c>
      <c r="C20" s="73" t="s">
        <v>195</v>
      </c>
      <c r="D20" s="74">
        <f>2200200</f>
        <v>2200200</v>
      </c>
      <c r="E20" s="74">
        <v>2187548.44</v>
      </c>
      <c r="F20" s="74">
        <f t="shared" si="0"/>
        <v>99.42</v>
      </c>
    </row>
    <row r="21" spans="1:6" ht="63">
      <c r="A21" s="72" t="s">
        <v>208</v>
      </c>
      <c r="B21" s="73" t="s">
        <v>193</v>
      </c>
      <c r="C21" s="73" t="s">
        <v>209</v>
      </c>
      <c r="D21" s="74">
        <v>38437688.73</v>
      </c>
      <c r="E21" s="74">
        <v>37801585.7</v>
      </c>
      <c r="F21" s="74">
        <f t="shared" si="0"/>
        <v>98.35</v>
      </c>
    </row>
    <row r="22" spans="1:6" ht="47.25" customHeight="1">
      <c r="A22" s="72" t="s">
        <v>210</v>
      </c>
      <c r="B22" s="73" t="s">
        <v>193</v>
      </c>
      <c r="C22" s="73" t="s">
        <v>211</v>
      </c>
      <c r="D22" s="74">
        <v>71940</v>
      </c>
      <c r="E22" s="74">
        <v>30399.6</v>
      </c>
      <c r="F22" s="74">
        <f t="shared" si="0"/>
        <v>42.26</v>
      </c>
    </row>
    <row r="23" spans="1:8" ht="20.25">
      <c r="A23" s="76" t="s">
        <v>212</v>
      </c>
      <c r="B23" s="68" t="s">
        <v>195</v>
      </c>
      <c r="C23" s="68" t="s">
        <v>189</v>
      </c>
      <c r="D23" s="69">
        <f>SUM(D24:D28)</f>
        <v>189054834.82999998</v>
      </c>
      <c r="E23" s="69">
        <f>SUM(E24:E28)</f>
        <v>186980028.48000002</v>
      </c>
      <c r="F23" s="69">
        <f t="shared" si="0"/>
        <v>98.9</v>
      </c>
      <c r="G23" s="77"/>
      <c r="H23" s="70"/>
    </row>
    <row r="24" spans="1:8" ht="20.25">
      <c r="A24" s="72" t="s">
        <v>213</v>
      </c>
      <c r="B24" s="73" t="s">
        <v>195</v>
      </c>
      <c r="C24" s="73" t="s">
        <v>197</v>
      </c>
      <c r="D24" s="74">
        <v>3608380</v>
      </c>
      <c r="E24" s="74">
        <v>3590591.2</v>
      </c>
      <c r="F24" s="74">
        <f t="shared" si="0"/>
        <v>99.51</v>
      </c>
      <c r="G24" s="77"/>
      <c r="H24" s="70"/>
    </row>
    <row r="25" spans="1:6" ht="15.75">
      <c r="A25" s="78" t="s">
        <v>214</v>
      </c>
      <c r="B25" s="73" t="s">
        <v>195</v>
      </c>
      <c r="C25" s="73" t="s">
        <v>215</v>
      </c>
      <c r="D25" s="74">
        <v>23476473.28</v>
      </c>
      <c r="E25" s="74">
        <v>21779688.02</v>
      </c>
      <c r="F25" s="74">
        <f t="shared" si="0"/>
        <v>92.77</v>
      </c>
    </row>
    <row r="26" spans="1:6" ht="31.5">
      <c r="A26" s="72" t="s">
        <v>216</v>
      </c>
      <c r="B26" s="73" t="s">
        <v>195</v>
      </c>
      <c r="C26" s="73" t="s">
        <v>209</v>
      </c>
      <c r="D26" s="74">
        <v>124497561.99</v>
      </c>
      <c r="E26" s="74">
        <v>124269590</v>
      </c>
      <c r="F26" s="74">
        <f t="shared" si="0"/>
        <v>99.82</v>
      </c>
    </row>
    <row r="27" spans="1:6" ht="15.75">
      <c r="A27" s="72" t="s">
        <v>217</v>
      </c>
      <c r="B27" s="73" t="s">
        <v>195</v>
      </c>
      <c r="C27" s="73" t="s">
        <v>218</v>
      </c>
      <c r="D27" s="74">
        <v>11058528.67</v>
      </c>
      <c r="E27" s="74">
        <v>11003241.55</v>
      </c>
      <c r="F27" s="74">
        <f t="shared" si="0"/>
        <v>99.5</v>
      </c>
    </row>
    <row r="28" spans="1:6" s="79" customFormat="1" ht="31.5">
      <c r="A28" s="72" t="s">
        <v>219</v>
      </c>
      <c r="B28" s="73" t="s">
        <v>195</v>
      </c>
      <c r="C28" s="73" t="s">
        <v>220</v>
      </c>
      <c r="D28" s="74">
        <v>26413890.89</v>
      </c>
      <c r="E28" s="74">
        <v>26336917.71</v>
      </c>
      <c r="F28" s="74">
        <f t="shared" si="0"/>
        <v>99.71</v>
      </c>
    </row>
    <row r="29" spans="1:8" s="79" customFormat="1" ht="37.5">
      <c r="A29" s="76" t="s">
        <v>221</v>
      </c>
      <c r="B29" s="68" t="s">
        <v>197</v>
      </c>
      <c r="C29" s="68" t="s">
        <v>189</v>
      </c>
      <c r="D29" s="69">
        <f>SUM(D30:D33)</f>
        <v>164717852.35</v>
      </c>
      <c r="E29" s="69">
        <f>SUM(E30:E33)</f>
        <v>153518658.94</v>
      </c>
      <c r="F29" s="69">
        <f t="shared" si="0"/>
        <v>93.2</v>
      </c>
      <c r="G29" s="80"/>
      <c r="H29" s="70"/>
    </row>
    <row r="30" spans="1:6" s="79" customFormat="1" ht="15.75">
      <c r="A30" s="72" t="s">
        <v>222</v>
      </c>
      <c r="B30" s="73" t="s">
        <v>197</v>
      </c>
      <c r="C30" s="73" t="s">
        <v>188</v>
      </c>
      <c r="D30" s="74">
        <v>59377740.29</v>
      </c>
      <c r="E30" s="74">
        <v>57460276.89</v>
      </c>
      <c r="F30" s="74">
        <f t="shared" si="0"/>
        <v>96.77</v>
      </c>
    </row>
    <row r="31" spans="1:6" s="79" customFormat="1" ht="15.75">
      <c r="A31" s="72" t="s">
        <v>223</v>
      </c>
      <c r="B31" s="73" t="s">
        <v>197</v>
      </c>
      <c r="C31" s="73" t="s">
        <v>191</v>
      </c>
      <c r="D31" s="74">
        <v>58206818.81</v>
      </c>
      <c r="E31" s="74">
        <v>52434975.62</v>
      </c>
      <c r="F31" s="74">
        <f t="shared" si="0"/>
        <v>90.08</v>
      </c>
    </row>
    <row r="32" spans="1:6" s="79" customFormat="1" ht="15.75">
      <c r="A32" s="81" t="s">
        <v>224</v>
      </c>
      <c r="B32" s="73" t="s">
        <v>197</v>
      </c>
      <c r="C32" s="73" t="s">
        <v>193</v>
      </c>
      <c r="D32" s="74">
        <v>45111877.32</v>
      </c>
      <c r="E32" s="74">
        <v>41887187.31</v>
      </c>
      <c r="F32" s="74">
        <f t="shared" si="0"/>
        <v>92.85</v>
      </c>
    </row>
    <row r="33" spans="1:6" s="79" customFormat="1" ht="31.5">
      <c r="A33" s="72" t="s">
        <v>225</v>
      </c>
      <c r="B33" s="73" t="s">
        <v>197</v>
      </c>
      <c r="C33" s="73" t="s">
        <v>197</v>
      </c>
      <c r="D33" s="74">
        <v>2021415.93</v>
      </c>
      <c r="E33" s="74">
        <v>1736219.12</v>
      </c>
      <c r="F33" s="74">
        <f t="shared" si="0"/>
        <v>85.89</v>
      </c>
    </row>
    <row r="34" spans="1:8" s="79" customFormat="1" ht="26.25" customHeight="1">
      <c r="A34" s="67" t="s">
        <v>226</v>
      </c>
      <c r="B34" s="68" t="s">
        <v>199</v>
      </c>
      <c r="C34" s="68" t="s">
        <v>189</v>
      </c>
      <c r="D34" s="69">
        <f>D35</f>
        <v>199885.74</v>
      </c>
      <c r="E34" s="69">
        <f>E35</f>
        <v>199885.74</v>
      </c>
      <c r="F34" s="69">
        <f t="shared" si="0"/>
        <v>100</v>
      </c>
      <c r="G34" s="80"/>
      <c r="H34" s="70"/>
    </row>
    <row r="35" spans="1:6" s="79" customFormat="1" ht="31.5">
      <c r="A35" s="72" t="s">
        <v>299</v>
      </c>
      <c r="B35" s="73" t="s">
        <v>199</v>
      </c>
      <c r="C35" s="73" t="s">
        <v>193</v>
      </c>
      <c r="D35" s="74">
        <v>199885.74</v>
      </c>
      <c r="E35" s="74">
        <v>199885.74</v>
      </c>
      <c r="F35" s="74">
        <f t="shared" si="0"/>
        <v>100</v>
      </c>
    </row>
    <row r="36" spans="1:8" s="79" customFormat="1" ht="20.25">
      <c r="A36" s="76" t="s">
        <v>227</v>
      </c>
      <c r="B36" s="68" t="s">
        <v>201</v>
      </c>
      <c r="C36" s="68" t="s">
        <v>189</v>
      </c>
      <c r="D36" s="69">
        <f>SUM(D37:D41)</f>
        <v>1415480619.02</v>
      </c>
      <c r="E36" s="69">
        <f>SUM(E37:E41)</f>
        <v>1406340245.08</v>
      </c>
      <c r="F36" s="69">
        <f t="shared" si="0"/>
        <v>99.35</v>
      </c>
      <c r="G36" s="80"/>
      <c r="H36" s="70"/>
    </row>
    <row r="37" spans="1:6" s="79" customFormat="1" ht="15.75">
      <c r="A37" s="72" t="s">
        <v>228</v>
      </c>
      <c r="B37" s="73" t="s">
        <v>201</v>
      </c>
      <c r="C37" s="73" t="s">
        <v>188</v>
      </c>
      <c r="D37" s="74">
        <f>548717886.65</f>
        <v>548717886.65</v>
      </c>
      <c r="E37" s="74">
        <v>541160059.43</v>
      </c>
      <c r="F37" s="74">
        <f t="shared" si="0"/>
        <v>98.62</v>
      </c>
    </row>
    <row r="38" spans="1:6" s="79" customFormat="1" ht="15.75">
      <c r="A38" s="72" t="s">
        <v>229</v>
      </c>
      <c r="B38" s="73" t="s">
        <v>201</v>
      </c>
      <c r="C38" s="73" t="s">
        <v>191</v>
      </c>
      <c r="D38" s="74">
        <v>483445674.92</v>
      </c>
      <c r="E38" s="74">
        <v>483351463.49</v>
      </c>
      <c r="F38" s="74">
        <f t="shared" si="0"/>
        <v>99.98</v>
      </c>
    </row>
    <row r="39" spans="1:6" s="79" customFormat="1" ht="15.75">
      <c r="A39" s="72" t="s">
        <v>300</v>
      </c>
      <c r="B39" s="73" t="s">
        <v>201</v>
      </c>
      <c r="C39" s="73" t="s">
        <v>193</v>
      </c>
      <c r="D39" s="74">
        <v>277866426.82</v>
      </c>
      <c r="E39" s="74">
        <v>277838184.89</v>
      </c>
      <c r="F39" s="74">
        <f t="shared" si="0"/>
        <v>99.99</v>
      </c>
    </row>
    <row r="40" spans="1:6" s="79" customFormat="1" ht="15.75">
      <c r="A40" s="72" t="s">
        <v>301</v>
      </c>
      <c r="B40" s="73" t="s">
        <v>201</v>
      </c>
      <c r="C40" s="73" t="s">
        <v>201</v>
      </c>
      <c r="D40" s="74">
        <f>32983236.94</f>
        <v>32983236.94</v>
      </c>
      <c r="E40" s="74">
        <v>32972936.94</v>
      </c>
      <c r="F40" s="74">
        <f t="shared" si="0"/>
        <v>99.97</v>
      </c>
    </row>
    <row r="41" spans="1:6" ht="31.5">
      <c r="A41" s="72" t="s">
        <v>230</v>
      </c>
      <c r="B41" s="73" t="s">
        <v>201</v>
      </c>
      <c r="C41" s="73" t="s">
        <v>209</v>
      </c>
      <c r="D41" s="74">
        <v>72467393.69</v>
      </c>
      <c r="E41" s="74">
        <v>71017600.33</v>
      </c>
      <c r="F41" s="74">
        <f t="shared" si="0"/>
        <v>98</v>
      </c>
    </row>
    <row r="42" spans="1:8" ht="20.25">
      <c r="A42" s="67" t="s">
        <v>231</v>
      </c>
      <c r="B42" s="68" t="s">
        <v>215</v>
      </c>
      <c r="C42" s="68" t="s">
        <v>189</v>
      </c>
      <c r="D42" s="69">
        <f>D43</f>
        <v>216944155.95</v>
      </c>
      <c r="E42" s="69">
        <f>E43</f>
        <v>216942889.21</v>
      </c>
      <c r="F42" s="69">
        <f t="shared" si="0"/>
        <v>100</v>
      </c>
      <c r="G42" s="77"/>
      <c r="H42" s="70"/>
    </row>
    <row r="43" spans="1:6" ht="15.75">
      <c r="A43" s="72" t="s">
        <v>232</v>
      </c>
      <c r="B43" s="73" t="s">
        <v>215</v>
      </c>
      <c r="C43" s="73" t="s">
        <v>188</v>
      </c>
      <c r="D43" s="74">
        <v>216944155.95</v>
      </c>
      <c r="E43" s="74">
        <v>216942889.21</v>
      </c>
      <c r="F43" s="74">
        <f t="shared" si="0"/>
        <v>100</v>
      </c>
    </row>
    <row r="44" spans="1:8" ht="20.25">
      <c r="A44" s="76" t="s">
        <v>233</v>
      </c>
      <c r="B44" s="68" t="s">
        <v>218</v>
      </c>
      <c r="C44" s="68" t="s">
        <v>189</v>
      </c>
      <c r="D44" s="69">
        <f>SUM(D45:D47)</f>
        <v>67164191.19</v>
      </c>
      <c r="E44" s="69">
        <f>SUM(E45:E47)</f>
        <v>64372112.19</v>
      </c>
      <c r="F44" s="69">
        <f t="shared" si="0"/>
        <v>95.84</v>
      </c>
      <c r="G44" s="77"/>
      <c r="H44" s="70"/>
    </row>
    <row r="45" spans="1:6" ht="15.75">
      <c r="A45" s="72" t="s">
        <v>234</v>
      </c>
      <c r="B45" s="73" t="s">
        <v>218</v>
      </c>
      <c r="C45" s="73" t="s">
        <v>188</v>
      </c>
      <c r="D45" s="74">
        <v>8237491.19</v>
      </c>
      <c r="E45" s="74">
        <v>8187866.76</v>
      </c>
      <c r="F45" s="74">
        <f t="shared" si="0"/>
        <v>99.4</v>
      </c>
    </row>
    <row r="46" spans="1:6" ht="15.75">
      <c r="A46" s="72" t="s">
        <v>235</v>
      </c>
      <c r="B46" s="73" t="s">
        <v>218</v>
      </c>
      <c r="C46" s="73" t="s">
        <v>193</v>
      </c>
      <c r="D46" s="74">
        <v>4437800</v>
      </c>
      <c r="E46" s="74">
        <v>4211291.75</v>
      </c>
      <c r="F46" s="74">
        <f t="shared" si="0"/>
        <v>94.9</v>
      </c>
    </row>
    <row r="47" spans="1:6" ht="15.75">
      <c r="A47" s="72" t="s">
        <v>236</v>
      </c>
      <c r="B47" s="73" t="s">
        <v>218</v>
      </c>
      <c r="C47" s="73" t="s">
        <v>195</v>
      </c>
      <c r="D47" s="74">
        <v>54488900</v>
      </c>
      <c r="E47" s="74">
        <v>51972953.68</v>
      </c>
      <c r="F47" s="74">
        <f t="shared" si="0"/>
        <v>95.38</v>
      </c>
    </row>
    <row r="48" spans="1:6" ht="15.75">
      <c r="A48" s="82" t="s">
        <v>237</v>
      </c>
      <c r="B48" s="68" t="s">
        <v>203</v>
      </c>
      <c r="C48" s="68" t="s">
        <v>189</v>
      </c>
      <c r="D48" s="69">
        <f>D49</f>
        <v>1400050</v>
      </c>
      <c r="E48" s="69">
        <f>E49</f>
        <v>1389751</v>
      </c>
      <c r="F48" s="69">
        <f t="shared" si="0"/>
        <v>99.26</v>
      </c>
    </row>
    <row r="49" spans="1:6" ht="15.75">
      <c r="A49" s="83" t="s">
        <v>238</v>
      </c>
      <c r="B49" s="73" t="s">
        <v>203</v>
      </c>
      <c r="C49" s="73" t="s">
        <v>188</v>
      </c>
      <c r="D49" s="74">
        <v>1400050</v>
      </c>
      <c r="E49" s="74">
        <v>1389751</v>
      </c>
      <c r="F49" s="74">
        <f t="shared" si="0"/>
        <v>99.26</v>
      </c>
    </row>
    <row r="50" spans="1:6" ht="15.75">
      <c r="A50" s="67" t="s">
        <v>239</v>
      </c>
      <c r="B50" s="68" t="s">
        <v>220</v>
      </c>
      <c r="C50" s="68" t="s">
        <v>189</v>
      </c>
      <c r="D50" s="69">
        <f>D51</f>
        <v>419025.5</v>
      </c>
      <c r="E50" s="69">
        <f>E51</f>
        <v>116681.5</v>
      </c>
      <c r="F50" s="69">
        <f t="shared" si="0"/>
        <v>27.85</v>
      </c>
    </row>
    <row r="51" spans="1:6" ht="15.75">
      <c r="A51" s="72" t="s">
        <v>240</v>
      </c>
      <c r="B51" s="73" t="s">
        <v>220</v>
      </c>
      <c r="C51" s="73" t="s">
        <v>191</v>
      </c>
      <c r="D51" s="74">
        <v>419025.5</v>
      </c>
      <c r="E51" s="74">
        <v>116681.5</v>
      </c>
      <c r="F51" s="74">
        <f t="shared" si="0"/>
        <v>27.85</v>
      </c>
    </row>
    <row r="52" spans="1:6" ht="31.5">
      <c r="A52" s="67" t="s">
        <v>241</v>
      </c>
      <c r="B52" s="68" t="s">
        <v>205</v>
      </c>
      <c r="C52" s="68" t="s">
        <v>189</v>
      </c>
      <c r="D52" s="69">
        <f>D53</f>
        <v>11526106.81</v>
      </c>
      <c r="E52" s="69">
        <f>E53</f>
        <v>7201409.04</v>
      </c>
      <c r="F52" s="69">
        <f t="shared" si="0"/>
        <v>62.48</v>
      </c>
    </row>
    <row r="53" spans="1:7" ht="31.5">
      <c r="A53" s="72" t="s">
        <v>242</v>
      </c>
      <c r="B53" s="73" t="s">
        <v>205</v>
      </c>
      <c r="C53" s="73" t="s">
        <v>188</v>
      </c>
      <c r="D53" s="74">
        <v>11526106.81</v>
      </c>
      <c r="E53" s="74">
        <v>7201409.04</v>
      </c>
      <c r="F53" s="74">
        <f t="shared" si="0"/>
        <v>62.48</v>
      </c>
      <c r="G53" s="77"/>
    </row>
    <row r="54" spans="1:6" ht="31.5" customHeight="1">
      <c r="A54" s="203" t="s">
        <v>243</v>
      </c>
      <c r="B54" s="204"/>
      <c r="C54" s="204"/>
      <c r="D54" s="84">
        <f>D10+D19+D23+D29+D34+D36+D42+D44+D48+D50+D52</f>
        <v>2318089369.23</v>
      </c>
      <c r="E54" s="84">
        <f>E10+E19+E23+E29+E34+E36+E42+E44+E48+E50+E52</f>
        <v>2283168787.71</v>
      </c>
      <c r="F54" s="84">
        <f t="shared" si="0"/>
        <v>98.49</v>
      </c>
    </row>
    <row r="55" spans="1:5" ht="15.75">
      <c r="A55" s="85"/>
      <c r="B55" s="86"/>
      <c r="C55" s="86"/>
      <c r="D55" s="87"/>
      <c r="E55" s="87"/>
    </row>
    <row r="56" spans="1:5" ht="15.75">
      <c r="A56" s="85"/>
      <c r="B56" s="86"/>
      <c r="C56" s="86"/>
      <c r="D56" s="87">
        <f>2318089369.23</f>
        <v>2318089369.23</v>
      </c>
      <c r="E56" s="87">
        <v>2283168787.71</v>
      </c>
    </row>
    <row r="57" spans="1:5" ht="15.75">
      <c r="A57" s="85"/>
      <c r="B57" s="86"/>
      <c r="C57" s="86"/>
      <c r="D57" s="87">
        <f>D54-D56</f>
        <v>0</v>
      </c>
      <c r="E57" s="87">
        <f>E54-E56</f>
        <v>0</v>
      </c>
    </row>
    <row r="58" spans="1:5" ht="15.75">
      <c r="A58" s="85"/>
      <c r="B58" s="86"/>
      <c r="C58" s="86"/>
      <c r="D58" s="87"/>
      <c r="E58" s="87"/>
    </row>
    <row r="59" spans="1:5" ht="15.75">
      <c r="A59" s="85"/>
      <c r="B59" s="86"/>
      <c r="C59" s="86"/>
      <c r="D59" s="87"/>
      <c r="E59" s="88"/>
    </row>
    <row r="60" spans="1:5" ht="15.75">
      <c r="A60" s="85"/>
      <c r="B60" s="86"/>
      <c r="C60" s="86"/>
      <c r="D60" s="87"/>
      <c r="E60" s="87"/>
    </row>
    <row r="61" spans="1:5" ht="15.75">
      <c r="A61" s="85"/>
      <c r="B61" s="86"/>
      <c r="C61" s="86"/>
      <c r="D61" s="87"/>
      <c r="E61" s="87"/>
    </row>
    <row r="62" spans="1:5" ht="15.75">
      <c r="A62" s="85"/>
      <c r="B62" s="86"/>
      <c r="C62" s="86"/>
      <c r="D62" s="87"/>
      <c r="E62" s="87"/>
    </row>
    <row r="63" spans="1:5" ht="15.75">
      <c r="A63" s="85"/>
      <c r="B63" s="86"/>
      <c r="C63" s="86"/>
      <c r="D63" s="87"/>
      <c r="E63" s="87"/>
    </row>
    <row r="64" spans="1:5" ht="15.75">
      <c r="A64" s="85"/>
      <c r="B64" s="86"/>
      <c r="C64" s="86"/>
      <c r="D64" s="87"/>
      <c r="E64" s="87"/>
    </row>
    <row r="65" spans="1:5" ht="15.75">
      <c r="A65" s="85"/>
      <c r="B65" s="86"/>
      <c r="C65" s="86"/>
      <c r="D65" s="87"/>
      <c r="E65" s="87"/>
    </row>
    <row r="66" spans="1:5" ht="15.75">
      <c r="A66" s="85"/>
      <c r="B66" s="86"/>
      <c r="C66" s="86"/>
      <c r="D66" s="87"/>
      <c r="E66" s="87"/>
    </row>
    <row r="67" spans="1:5" ht="15.75">
      <c r="A67" s="85"/>
      <c r="B67" s="86"/>
      <c r="C67" s="86"/>
      <c r="D67" s="87"/>
      <c r="E67" s="87"/>
    </row>
    <row r="68" spans="1:5" ht="15.75">
      <c r="A68" s="85"/>
      <c r="B68" s="86"/>
      <c r="C68" s="86"/>
      <c r="D68" s="87"/>
      <c r="E68" s="87"/>
    </row>
    <row r="69" spans="1:5" ht="15.75">
      <c r="A69" s="85"/>
      <c r="B69" s="86"/>
      <c r="C69" s="86"/>
      <c r="D69" s="87"/>
      <c r="E69" s="87"/>
    </row>
    <row r="70" spans="1:5" ht="15.75">
      <c r="A70" s="85"/>
      <c r="B70" s="86"/>
      <c r="C70" s="86"/>
      <c r="D70" s="87"/>
      <c r="E70" s="87"/>
    </row>
    <row r="71" spans="1:5" ht="15.75">
      <c r="A71" s="85"/>
      <c r="B71" s="86"/>
      <c r="C71" s="86"/>
      <c r="D71" s="87"/>
      <c r="E71" s="87"/>
    </row>
    <row r="72" spans="1:5" ht="15.75">
      <c r="A72" s="85"/>
      <c r="B72" s="86"/>
      <c r="C72" s="86"/>
      <c r="D72" s="87"/>
      <c r="E72" s="87"/>
    </row>
    <row r="73" spans="1:5" ht="15.75">
      <c r="A73" s="85"/>
      <c r="B73" s="86"/>
      <c r="C73" s="86"/>
      <c r="D73" s="87"/>
      <c r="E73" s="87"/>
    </row>
    <row r="74" spans="1:5" ht="15.75">
      <c r="A74" s="85"/>
      <c r="B74" s="86"/>
      <c r="C74" s="86"/>
      <c r="D74" s="87"/>
      <c r="E74" s="87"/>
    </row>
    <row r="75" spans="1:5" ht="15.75">
      <c r="A75" s="85"/>
      <c r="B75" s="86"/>
      <c r="C75" s="86"/>
      <c r="D75" s="87"/>
      <c r="E75" s="87"/>
    </row>
    <row r="76" spans="1:5" ht="15.75">
      <c r="A76" s="85"/>
      <c r="B76" s="86"/>
      <c r="C76" s="86"/>
      <c r="D76" s="87"/>
      <c r="E76" s="87"/>
    </row>
    <row r="77" spans="1:5" ht="15.75">
      <c r="A77" s="85"/>
      <c r="B77" s="86"/>
      <c r="C77" s="86"/>
      <c r="D77" s="87"/>
      <c r="E77" s="87"/>
    </row>
    <row r="78" spans="1:5" ht="15.75">
      <c r="A78" s="85"/>
      <c r="B78" s="86"/>
      <c r="C78" s="86"/>
      <c r="D78" s="87"/>
      <c r="E78" s="87"/>
    </row>
    <row r="79" spans="1:5" ht="15.75">
      <c r="A79" s="85"/>
      <c r="B79" s="86"/>
      <c r="C79" s="86"/>
      <c r="D79" s="87"/>
      <c r="E79" s="87"/>
    </row>
    <row r="80" spans="1:5" ht="15.75">
      <c r="A80" s="85"/>
      <c r="B80" s="86"/>
      <c r="C80" s="86"/>
      <c r="D80" s="87"/>
      <c r="E80" s="87"/>
    </row>
    <row r="81" spans="1:5" ht="15.75">
      <c r="A81" s="85"/>
      <c r="B81" s="86"/>
      <c r="C81" s="86"/>
      <c r="D81" s="87"/>
      <c r="E81" s="87"/>
    </row>
    <row r="82" spans="1:5" ht="15.75">
      <c r="A82" s="85"/>
      <c r="B82" s="86"/>
      <c r="C82" s="86"/>
      <c r="D82" s="87"/>
      <c r="E82" s="87"/>
    </row>
    <row r="83" spans="1:5" ht="15.75">
      <c r="A83" s="85"/>
      <c r="B83" s="86"/>
      <c r="C83" s="86"/>
      <c r="D83" s="87"/>
      <c r="E83" s="87"/>
    </row>
    <row r="84" spans="1:5" ht="15.75">
      <c r="A84" s="85"/>
      <c r="B84" s="86"/>
      <c r="C84" s="86"/>
      <c r="D84" s="87"/>
      <c r="E84" s="87"/>
    </row>
    <row r="85" spans="1:5" ht="15.75">
      <c r="A85" s="85"/>
      <c r="B85" s="86"/>
      <c r="C85" s="86"/>
      <c r="D85" s="87"/>
      <c r="E85" s="87"/>
    </row>
    <row r="86" spans="1:5" ht="15.75">
      <c r="A86" s="85"/>
      <c r="B86" s="86"/>
      <c r="C86" s="86"/>
      <c r="D86" s="87"/>
      <c r="E86" s="87"/>
    </row>
    <row r="87" spans="1:5" ht="15.75">
      <c r="A87" s="85"/>
      <c r="B87" s="86"/>
      <c r="C87" s="86"/>
      <c r="D87" s="87"/>
      <c r="E87" s="87"/>
    </row>
    <row r="88" spans="1:5" ht="15.75">
      <c r="A88" s="85"/>
      <c r="B88" s="86"/>
      <c r="C88" s="86"/>
      <c r="D88" s="87"/>
      <c r="E88" s="87"/>
    </row>
    <row r="89" spans="1:5" ht="15.75">
      <c r="A89" s="85"/>
      <c r="B89" s="86"/>
      <c r="C89" s="86"/>
      <c r="D89" s="87"/>
      <c r="E89" s="87"/>
    </row>
    <row r="90" spans="1:5" ht="15.75">
      <c r="A90" s="85"/>
      <c r="B90" s="86"/>
      <c r="C90" s="86"/>
      <c r="D90" s="87"/>
      <c r="E90" s="87"/>
    </row>
    <row r="91" spans="1:5" ht="15.75">
      <c r="A91" s="85"/>
      <c r="B91" s="86"/>
      <c r="C91" s="86"/>
      <c r="D91" s="87"/>
      <c r="E91" s="87"/>
    </row>
    <row r="92" spans="1:5" ht="15.75">
      <c r="A92" s="85"/>
      <c r="B92" s="86"/>
      <c r="C92" s="86"/>
      <c r="D92" s="87"/>
      <c r="E92" s="87"/>
    </row>
    <row r="93" spans="1:5" ht="15.75">
      <c r="A93" s="85"/>
      <c r="B93" s="86"/>
      <c r="C93" s="86"/>
      <c r="D93" s="87"/>
      <c r="E93" s="87"/>
    </row>
    <row r="94" spans="1:5" ht="15.75">
      <c r="A94" s="85"/>
      <c r="B94" s="86"/>
      <c r="C94" s="86"/>
      <c r="D94" s="87"/>
      <c r="E94" s="87"/>
    </row>
    <row r="95" spans="1:5" ht="15.75">
      <c r="A95" s="85"/>
      <c r="B95" s="86"/>
      <c r="C95" s="86"/>
      <c r="D95" s="87"/>
      <c r="E95" s="87"/>
    </row>
    <row r="96" spans="1:5" ht="15.75">
      <c r="A96" s="85"/>
      <c r="B96" s="86"/>
      <c r="C96" s="86"/>
      <c r="D96" s="87"/>
      <c r="E96" s="87"/>
    </row>
    <row r="97" spans="1:5" ht="15.75">
      <c r="A97" s="85"/>
      <c r="B97" s="86"/>
      <c r="C97" s="86"/>
      <c r="D97" s="87"/>
      <c r="E97" s="87"/>
    </row>
    <row r="98" spans="1:5" ht="15.75">
      <c r="A98" s="85"/>
      <c r="B98" s="86"/>
      <c r="C98" s="86"/>
      <c r="D98" s="87"/>
      <c r="E98" s="87"/>
    </row>
    <row r="99" spans="1:5" ht="15.75">
      <c r="A99" s="85"/>
      <c r="B99" s="86"/>
      <c r="C99" s="86"/>
      <c r="D99" s="87"/>
      <c r="E99" s="87"/>
    </row>
    <row r="100" spans="1:5" ht="15.75">
      <c r="A100" s="85"/>
      <c r="B100" s="86"/>
      <c r="C100" s="86"/>
      <c r="D100" s="87"/>
      <c r="E100" s="87"/>
    </row>
    <row r="101" spans="1:5" ht="15.75">
      <c r="A101" s="85"/>
      <c r="B101" s="86"/>
      <c r="C101" s="86"/>
      <c r="D101" s="87"/>
      <c r="E101" s="87"/>
    </row>
    <row r="102" spans="1:5" ht="15.75">
      <c r="A102" s="85"/>
      <c r="B102" s="86"/>
      <c r="C102" s="86"/>
      <c r="D102" s="87"/>
      <c r="E102" s="87"/>
    </row>
    <row r="103" spans="1:5" ht="15.75">
      <c r="A103" s="85"/>
      <c r="B103" s="86"/>
      <c r="C103" s="86"/>
      <c r="D103" s="87"/>
      <c r="E103" s="87"/>
    </row>
    <row r="104" spans="1:5" ht="15.75">
      <c r="A104" s="85"/>
      <c r="B104" s="86"/>
      <c r="C104" s="86"/>
      <c r="D104" s="87"/>
      <c r="E104" s="87"/>
    </row>
    <row r="105" spans="1:5" ht="15.75">
      <c r="A105" s="85"/>
      <c r="B105" s="86"/>
      <c r="C105" s="86"/>
      <c r="D105" s="87"/>
      <c r="E105" s="87"/>
    </row>
    <row r="106" spans="1:5" ht="15.75">
      <c r="A106" s="85"/>
      <c r="B106" s="86"/>
      <c r="C106" s="86"/>
      <c r="D106" s="87"/>
      <c r="E106" s="87"/>
    </row>
    <row r="107" spans="1:5" ht="15.75">
      <c r="A107" s="85"/>
      <c r="B107" s="86"/>
      <c r="C107" s="86"/>
      <c r="D107" s="87"/>
      <c r="E107" s="87"/>
    </row>
    <row r="108" spans="1:5" ht="15.75">
      <c r="A108" s="85"/>
      <c r="B108" s="86"/>
      <c r="C108" s="86"/>
      <c r="D108" s="87"/>
      <c r="E108" s="87"/>
    </row>
    <row r="109" spans="1:5" ht="15.75">
      <c r="A109" s="85"/>
      <c r="B109" s="86"/>
      <c r="C109" s="86"/>
      <c r="D109" s="87"/>
      <c r="E109" s="87"/>
    </row>
    <row r="110" spans="1:5" ht="15.75">
      <c r="A110" s="85"/>
      <c r="B110" s="86"/>
      <c r="C110" s="86"/>
      <c r="D110" s="87"/>
      <c r="E110" s="87"/>
    </row>
    <row r="111" spans="1:5" ht="15.75">
      <c r="A111" s="85"/>
      <c r="B111" s="86"/>
      <c r="C111" s="86"/>
      <c r="D111" s="87"/>
      <c r="E111" s="87"/>
    </row>
    <row r="112" spans="1:5" ht="15.75">
      <c r="A112" s="85"/>
      <c r="B112" s="86"/>
      <c r="C112" s="86"/>
      <c r="D112" s="87"/>
      <c r="E112" s="87"/>
    </row>
    <row r="113" spans="1:5" ht="15.75">
      <c r="A113" s="85"/>
      <c r="B113" s="86"/>
      <c r="C113" s="86"/>
      <c r="D113" s="87"/>
      <c r="E113" s="87"/>
    </row>
    <row r="114" spans="1:5" ht="15.75">
      <c r="A114" s="85"/>
      <c r="B114" s="86"/>
      <c r="C114" s="86"/>
      <c r="D114" s="87"/>
      <c r="E114" s="87"/>
    </row>
    <row r="115" spans="1:5" ht="15.75">
      <c r="A115" s="85"/>
      <c r="B115" s="86"/>
      <c r="C115" s="86"/>
      <c r="D115" s="87"/>
      <c r="E115" s="87"/>
    </row>
    <row r="116" spans="1:5" ht="15.75">
      <c r="A116" s="85"/>
      <c r="B116" s="86"/>
      <c r="C116" s="86"/>
      <c r="D116" s="87"/>
      <c r="E116" s="87"/>
    </row>
    <row r="117" spans="1:5" ht="15.75">
      <c r="A117" s="85"/>
      <c r="B117" s="86"/>
      <c r="C117" s="86"/>
      <c r="D117" s="87"/>
      <c r="E117" s="87"/>
    </row>
    <row r="118" spans="1:5" ht="15.75">
      <c r="A118" s="85"/>
      <c r="B118" s="86"/>
      <c r="C118" s="86"/>
      <c r="D118" s="87"/>
      <c r="E118" s="87"/>
    </row>
    <row r="119" spans="1:5" ht="15.75">
      <c r="A119" s="85"/>
      <c r="B119" s="86"/>
      <c r="C119" s="86"/>
      <c r="D119" s="87"/>
      <c r="E119" s="87"/>
    </row>
    <row r="120" spans="1:5" ht="15.75">
      <c r="A120" s="85"/>
      <c r="B120" s="86"/>
      <c r="C120" s="86"/>
      <c r="D120" s="87"/>
      <c r="E120" s="87"/>
    </row>
    <row r="121" spans="1:5" ht="15.75">
      <c r="A121" s="85"/>
      <c r="B121" s="86"/>
      <c r="C121" s="86"/>
      <c r="D121" s="87"/>
      <c r="E121" s="87"/>
    </row>
    <row r="122" spans="1:5" ht="15.75">
      <c r="A122" s="85"/>
      <c r="B122" s="86"/>
      <c r="C122" s="86"/>
      <c r="D122" s="87"/>
      <c r="E122" s="87"/>
    </row>
    <row r="123" spans="1:5" ht="15.75">
      <c r="A123" s="85"/>
      <c r="B123" s="86"/>
      <c r="C123" s="86"/>
      <c r="D123" s="87"/>
      <c r="E123" s="87"/>
    </row>
    <row r="124" spans="1:5" ht="15.75">
      <c r="A124" s="85"/>
      <c r="B124" s="86"/>
      <c r="C124" s="86"/>
      <c r="D124" s="87"/>
      <c r="E124" s="87"/>
    </row>
    <row r="125" spans="1:5" ht="15.75">
      <c r="A125" s="85"/>
      <c r="B125" s="86"/>
      <c r="C125" s="86"/>
      <c r="D125" s="87"/>
      <c r="E125" s="87"/>
    </row>
    <row r="126" spans="1:5" ht="15.75">
      <c r="A126" s="85"/>
      <c r="B126" s="86"/>
      <c r="C126" s="86"/>
      <c r="D126" s="87"/>
      <c r="E126" s="87"/>
    </row>
    <row r="127" spans="1:5" ht="15.75">
      <c r="A127" s="85"/>
      <c r="B127" s="86"/>
      <c r="C127" s="86"/>
      <c r="D127" s="87"/>
      <c r="E127" s="87"/>
    </row>
    <row r="128" spans="1:5" ht="15.75">
      <c r="A128" s="85"/>
      <c r="B128" s="86"/>
      <c r="C128" s="86"/>
      <c r="D128" s="87"/>
      <c r="E128" s="87"/>
    </row>
    <row r="129" spans="1:5" ht="15.75">
      <c r="A129" s="85"/>
      <c r="B129" s="86"/>
      <c r="C129" s="86"/>
      <c r="D129" s="87"/>
      <c r="E129" s="87"/>
    </row>
    <row r="130" spans="1:5" ht="15.75">
      <c r="A130" s="85"/>
      <c r="B130" s="86"/>
      <c r="C130" s="86"/>
      <c r="D130" s="87"/>
      <c r="E130" s="87"/>
    </row>
    <row r="131" spans="1:5" ht="15.75">
      <c r="A131" s="85"/>
      <c r="B131" s="86"/>
      <c r="C131" s="86"/>
      <c r="D131" s="87"/>
      <c r="E131" s="87"/>
    </row>
    <row r="132" spans="1:5" ht="15.75">
      <c r="A132" s="85"/>
      <c r="B132" s="86"/>
      <c r="C132" s="86"/>
      <c r="D132" s="87"/>
      <c r="E132" s="87"/>
    </row>
    <row r="133" spans="1:5" ht="15.75">
      <c r="A133" s="85"/>
      <c r="B133" s="86"/>
      <c r="C133" s="86"/>
      <c r="D133" s="87"/>
      <c r="E133" s="87"/>
    </row>
    <row r="134" spans="1:5" ht="15.75">
      <c r="A134" s="85"/>
      <c r="B134" s="86"/>
      <c r="C134" s="86"/>
      <c r="D134" s="87"/>
      <c r="E134" s="87"/>
    </row>
    <row r="135" spans="1:5" ht="15.75">
      <c r="A135" s="85"/>
      <c r="B135" s="86"/>
      <c r="C135" s="86"/>
      <c r="D135" s="87"/>
      <c r="E135" s="87"/>
    </row>
    <row r="136" spans="1:5" ht="15.75">
      <c r="A136" s="85"/>
      <c r="B136" s="86"/>
      <c r="C136" s="86"/>
      <c r="D136" s="87"/>
      <c r="E136" s="87"/>
    </row>
    <row r="137" spans="1:5" ht="15.75">
      <c r="A137" s="85"/>
      <c r="B137" s="86"/>
      <c r="C137" s="86"/>
      <c r="D137" s="87"/>
      <c r="E137" s="87"/>
    </row>
    <row r="138" spans="1:5" ht="15.75">
      <c r="A138" s="85"/>
      <c r="B138" s="86"/>
      <c r="C138" s="86"/>
      <c r="D138" s="87"/>
      <c r="E138" s="87"/>
    </row>
    <row r="139" spans="1:5" ht="15.75">
      <c r="A139" s="85"/>
      <c r="B139" s="86"/>
      <c r="C139" s="86"/>
      <c r="D139" s="87"/>
      <c r="E139" s="87"/>
    </row>
    <row r="140" spans="1:5" ht="15.75">
      <c r="A140" s="85"/>
      <c r="B140" s="86"/>
      <c r="C140" s="86"/>
      <c r="D140" s="87"/>
      <c r="E140" s="87"/>
    </row>
    <row r="141" spans="1:5" ht="15.75">
      <c r="A141" s="85"/>
      <c r="B141" s="86"/>
      <c r="C141" s="86"/>
      <c r="D141" s="87"/>
      <c r="E141" s="87"/>
    </row>
    <row r="142" spans="1:5" ht="15.75">
      <c r="A142" s="85"/>
      <c r="B142" s="86"/>
      <c r="C142" s="86"/>
      <c r="D142" s="87"/>
      <c r="E142" s="87"/>
    </row>
    <row r="143" spans="1:5" ht="15.75">
      <c r="A143" s="85"/>
      <c r="B143" s="86"/>
      <c r="C143" s="86"/>
      <c r="D143" s="87"/>
      <c r="E143" s="87"/>
    </row>
    <row r="144" spans="1:5" ht="15.75">
      <c r="A144" s="85"/>
      <c r="B144" s="86"/>
      <c r="C144" s="86"/>
      <c r="D144" s="87"/>
      <c r="E144" s="87"/>
    </row>
    <row r="145" spans="1:5" ht="15.75">
      <c r="A145" s="85"/>
      <c r="B145" s="86"/>
      <c r="C145" s="86"/>
      <c r="D145" s="87"/>
      <c r="E145" s="87"/>
    </row>
    <row r="146" spans="1:5" ht="15.75">
      <c r="A146" s="85"/>
      <c r="B146" s="86"/>
      <c r="C146" s="86"/>
      <c r="D146" s="87"/>
      <c r="E146" s="87"/>
    </row>
    <row r="147" spans="1:5" ht="15.75">
      <c r="A147" s="85"/>
      <c r="B147" s="86"/>
      <c r="C147" s="86"/>
      <c r="D147" s="87"/>
      <c r="E147" s="87"/>
    </row>
    <row r="148" spans="1:5" ht="15.75">
      <c r="A148" s="85"/>
      <c r="B148" s="86"/>
      <c r="C148" s="86"/>
      <c r="D148" s="87"/>
      <c r="E148" s="87"/>
    </row>
    <row r="149" spans="1:5" ht="15.75">
      <c r="A149" s="85"/>
      <c r="B149" s="86"/>
      <c r="C149" s="86"/>
      <c r="D149" s="87"/>
      <c r="E149" s="87"/>
    </row>
    <row r="150" spans="1:5" ht="15.75">
      <c r="A150" s="85"/>
      <c r="B150" s="86"/>
      <c r="C150" s="86"/>
      <c r="D150" s="87"/>
      <c r="E150" s="87"/>
    </row>
    <row r="151" spans="1:5" ht="15.75">
      <c r="A151" s="85"/>
      <c r="B151" s="86"/>
      <c r="C151" s="86"/>
      <c r="D151" s="87"/>
      <c r="E151" s="87"/>
    </row>
    <row r="152" spans="1:5" ht="15.75">
      <c r="A152" s="85"/>
      <c r="B152" s="86"/>
      <c r="C152" s="86"/>
      <c r="D152" s="87"/>
      <c r="E152" s="87"/>
    </row>
    <row r="153" spans="1:5" ht="15.75">
      <c r="A153" s="85"/>
      <c r="B153" s="86"/>
      <c r="C153" s="86"/>
      <c r="D153" s="87"/>
      <c r="E153" s="87"/>
    </row>
    <row r="154" spans="1:5" ht="15.75">
      <c r="A154" s="85"/>
      <c r="B154" s="86"/>
      <c r="C154" s="86"/>
      <c r="D154" s="87"/>
      <c r="E154" s="87"/>
    </row>
    <row r="155" spans="1:5" ht="15.75">
      <c r="A155" s="85"/>
      <c r="B155" s="86"/>
      <c r="C155" s="86"/>
      <c r="D155" s="87"/>
      <c r="E155" s="87"/>
    </row>
    <row r="156" spans="1:5" ht="15.75">
      <c r="A156" s="85"/>
      <c r="B156" s="86"/>
      <c r="C156" s="86"/>
      <c r="D156" s="87"/>
      <c r="E156" s="87"/>
    </row>
    <row r="157" spans="1:5" ht="15.75">
      <c r="A157" s="85"/>
      <c r="B157" s="86"/>
      <c r="C157" s="86"/>
      <c r="D157" s="87"/>
      <c r="E157" s="87"/>
    </row>
    <row r="158" spans="1:5" ht="15.75">
      <c r="A158" s="85"/>
      <c r="B158" s="86"/>
      <c r="C158" s="86"/>
      <c r="D158" s="87"/>
      <c r="E158" s="87"/>
    </row>
    <row r="159" spans="1:5" ht="15.75">
      <c r="A159" s="85"/>
      <c r="B159" s="86"/>
      <c r="C159" s="86"/>
      <c r="D159" s="87"/>
      <c r="E159" s="87"/>
    </row>
    <row r="160" spans="1:5" ht="15.75">
      <c r="A160" s="85"/>
      <c r="B160" s="86"/>
      <c r="C160" s="86"/>
      <c r="D160" s="87"/>
      <c r="E160" s="87"/>
    </row>
    <row r="161" spans="1:5" ht="15.75">
      <c r="A161" s="85"/>
      <c r="B161" s="86"/>
      <c r="C161" s="86"/>
      <c r="D161" s="87"/>
      <c r="E161" s="87"/>
    </row>
    <row r="162" spans="1:5" ht="15.75">
      <c r="A162" s="85"/>
      <c r="B162" s="86"/>
      <c r="C162" s="86"/>
      <c r="D162" s="87"/>
      <c r="E162" s="87"/>
    </row>
    <row r="163" spans="1:5" ht="15.75">
      <c r="A163" s="85"/>
      <c r="B163" s="86"/>
      <c r="C163" s="86"/>
      <c r="D163" s="87"/>
      <c r="E163" s="87"/>
    </row>
    <row r="164" spans="1:5" ht="15.75">
      <c r="A164" s="85"/>
      <c r="B164" s="86"/>
      <c r="C164" s="86"/>
      <c r="D164" s="87"/>
      <c r="E164" s="87"/>
    </row>
    <row r="165" spans="1:5" ht="15.75">
      <c r="A165" s="85"/>
      <c r="B165" s="86"/>
      <c r="C165" s="86"/>
      <c r="D165" s="87"/>
      <c r="E165" s="87"/>
    </row>
    <row r="166" spans="1:5" ht="15.75">
      <c r="A166" s="85"/>
      <c r="B166" s="86"/>
      <c r="C166" s="86"/>
      <c r="D166" s="87"/>
      <c r="E166" s="87"/>
    </row>
    <row r="167" spans="1:5" ht="15.75">
      <c r="A167" s="85"/>
      <c r="B167" s="86"/>
      <c r="C167" s="86"/>
      <c r="D167" s="87"/>
      <c r="E167" s="87"/>
    </row>
    <row r="168" spans="1:5" ht="15.75">
      <c r="A168" s="85"/>
      <c r="B168" s="86"/>
      <c r="C168" s="86"/>
      <c r="D168" s="87"/>
      <c r="E168" s="87"/>
    </row>
    <row r="169" spans="1:5" ht="15.75">
      <c r="A169" s="85"/>
      <c r="B169" s="86"/>
      <c r="C169" s="86"/>
      <c r="D169" s="87"/>
      <c r="E169" s="87"/>
    </row>
    <row r="170" spans="1:5" ht="15.75">
      <c r="A170" s="85"/>
      <c r="B170" s="86"/>
      <c r="C170" s="86"/>
      <c r="D170" s="87"/>
      <c r="E170" s="87"/>
    </row>
    <row r="171" spans="1:5" ht="15.75">
      <c r="A171" s="85"/>
      <c r="B171" s="86"/>
      <c r="C171" s="86"/>
      <c r="D171" s="87"/>
      <c r="E171" s="87"/>
    </row>
    <row r="172" spans="1:5" ht="15.75">
      <c r="A172" s="85"/>
      <c r="B172" s="86"/>
      <c r="C172" s="86"/>
      <c r="D172" s="87"/>
      <c r="E172" s="87"/>
    </row>
    <row r="173" spans="1:5" ht="15.75">
      <c r="A173" s="85"/>
      <c r="B173" s="86"/>
      <c r="C173" s="86"/>
      <c r="D173" s="87"/>
      <c r="E173" s="87"/>
    </row>
    <row r="174" spans="1:5" ht="15.75">
      <c r="A174" s="85"/>
      <c r="B174" s="86"/>
      <c r="C174" s="86"/>
      <c r="D174" s="87"/>
      <c r="E174" s="87"/>
    </row>
    <row r="175" spans="1:5" ht="15.75">
      <c r="A175" s="85"/>
      <c r="B175" s="86"/>
      <c r="C175" s="86"/>
      <c r="D175" s="87"/>
      <c r="E175" s="87"/>
    </row>
    <row r="176" spans="1:5" ht="15.75">
      <c r="A176" s="85"/>
      <c r="B176" s="86"/>
      <c r="C176" s="86"/>
      <c r="D176" s="87"/>
      <c r="E176" s="87"/>
    </row>
    <row r="177" spans="1:5" ht="15.75">
      <c r="A177" s="85"/>
      <c r="B177" s="86"/>
      <c r="C177" s="86"/>
      <c r="D177" s="87"/>
      <c r="E177" s="87"/>
    </row>
    <row r="178" spans="1:5" ht="15.75">
      <c r="A178" s="85"/>
      <c r="B178" s="86"/>
      <c r="C178" s="86"/>
      <c r="D178" s="87"/>
      <c r="E178" s="87"/>
    </row>
    <row r="179" spans="1:5" ht="15.75">
      <c r="A179" s="85"/>
      <c r="B179" s="86"/>
      <c r="C179" s="86"/>
      <c r="D179" s="87"/>
      <c r="E179" s="87"/>
    </row>
    <row r="180" spans="1:5" ht="15.75">
      <c r="A180" s="85"/>
      <c r="B180" s="86"/>
      <c r="C180" s="86"/>
      <c r="D180" s="87"/>
      <c r="E180" s="87"/>
    </row>
    <row r="181" spans="1:5" ht="15.75">
      <c r="A181" s="85"/>
      <c r="B181" s="86"/>
      <c r="C181" s="86"/>
      <c r="D181" s="87"/>
      <c r="E181" s="87"/>
    </row>
    <row r="182" spans="1:5" ht="15.75">
      <c r="A182" s="85"/>
      <c r="B182" s="86"/>
      <c r="C182" s="86"/>
      <c r="D182" s="87"/>
      <c r="E182" s="87"/>
    </row>
    <row r="183" spans="1:5" ht="15.75">
      <c r="A183" s="85"/>
      <c r="B183" s="86"/>
      <c r="C183" s="86"/>
      <c r="D183" s="87"/>
      <c r="E183" s="87"/>
    </row>
    <row r="184" spans="1:5" ht="15.75">
      <c r="A184" s="85"/>
      <c r="B184" s="86"/>
      <c r="C184" s="86"/>
      <c r="D184" s="87"/>
      <c r="E184" s="87"/>
    </row>
    <row r="185" spans="1:5" ht="15.75">
      <c r="A185" s="85"/>
      <c r="B185" s="86"/>
      <c r="C185" s="86"/>
      <c r="D185" s="87"/>
      <c r="E185" s="87"/>
    </row>
    <row r="186" spans="1:5" ht="15.75">
      <c r="A186" s="85"/>
      <c r="B186" s="86"/>
      <c r="C186" s="86"/>
      <c r="D186" s="87"/>
      <c r="E186" s="87"/>
    </row>
    <row r="187" spans="1:5" ht="15.75">
      <c r="A187" s="85"/>
      <c r="B187" s="86"/>
      <c r="C187" s="86"/>
      <c r="D187" s="87"/>
      <c r="E187" s="87"/>
    </row>
    <row r="188" spans="1:5" ht="15.75">
      <c r="A188" s="85"/>
      <c r="B188" s="86"/>
      <c r="C188" s="86"/>
      <c r="D188" s="87"/>
      <c r="E188" s="87"/>
    </row>
    <row r="189" spans="1:5" ht="15.75">
      <c r="A189" s="85"/>
      <c r="B189" s="86"/>
      <c r="C189" s="86"/>
      <c r="D189" s="87"/>
      <c r="E189" s="87"/>
    </row>
    <row r="190" spans="1:5" ht="15.75">
      <c r="A190" s="85"/>
      <c r="B190" s="86"/>
      <c r="C190" s="86"/>
      <c r="D190" s="87"/>
      <c r="E190" s="87"/>
    </row>
    <row r="191" spans="1:5" ht="15.75">
      <c r="A191" s="85"/>
      <c r="B191" s="86"/>
      <c r="C191" s="86"/>
      <c r="D191" s="87"/>
      <c r="E191" s="87"/>
    </row>
    <row r="192" spans="1:5" ht="15.75">
      <c r="A192" s="85"/>
      <c r="B192" s="86"/>
      <c r="C192" s="86"/>
      <c r="D192" s="87"/>
      <c r="E192" s="87"/>
    </row>
    <row r="193" spans="1:5" ht="15.75">
      <c r="A193" s="85"/>
      <c r="B193" s="86"/>
      <c r="C193" s="86"/>
      <c r="D193" s="87"/>
      <c r="E193" s="87"/>
    </row>
    <row r="194" spans="1:5" ht="15.75">
      <c r="A194" s="85"/>
      <c r="B194" s="86"/>
      <c r="C194" s="86"/>
      <c r="D194" s="87"/>
      <c r="E194" s="87"/>
    </row>
    <row r="195" spans="1:5" ht="15.75">
      <c r="A195" s="85"/>
      <c r="B195" s="86"/>
      <c r="C195" s="86"/>
      <c r="D195" s="87"/>
      <c r="E195" s="87"/>
    </row>
    <row r="196" spans="1:5" ht="15.75">
      <c r="A196" s="85"/>
      <c r="B196" s="86"/>
      <c r="C196" s="86"/>
      <c r="D196" s="87"/>
      <c r="E196" s="87"/>
    </row>
    <row r="197" spans="1:5" ht="15.75">
      <c r="A197" s="85"/>
      <c r="B197" s="86"/>
      <c r="C197" s="86"/>
      <c r="D197" s="87"/>
      <c r="E197" s="87"/>
    </row>
    <row r="198" spans="1:5" ht="15.75">
      <c r="A198" s="85"/>
      <c r="B198" s="86"/>
      <c r="C198" s="86"/>
      <c r="D198" s="87"/>
      <c r="E198" s="87"/>
    </row>
    <row r="199" spans="1:5" ht="15.75">
      <c r="A199" s="85"/>
      <c r="B199" s="86"/>
      <c r="C199" s="86"/>
      <c r="D199" s="87"/>
      <c r="E199" s="87"/>
    </row>
    <row r="200" spans="1:5" ht="15.75">
      <c r="A200" s="85"/>
      <c r="B200" s="86"/>
      <c r="C200" s="86"/>
      <c r="D200" s="87"/>
      <c r="E200" s="87"/>
    </row>
    <row r="201" spans="1:5" ht="15.75">
      <c r="A201" s="85"/>
      <c r="B201" s="86"/>
      <c r="C201" s="86"/>
      <c r="D201" s="87"/>
      <c r="E201" s="87"/>
    </row>
    <row r="202" spans="1:5" ht="15.75">
      <c r="A202" s="85"/>
      <c r="B202" s="86"/>
      <c r="C202" s="86"/>
      <c r="D202" s="87"/>
      <c r="E202" s="87"/>
    </row>
    <row r="203" spans="1:5" ht="15.75">
      <c r="A203" s="85"/>
      <c r="B203" s="86"/>
      <c r="C203" s="86"/>
      <c r="D203" s="87"/>
      <c r="E203" s="87"/>
    </row>
    <row r="204" spans="1:5" ht="15.75">
      <c r="A204" s="85"/>
      <c r="B204" s="86"/>
      <c r="C204" s="86"/>
      <c r="D204" s="87"/>
      <c r="E204" s="87"/>
    </row>
    <row r="205" spans="1:5" ht="15.75">
      <c r="A205" s="85"/>
      <c r="B205" s="86"/>
      <c r="C205" s="86"/>
      <c r="D205" s="87"/>
      <c r="E205" s="87"/>
    </row>
    <row r="206" spans="1:5" ht="15.75">
      <c r="A206" s="85"/>
      <c r="B206" s="86"/>
      <c r="C206" s="86"/>
      <c r="D206" s="87"/>
      <c r="E206" s="87"/>
    </row>
    <row r="207" spans="1:5" ht="15.75">
      <c r="A207" s="85"/>
      <c r="B207" s="86"/>
      <c r="C207" s="86"/>
      <c r="D207" s="87"/>
      <c r="E207" s="87"/>
    </row>
    <row r="208" spans="1:5" ht="15.75">
      <c r="A208" s="85"/>
      <c r="B208" s="86"/>
      <c r="C208" s="86"/>
      <c r="D208" s="87"/>
      <c r="E208" s="87"/>
    </row>
    <row r="209" spans="1:5" ht="15.75">
      <c r="A209" s="85"/>
      <c r="B209" s="86"/>
      <c r="C209" s="86"/>
      <c r="D209" s="87"/>
      <c r="E209" s="87"/>
    </row>
    <row r="210" spans="1:5" ht="15.75">
      <c r="A210" s="85"/>
      <c r="B210" s="86"/>
      <c r="C210" s="86"/>
      <c r="D210" s="87"/>
      <c r="E210" s="87"/>
    </row>
    <row r="211" spans="1:5" ht="15.75">
      <c r="A211" s="85"/>
      <c r="B211" s="86"/>
      <c r="C211" s="86"/>
      <c r="D211" s="87"/>
      <c r="E211" s="87"/>
    </row>
    <row r="212" spans="1:5" ht="15.75">
      <c r="A212" s="85"/>
      <c r="B212" s="86"/>
      <c r="C212" s="86"/>
      <c r="D212" s="87"/>
      <c r="E212" s="87"/>
    </row>
    <row r="213" spans="1:5" ht="15.75">
      <c r="A213" s="85"/>
      <c r="B213" s="86"/>
      <c r="C213" s="86"/>
      <c r="D213" s="87"/>
      <c r="E213" s="87"/>
    </row>
    <row r="214" spans="1:5" ht="15.75">
      <c r="A214" s="85"/>
      <c r="B214" s="86"/>
      <c r="C214" s="86"/>
      <c r="D214" s="87"/>
      <c r="E214" s="87"/>
    </row>
    <row r="215" spans="1:5" ht="15.75">
      <c r="A215" s="85"/>
      <c r="B215" s="86"/>
      <c r="C215" s="86"/>
      <c r="D215" s="87"/>
      <c r="E215" s="87"/>
    </row>
    <row r="216" spans="1:5" ht="15.75">
      <c r="A216" s="85"/>
      <c r="B216" s="86"/>
      <c r="C216" s="86"/>
      <c r="D216" s="87"/>
      <c r="E216" s="87"/>
    </row>
    <row r="217" spans="1:5" ht="15.75">
      <c r="A217" s="85"/>
      <c r="B217" s="86"/>
      <c r="C217" s="86"/>
      <c r="D217" s="87"/>
      <c r="E217" s="87"/>
    </row>
    <row r="218" spans="1:5" ht="15.75">
      <c r="A218" s="85"/>
      <c r="B218" s="86"/>
      <c r="C218" s="86"/>
      <c r="D218" s="87"/>
      <c r="E218" s="87"/>
    </row>
    <row r="219" spans="1:5" ht="15.75">
      <c r="A219" s="85"/>
      <c r="B219" s="86"/>
      <c r="C219" s="86"/>
      <c r="D219" s="87"/>
      <c r="E219" s="87"/>
    </row>
    <row r="220" spans="1:5" ht="15.75">
      <c r="A220" s="85"/>
      <c r="B220" s="86"/>
      <c r="C220" s="86"/>
      <c r="D220" s="87"/>
      <c r="E220" s="87"/>
    </row>
    <row r="221" spans="1:5" ht="15.75">
      <c r="A221" s="85"/>
      <c r="B221" s="86"/>
      <c r="C221" s="86"/>
      <c r="D221" s="87"/>
      <c r="E221" s="87"/>
    </row>
    <row r="222" spans="1:5" ht="15.75">
      <c r="A222" s="85"/>
      <c r="B222" s="86"/>
      <c r="C222" s="86"/>
      <c r="D222" s="87"/>
      <c r="E222" s="87"/>
    </row>
    <row r="223" spans="1:5" ht="15.75">
      <c r="A223" s="85"/>
      <c r="B223" s="86"/>
      <c r="C223" s="86"/>
      <c r="D223" s="87"/>
      <c r="E223" s="87"/>
    </row>
    <row r="224" spans="1:5" ht="15.75">
      <c r="A224" s="85"/>
      <c r="B224" s="86"/>
      <c r="C224" s="86"/>
      <c r="D224" s="87"/>
      <c r="E224" s="87"/>
    </row>
    <row r="225" spans="1:5" ht="15.75">
      <c r="A225" s="85"/>
      <c r="B225" s="86"/>
      <c r="C225" s="86"/>
      <c r="D225" s="87"/>
      <c r="E225" s="87"/>
    </row>
    <row r="226" spans="1:5" ht="15.75">
      <c r="A226" s="85"/>
      <c r="B226" s="86"/>
      <c r="C226" s="86"/>
      <c r="D226" s="87"/>
      <c r="E226" s="87"/>
    </row>
    <row r="227" spans="1:5" ht="15.75">
      <c r="A227" s="85"/>
      <c r="B227" s="86"/>
      <c r="C227" s="86"/>
      <c r="D227" s="87"/>
      <c r="E227" s="87"/>
    </row>
    <row r="228" spans="1:5" ht="15.75">
      <c r="A228" s="85"/>
      <c r="B228" s="86"/>
      <c r="C228" s="86"/>
      <c r="D228" s="87"/>
      <c r="E228" s="87"/>
    </row>
    <row r="229" spans="1:5" ht="15.75">
      <c r="A229" s="85"/>
      <c r="B229" s="86"/>
      <c r="C229" s="86"/>
      <c r="D229" s="87"/>
      <c r="E229" s="87"/>
    </row>
    <row r="230" spans="1:5" ht="15.75">
      <c r="A230" s="85"/>
      <c r="B230" s="86"/>
      <c r="C230" s="86"/>
      <c r="D230" s="87"/>
      <c r="E230" s="87"/>
    </row>
    <row r="231" spans="1:5" ht="15.75">
      <c r="A231" s="85"/>
      <c r="B231" s="86"/>
      <c r="C231" s="86"/>
      <c r="D231" s="87"/>
      <c r="E231" s="87"/>
    </row>
    <row r="232" spans="1:5" ht="15.75">
      <c r="A232" s="85"/>
      <c r="B232" s="86"/>
      <c r="C232" s="86"/>
      <c r="D232" s="87"/>
      <c r="E232" s="87"/>
    </row>
    <row r="233" spans="1:5" ht="15.75">
      <c r="A233" s="85"/>
      <c r="B233" s="86"/>
      <c r="C233" s="86"/>
      <c r="D233" s="87"/>
      <c r="E233" s="87"/>
    </row>
    <row r="234" spans="1:5" ht="15.75">
      <c r="A234" s="85"/>
      <c r="B234" s="86"/>
      <c r="C234" s="86"/>
      <c r="D234" s="87"/>
      <c r="E234" s="87"/>
    </row>
    <row r="235" spans="1:5" ht="15.75">
      <c r="A235" s="85"/>
      <c r="B235" s="86"/>
      <c r="C235" s="86"/>
      <c r="D235" s="87"/>
      <c r="E235" s="87"/>
    </row>
    <row r="236" spans="2:3" ht="15.75">
      <c r="B236" s="89"/>
      <c r="C236" s="89"/>
    </row>
    <row r="237" spans="2:3" ht="15.75">
      <c r="B237" s="89"/>
      <c r="C237" s="89"/>
    </row>
    <row r="238" spans="2:3" ht="15.75">
      <c r="B238" s="89"/>
      <c r="C238" s="89"/>
    </row>
    <row r="239" spans="2:3" ht="15.75">
      <c r="B239" s="89"/>
      <c r="C239" s="89"/>
    </row>
    <row r="240" spans="2:3" ht="15.75">
      <c r="B240" s="89"/>
      <c r="C240" s="89"/>
    </row>
    <row r="241" spans="1:8" s="77" customFormat="1" ht="15.75">
      <c r="A241" s="62"/>
      <c r="B241" s="89"/>
      <c r="C241" s="89"/>
      <c r="F241" s="62"/>
      <c r="G241" s="62"/>
      <c r="H241" s="62"/>
    </row>
    <row r="242" spans="1:8" s="77" customFormat="1" ht="15.75">
      <c r="A242" s="62"/>
      <c r="B242" s="89"/>
      <c r="C242" s="89"/>
      <c r="F242" s="62"/>
      <c r="G242" s="62"/>
      <c r="H242" s="62"/>
    </row>
    <row r="243" spans="1:8" s="77" customFormat="1" ht="15.75">
      <c r="A243" s="62"/>
      <c r="B243" s="89"/>
      <c r="C243" s="89"/>
      <c r="F243" s="62"/>
      <c r="G243" s="62"/>
      <c r="H243" s="62"/>
    </row>
    <row r="244" spans="1:8" s="77" customFormat="1" ht="15.75">
      <c r="A244" s="62"/>
      <c r="B244" s="89"/>
      <c r="C244" s="89"/>
      <c r="F244" s="62"/>
      <c r="G244" s="62"/>
      <c r="H244" s="62"/>
    </row>
    <row r="245" spans="1:8" s="77" customFormat="1" ht="15.75">
      <c r="A245" s="62"/>
      <c r="B245" s="89"/>
      <c r="C245" s="89"/>
      <c r="F245" s="62"/>
      <c r="G245" s="62"/>
      <c r="H245" s="62"/>
    </row>
    <row r="246" spans="1:8" s="77" customFormat="1" ht="15.75">
      <c r="A246" s="62"/>
      <c r="B246" s="89"/>
      <c r="C246" s="89"/>
      <c r="F246" s="62"/>
      <c r="G246" s="62"/>
      <c r="H246" s="62"/>
    </row>
    <row r="247" spans="1:8" s="77" customFormat="1" ht="15.75">
      <c r="A247" s="62"/>
      <c r="B247" s="89"/>
      <c r="C247" s="89"/>
      <c r="F247" s="62"/>
      <c r="G247" s="62"/>
      <c r="H247" s="62"/>
    </row>
    <row r="248" spans="1:8" s="77" customFormat="1" ht="15.75">
      <c r="A248" s="62"/>
      <c r="B248" s="89"/>
      <c r="C248" s="89"/>
      <c r="F248" s="62"/>
      <c r="G248" s="62"/>
      <c r="H248" s="62"/>
    </row>
    <row r="249" spans="1:8" s="77" customFormat="1" ht="15.75">
      <c r="A249" s="62"/>
      <c r="B249" s="89"/>
      <c r="C249" s="89"/>
      <c r="F249" s="62"/>
      <c r="G249" s="62"/>
      <c r="H249" s="62"/>
    </row>
    <row r="250" spans="1:8" s="77" customFormat="1" ht="15.75">
      <c r="A250" s="62"/>
      <c r="B250" s="89"/>
      <c r="C250" s="89"/>
      <c r="F250" s="62"/>
      <c r="G250" s="62"/>
      <c r="H250" s="62"/>
    </row>
    <row r="251" spans="1:8" s="77" customFormat="1" ht="15.75">
      <c r="A251" s="62"/>
      <c r="B251" s="89"/>
      <c r="C251" s="89"/>
      <c r="F251" s="62"/>
      <c r="G251" s="62"/>
      <c r="H251" s="62"/>
    </row>
    <row r="252" spans="1:8" s="77" customFormat="1" ht="15.75">
      <c r="A252" s="62"/>
      <c r="B252" s="89"/>
      <c r="C252" s="89"/>
      <c r="F252" s="62"/>
      <c r="G252" s="62"/>
      <c r="H252" s="62"/>
    </row>
    <row r="253" spans="1:8" s="77" customFormat="1" ht="15.75">
      <c r="A253" s="62"/>
      <c r="B253" s="89"/>
      <c r="C253" s="89"/>
      <c r="F253" s="62"/>
      <c r="G253" s="62"/>
      <c r="H253" s="62"/>
    </row>
    <row r="254" spans="1:8" s="77" customFormat="1" ht="15.75">
      <c r="A254" s="62"/>
      <c r="B254" s="89"/>
      <c r="C254" s="89"/>
      <c r="F254" s="62"/>
      <c r="G254" s="62"/>
      <c r="H254" s="62"/>
    </row>
    <row r="255" spans="1:8" s="77" customFormat="1" ht="15.75">
      <c r="A255" s="62"/>
      <c r="B255" s="89"/>
      <c r="C255" s="89"/>
      <c r="F255" s="62"/>
      <c r="G255" s="62"/>
      <c r="H255" s="62"/>
    </row>
    <row r="256" spans="1:8" s="77" customFormat="1" ht="15.75">
      <c r="A256" s="62"/>
      <c r="B256" s="89"/>
      <c r="C256" s="89"/>
      <c r="F256" s="62"/>
      <c r="G256" s="62"/>
      <c r="H256" s="62"/>
    </row>
    <row r="257" spans="1:8" s="77" customFormat="1" ht="15.75">
      <c r="A257" s="62"/>
      <c r="B257" s="89"/>
      <c r="C257" s="89"/>
      <c r="F257" s="62"/>
      <c r="G257" s="62"/>
      <c r="H257" s="62"/>
    </row>
    <row r="258" spans="1:8" s="77" customFormat="1" ht="15.75">
      <c r="A258" s="62"/>
      <c r="B258" s="89"/>
      <c r="C258" s="89"/>
      <c r="F258" s="62"/>
      <c r="G258" s="62"/>
      <c r="H258" s="62"/>
    </row>
    <row r="259" spans="1:8" s="77" customFormat="1" ht="15.75">
      <c r="A259" s="62"/>
      <c r="B259" s="89"/>
      <c r="C259" s="89"/>
      <c r="F259" s="62"/>
      <c r="G259" s="62"/>
      <c r="H259" s="62"/>
    </row>
    <row r="260" spans="1:8" s="77" customFormat="1" ht="15.75">
      <c r="A260" s="62"/>
      <c r="B260" s="89"/>
      <c r="C260" s="89"/>
      <c r="F260" s="62"/>
      <c r="G260" s="62"/>
      <c r="H260" s="62"/>
    </row>
    <row r="261" spans="1:8" s="77" customFormat="1" ht="15.75">
      <c r="A261" s="62"/>
      <c r="B261" s="89"/>
      <c r="C261" s="89"/>
      <c r="F261" s="62"/>
      <c r="G261" s="62"/>
      <c r="H261" s="62"/>
    </row>
    <row r="262" spans="1:8" s="77" customFormat="1" ht="15.75">
      <c r="A262" s="62"/>
      <c r="B262" s="89"/>
      <c r="C262" s="89"/>
      <c r="F262" s="62"/>
      <c r="G262" s="62"/>
      <c r="H262" s="62"/>
    </row>
    <row r="263" spans="1:8" s="77" customFormat="1" ht="15.75">
      <c r="A263" s="62"/>
      <c r="B263" s="89"/>
      <c r="C263" s="89"/>
      <c r="F263" s="62"/>
      <c r="G263" s="62"/>
      <c r="H263" s="62"/>
    </row>
    <row r="264" spans="1:8" s="77" customFormat="1" ht="15.75">
      <c r="A264" s="62"/>
      <c r="B264" s="89"/>
      <c r="C264" s="89"/>
      <c r="F264" s="62"/>
      <c r="G264" s="62"/>
      <c r="H264" s="62"/>
    </row>
    <row r="265" spans="1:8" s="77" customFormat="1" ht="15.75">
      <c r="A265" s="62"/>
      <c r="B265" s="89"/>
      <c r="C265" s="89"/>
      <c r="F265" s="62"/>
      <c r="G265" s="62"/>
      <c r="H265" s="62"/>
    </row>
    <row r="266" spans="1:8" s="77" customFormat="1" ht="15.75">
      <c r="A266" s="62"/>
      <c r="B266" s="89"/>
      <c r="C266" s="89"/>
      <c r="F266" s="62"/>
      <c r="G266" s="62"/>
      <c r="H266" s="62"/>
    </row>
    <row r="267" spans="1:8" s="77" customFormat="1" ht="15.75">
      <c r="A267" s="62"/>
      <c r="B267" s="89"/>
      <c r="C267" s="89"/>
      <c r="F267" s="62"/>
      <c r="G267" s="62"/>
      <c r="H267" s="62"/>
    </row>
    <row r="268" spans="1:8" s="77" customFormat="1" ht="15.75">
      <c r="A268" s="62"/>
      <c r="B268" s="89"/>
      <c r="C268" s="89"/>
      <c r="F268" s="62"/>
      <c r="G268" s="62"/>
      <c r="H268" s="62"/>
    </row>
    <row r="269" spans="1:8" s="77" customFormat="1" ht="15.75">
      <c r="A269" s="62"/>
      <c r="B269" s="89"/>
      <c r="C269" s="89"/>
      <c r="F269" s="62"/>
      <c r="G269" s="62"/>
      <c r="H269" s="62"/>
    </row>
    <row r="270" spans="1:8" s="77" customFormat="1" ht="15.75">
      <c r="A270" s="62"/>
      <c r="B270" s="89"/>
      <c r="C270" s="89"/>
      <c r="F270" s="62"/>
      <c r="G270" s="62"/>
      <c r="H270" s="62"/>
    </row>
    <row r="271" spans="1:8" s="77" customFormat="1" ht="15.75">
      <c r="A271" s="62"/>
      <c r="B271" s="89"/>
      <c r="C271" s="89"/>
      <c r="F271" s="62"/>
      <c r="G271" s="62"/>
      <c r="H271" s="62"/>
    </row>
    <row r="272" spans="1:8" s="77" customFormat="1" ht="15.75">
      <c r="A272" s="62"/>
      <c r="B272" s="89"/>
      <c r="C272" s="89"/>
      <c r="F272" s="62"/>
      <c r="G272" s="62"/>
      <c r="H272" s="62"/>
    </row>
    <row r="273" spans="1:8" s="77" customFormat="1" ht="15.75">
      <c r="A273" s="62"/>
      <c r="B273" s="89"/>
      <c r="C273" s="89"/>
      <c r="F273" s="62"/>
      <c r="G273" s="62"/>
      <c r="H273" s="62"/>
    </row>
    <row r="274" spans="1:8" s="77" customFormat="1" ht="15.75">
      <c r="A274" s="62"/>
      <c r="B274" s="89"/>
      <c r="C274" s="89"/>
      <c r="F274" s="62"/>
      <c r="G274" s="62"/>
      <c r="H274" s="62"/>
    </row>
    <row r="275" spans="1:8" s="77" customFormat="1" ht="15.75">
      <c r="A275" s="62"/>
      <c r="B275" s="89"/>
      <c r="C275" s="89"/>
      <c r="F275" s="62"/>
      <c r="G275" s="62"/>
      <c r="H275" s="62"/>
    </row>
    <row r="276" spans="1:8" s="77" customFormat="1" ht="15.75">
      <c r="A276" s="62"/>
      <c r="B276" s="89"/>
      <c r="C276" s="89"/>
      <c r="F276" s="62"/>
      <c r="G276" s="62"/>
      <c r="H276" s="62"/>
    </row>
    <row r="277" spans="1:8" s="77" customFormat="1" ht="15.75">
      <c r="A277" s="62"/>
      <c r="B277" s="89"/>
      <c r="C277" s="89"/>
      <c r="F277" s="62"/>
      <c r="G277" s="62"/>
      <c r="H277" s="62"/>
    </row>
    <row r="278" spans="1:8" s="77" customFormat="1" ht="15.75">
      <c r="A278" s="62"/>
      <c r="B278" s="89"/>
      <c r="C278" s="89"/>
      <c r="F278" s="62"/>
      <c r="G278" s="62"/>
      <c r="H278" s="62"/>
    </row>
    <row r="279" spans="1:8" s="77" customFormat="1" ht="15.75">
      <c r="A279" s="62"/>
      <c r="B279" s="89"/>
      <c r="C279" s="89"/>
      <c r="F279" s="62"/>
      <c r="G279" s="62"/>
      <c r="H279" s="62"/>
    </row>
    <row r="280" spans="1:8" s="77" customFormat="1" ht="15.75">
      <c r="A280" s="62"/>
      <c r="B280" s="89"/>
      <c r="C280" s="89"/>
      <c r="F280" s="62"/>
      <c r="G280" s="62"/>
      <c r="H280" s="62"/>
    </row>
    <row r="281" spans="1:8" s="77" customFormat="1" ht="15.75">
      <c r="A281" s="62"/>
      <c r="B281" s="89"/>
      <c r="C281" s="89"/>
      <c r="F281" s="62"/>
      <c r="G281" s="62"/>
      <c r="H281" s="62"/>
    </row>
    <row r="282" spans="1:8" s="77" customFormat="1" ht="15.75">
      <c r="A282" s="62"/>
      <c r="B282" s="89"/>
      <c r="C282" s="89"/>
      <c r="F282" s="62"/>
      <c r="G282" s="62"/>
      <c r="H282" s="62"/>
    </row>
    <row r="283" spans="1:8" s="77" customFormat="1" ht="15.75">
      <c r="A283" s="62"/>
      <c r="B283" s="89"/>
      <c r="C283" s="89"/>
      <c r="F283" s="62"/>
      <c r="G283" s="62"/>
      <c r="H283" s="62"/>
    </row>
    <row r="284" spans="1:8" s="77" customFormat="1" ht="15.75">
      <c r="A284" s="62"/>
      <c r="B284" s="89"/>
      <c r="C284" s="89"/>
      <c r="F284" s="62"/>
      <c r="G284" s="62"/>
      <c r="H284" s="62"/>
    </row>
    <row r="285" spans="1:8" s="77" customFormat="1" ht="15.75">
      <c r="A285" s="62"/>
      <c r="B285" s="89"/>
      <c r="C285" s="89"/>
      <c r="F285" s="62"/>
      <c r="G285" s="62"/>
      <c r="H285" s="62"/>
    </row>
    <row r="286" spans="1:8" s="77" customFormat="1" ht="15.75">
      <c r="A286" s="62"/>
      <c r="B286" s="89"/>
      <c r="C286" s="89"/>
      <c r="F286" s="62"/>
      <c r="G286" s="62"/>
      <c r="H286" s="62"/>
    </row>
    <row r="287" spans="1:8" s="77" customFormat="1" ht="15.75">
      <c r="A287" s="62"/>
      <c r="B287" s="89"/>
      <c r="C287" s="89"/>
      <c r="F287" s="62"/>
      <c r="G287" s="62"/>
      <c r="H287" s="62"/>
    </row>
    <row r="288" spans="1:8" s="77" customFormat="1" ht="15.75">
      <c r="A288" s="62"/>
      <c r="B288" s="89"/>
      <c r="C288" s="89"/>
      <c r="F288" s="62"/>
      <c r="G288" s="62"/>
      <c r="H288" s="62"/>
    </row>
    <row r="289" spans="1:8" s="77" customFormat="1" ht="15.75">
      <c r="A289" s="62"/>
      <c r="B289" s="89"/>
      <c r="C289" s="89"/>
      <c r="F289" s="62"/>
      <c r="G289" s="62"/>
      <c r="H289" s="62"/>
    </row>
    <row r="290" spans="1:8" s="77" customFormat="1" ht="15.75">
      <c r="A290" s="62"/>
      <c r="B290" s="89"/>
      <c r="C290" s="89"/>
      <c r="F290" s="62"/>
      <c r="G290" s="62"/>
      <c r="H290" s="62"/>
    </row>
    <row r="291" spans="1:8" s="77" customFormat="1" ht="15.75">
      <c r="A291" s="62"/>
      <c r="B291" s="89"/>
      <c r="C291" s="89"/>
      <c r="F291" s="62"/>
      <c r="G291" s="62"/>
      <c r="H291" s="62"/>
    </row>
    <row r="292" spans="1:8" s="77" customFormat="1" ht="15.75">
      <c r="A292" s="62"/>
      <c r="B292" s="89"/>
      <c r="C292" s="89"/>
      <c r="F292" s="62"/>
      <c r="G292" s="62"/>
      <c r="H292" s="62"/>
    </row>
    <row r="293" spans="1:8" s="77" customFormat="1" ht="15.75">
      <c r="A293" s="62"/>
      <c r="B293" s="89"/>
      <c r="C293" s="89"/>
      <c r="F293" s="62"/>
      <c r="G293" s="62"/>
      <c r="H293" s="62"/>
    </row>
    <row r="294" spans="1:8" s="77" customFormat="1" ht="15.75">
      <c r="A294" s="62"/>
      <c r="B294" s="89"/>
      <c r="C294" s="89"/>
      <c r="F294" s="62"/>
      <c r="G294" s="62"/>
      <c r="H294" s="62"/>
    </row>
    <row r="295" spans="1:8" s="77" customFormat="1" ht="15.75">
      <c r="A295" s="62"/>
      <c r="B295" s="89"/>
      <c r="C295" s="89"/>
      <c r="F295" s="62"/>
      <c r="G295" s="62"/>
      <c r="H295" s="62"/>
    </row>
    <row r="296" spans="1:8" s="77" customFormat="1" ht="15.75">
      <c r="A296" s="62"/>
      <c r="B296" s="89"/>
      <c r="C296" s="89"/>
      <c r="F296" s="62"/>
      <c r="G296" s="62"/>
      <c r="H296" s="62"/>
    </row>
    <row r="297" spans="1:8" s="77" customFormat="1" ht="15.75">
      <c r="A297" s="62"/>
      <c r="B297" s="89"/>
      <c r="C297" s="89"/>
      <c r="F297" s="62"/>
      <c r="G297" s="62"/>
      <c r="H297" s="62"/>
    </row>
    <row r="298" spans="1:8" s="77" customFormat="1" ht="15.75">
      <c r="A298" s="62"/>
      <c r="B298" s="89"/>
      <c r="C298" s="89"/>
      <c r="F298" s="62"/>
      <c r="G298" s="62"/>
      <c r="H298" s="62"/>
    </row>
    <row r="299" spans="1:8" s="77" customFormat="1" ht="15.75">
      <c r="A299" s="62"/>
      <c r="B299" s="89"/>
      <c r="C299" s="89"/>
      <c r="F299" s="62"/>
      <c r="G299" s="62"/>
      <c r="H299" s="62"/>
    </row>
    <row r="300" spans="1:8" s="77" customFormat="1" ht="15.75">
      <c r="A300" s="62"/>
      <c r="B300" s="89"/>
      <c r="C300" s="89"/>
      <c r="F300" s="62"/>
      <c r="G300" s="62"/>
      <c r="H300" s="62"/>
    </row>
    <row r="301" spans="1:8" s="77" customFormat="1" ht="15.75">
      <c r="A301" s="62"/>
      <c r="B301" s="89"/>
      <c r="C301" s="89"/>
      <c r="F301" s="62"/>
      <c r="G301" s="62"/>
      <c r="H301" s="62"/>
    </row>
    <row r="302" spans="1:8" s="77" customFormat="1" ht="15.75">
      <c r="A302" s="62"/>
      <c r="B302" s="89"/>
      <c r="C302" s="89"/>
      <c r="F302" s="62"/>
      <c r="G302" s="62"/>
      <c r="H302" s="62"/>
    </row>
  </sheetData>
  <sheetProtection/>
  <mergeCells count="6">
    <mergeCell ref="A1:F1"/>
    <mergeCell ref="A2:F2"/>
    <mergeCell ref="A3:F3"/>
    <mergeCell ref="A5:F5"/>
    <mergeCell ref="A6:F6"/>
    <mergeCell ref="A54:C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1"/>
  <sheetViews>
    <sheetView zoomScalePageLayoutView="0" workbookViewId="0" topLeftCell="B1">
      <selection activeCell="K15" sqref="K15"/>
    </sheetView>
  </sheetViews>
  <sheetFormatPr defaultColWidth="9.00390625" defaultRowHeight="12.75"/>
  <cols>
    <col min="1" max="1" width="4.375" style="90" hidden="1" customWidth="1"/>
    <col min="2" max="2" width="38.75390625" style="90" customWidth="1"/>
    <col min="3" max="3" width="7.375" style="90" customWidth="1"/>
    <col min="4" max="4" width="7.625" style="90" customWidth="1"/>
    <col min="5" max="5" width="6.875" style="90" customWidth="1"/>
    <col min="6" max="6" width="6.00390625" style="90" customWidth="1"/>
    <col min="7" max="7" width="6.125" style="90" customWidth="1"/>
    <col min="8" max="8" width="5.125" style="90" customWidth="1"/>
    <col min="9" max="9" width="7.375" style="90" customWidth="1"/>
    <col min="10" max="10" width="9.00390625" style="90" customWidth="1"/>
    <col min="11" max="11" width="18.25390625" style="90" customWidth="1"/>
    <col min="12" max="12" width="18.25390625" style="136" customWidth="1"/>
    <col min="13" max="13" width="16.75390625" style="90" customWidth="1"/>
    <col min="14" max="16384" width="9.125" style="90" customWidth="1"/>
  </cols>
  <sheetData>
    <row r="1" spans="3:13" ht="15.75">
      <c r="C1" s="61"/>
      <c r="D1" s="61"/>
      <c r="E1" s="61"/>
      <c r="F1" s="61"/>
      <c r="G1" s="61"/>
      <c r="H1" s="61"/>
      <c r="I1" s="61"/>
      <c r="J1" s="61"/>
      <c r="K1" s="201" t="s">
        <v>244</v>
      </c>
      <c r="L1" s="201"/>
      <c r="M1" s="201"/>
    </row>
    <row r="2" spans="3:13" ht="15.75">
      <c r="C2" s="61"/>
      <c r="D2" s="61"/>
      <c r="E2" s="61"/>
      <c r="F2" s="61"/>
      <c r="G2" s="61"/>
      <c r="H2" s="61"/>
      <c r="I2" s="61"/>
      <c r="J2" s="61"/>
      <c r="K2" s="201" t="s">
        <v>245</v>
      </c>
      <c r="L2" s="201"/>
      <c r="M2" s="201"/>
    </row>
    <row r="3" spans="3:13" ht="15.75">
      <c r="C3" s="61"/>
      <c r="D3" s="61"/>
      <c r="E3" s="61"/>
      <c r="F3" s="61"/>
      <c r="G3" s="61"/>
      <c r="H3" s="61"/>
      <c r="I3" s="61"/>
      <c r="J3" s="61"/>
      <c r="K3" s="201" t="s">
        <v>302</v>
      </c>
      <c r="L3" s="201"/>
      <c r="M3" s="201"/>
    </row>
    <row r="4" spans="3:12" ht="15.75">
      <c r="C4" s="61"/>
      <c r="D4" s="61"/>
      <c r="E4" s="61"/>
      <c r="F4" s="61"/>
      <c r="G4" s="61"/>
      <c r="H4" s="61"/>
      <c r="I4" s="61"/>
      <c r="J4" s="61"/>
      <c r="K4" s="61"/>
      <c r="L4" s="91"/>
    </row>
    <row r="5" spans="1:13" ht="18.75">
      <c r="A5" s="212" t="s">
        <v>246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21" customHeight="1">
      <c r="A6" s="213" t="s">
        <v>303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1:13" ht="15.75">
      <c r="A7" s="92"/>
      <c r="B7" s="93"/>
      <c r="C7" s="94"/>
      <c r="D7" s="94"/>
      <c r="E7" s="94"/>
      <c r="F7" s="94"/>
      <c r="G7" s="94"/>
      <c r="H7" s="94"/>
      <c r="I7" s="94"/>
      <c r="J7" s="94"/>
      <c r="K7" s="95"/>
      <c r="L7" s="96"/>
      <c r="M7" s="95"/>
    </row>
    <row r="8" spans="1:13" ht="31.5" customHeight="1">
      <c r="A8" s="214" t="s">
        <v>247</v>
      </c>
      <c r="B8" s="214" t="s">
        <v>248</v>
      </c>
      <c r="C8" s="205" t="s">
        <v>249</v>
      </c>
      <c r="D8" s="206"/>
      <c r="E8" s="206"/>
      <c r="F8" s="206"/>
      <c r="G8" s="206"/>
      <c r="H8" s="206"/>
      <c r="I8" s="206"/>
      <c r="J8" s="207"/>
      <c r="K8" s="208" t="s">
        <v>185</v>
      </c>
      <c r="L8" s="208" t="s">
        <v>186</v>
      </c>
      <c r="M8" s="210" t="s">
        <v>67</v>
      </c>
    </row>
    <row r="9" spans="1:13" ht="105.75" customHeight="1">
      <c r="A9" s="215"/>
      <c r="B9" s="215"/>
      <c r="C9" s="97" t="s">
        <v>250</v>
      </c>
      <c r="D9" s="97" t="s">
        <v>251</v>
      </c>
      <c r="E9" s="97" t="s">
        <v>252</v>
      </c>
      <c r="F9" s="97" t="s">
        <v>253</v>
      </c>
      <c r="G9" s="97" t="s">
        <v>254</v>
      </c>
      <c r="H9" s="97" t="s">
        <v>255</v>
      </c>
      <c r="I9" s="97" t="s">
        <v>256</v>
      </c>
      <c r="J9" s="97" t="s">
        <v>257</v>
      </c>
      <c r="K9" s="209"/>
      <c r="L9" s="209"/>
      <c r="M9" s="211"/>
    </row>
    <row r="10" spans="1:13" ht="32.25" customHeight="1">
      <c r="A10" s="98">
        <v>1</v>
      </c>
      <c r="B10" s="99" t="s">
        <v>258</v>
      </c>
      <c r="C10" s="100" t="s">
        <v>21</v>
      </c>
      <c r="D10" s="100" t="s">
        <v>188</v>
      </c>
      <c r="E10" s="100" t="s">
        <v>191</v>
      </c>
      <c r="F10" s="100" t="s">
        <v>189</v>
      </c>
      <c r="G10" s="100" t="s">
        <v>189</v>
      </c>
      <c r="H10" s="100" t="s">
        <v>189</v>
      </c>
      <c r="I10" s="100" t="s">
        <v>2</v>
      </c>
      <c r="J10" s="100" t="s">
        <v>25</v>
      </c>
      <c r="K10" s="101">
        <f>K11-K13</f>
        <v>0</v>
      </c>
      <c r="L10" s="101">
        <f>L11-L13</f>
        <v>0</v>
      </c>
      <c r="M10" s="103">
        <v>0</v>
      </c>
    </row>
    <row r="11" spans="1:13" ht="52.5" customHeight="1">
      <c r="A11" s="104" t="s">
        <v>259</v>
      </c>
      <c r="B11" s="99" t="s">
        <v>260</v>
      </c>
      <c r="C11" s="100" t="s">
        <v>21</v>
      </c>
      <c r="D11" s="100" t="s">
        <v>188</v>
      </c>
      <c r="E11" s="100" t="s">
        <v>191</v>
      </c>
      <c r="F11" s="100" t="s">
        <v>189</v>
      </c>
      <c r="G11" s="100" t="s">
        <v>189</v>
      </c>
      <c r="H11" s="100" t="s">
        <v>189</v>
      </c>
      <c r="I11" s="100" t="s">
        <v>2</v>
      </c>
      <c r="J11" s="100" t="s">
        <v>261</v>
      </c>
      <c r="K11" s="101">
        <f>K12</f>
        <v>148600000</v>
      </c>
      <c r="L11" s="102">
        <f>L12</f>
        <v>96800000</v>
      </c>
      <c r="M11" s="103">
        <f aca="true" t="shared" si="0" ref="M11:M39">L11/K11</f>
        <v>0.6514131897711979</v>
      </c>
    </row>
    <row r="12" spans="1:13" ht="79.5" customHeight="1">
      <c r="A12" s="110"/>
      <c r="B12" s="99" t="s">
        <v>262</v>
      </c>
      <c r="C12" s="100" t="s">
        <v>21</v>
      </c>
      <c r="D12" s="100" t="s">
        <v>188</v>
      </c>
      <c r="E12" s="100" t="s">
        <v>191</v>
      </c>
      <c r="F12" s="100" t="s">
        <v>189</v>
      </c>
      <c r="G12" s="100" t="s">
        <v>189</v>
      </c>
      <c r="H12" s="100" t="s">
        <v>195</v>
      </c>
      <c r="I12" s="100" t="s">
        <v>2</v>
      </c>
      <c r="J12" s="100" t="s">
        <v>263</v>
      </c>
      <c r="K12" s="101">
        <v>148600000</v>
      </c>
      <c r="L12" s="102">
        <v>96800000</v>
      </c>
      <c r="M12" s="103">
        <f t="shared" si="0"/>
        <v>0.6514131897711979</v>
      </c>
    </row>
    <row r="13" spans="1:13" ht="79.5" customHeight="1">
      <c r="A13" s="110"/>
      <c r="B13" s="105" t="s">
        <v>304</v>
      </c>
      <c r="C13" s="106" t="s">
        <v>21</v>
      </c>
      <c r="D13" s="106" t="s">
        <v>188</v>
      </c>
      <c r="E13" s="106" t="s">
        <v>191</v>
      </c>
      <c r="F13" s="106" t="s">
        <v>189</v>
      </c>
      <c r="G13" s="106" t="s">
        <v>189</v>
      </c>
      <c r="H13" s="106" t="s">
        <v>189</v>
      </c>
      <c r="I13" s="106" t="s">
        <v>2</v>
      </c>
      <c r="J13" s="106" t="s">
        <v>293</v>
      </c>
      <c r="K13" s="107">
        <f>K14</f>
        <v>148600000</v>
      </c>
      <c r="L13" s="108">
        <f>L14</f>
        <v>96800000</v>
      </c>
      <c r="M13" s="109">
        <f t="shared" si="0"/>
        <v>0.6514131897711979</v>
      </c>
    </row>
    <row r="14" spans="1:13" ht="79.5" customHeight="1">
      <c r="A14" s="110"/>
      <c r="B14" s="105" t="s">
        <v>305</v>
      </c>
      <c r="C14" s="106" t="s">
        <v>21</v>
      </c>
      <c r="D14" s="106" t="s">
        <v>188</v>
      </c>
      <c r="E14" s="106" t="s">
        <v>191</v>
      </c>
      <c r="F14" s="106" t="s">
        <v>189</v>
      </c>
      <c r="G14" s="106" t="s">
        <v>189</v>
      </c>
      <c r="H14" s="106" t="s">
        <v>195</v>
      </c>
      <c r="I14" s="106" t="s">
        <v>2</v>
      </c>
      <c r="J14" s="106" t="s">
        <v>295</v>
      </c>
      <c r="K14" s="107">
        <v>148600000</v>
      </c>
      <c r="L14" s="108">
        <v>96800000</v>
      </c>
      <c r="M14" s="109">
        <f t="shared" si="0"/>
        <v>0.6514131897711979</v>
      </c>
    </row>
    <row r="15" spans="1:13" ht="50.25" customHeight="1">
      <c r="A15" s="98">
        <v>2</v>
      </c>
      <c r="B15" s="99" t="s">
        <v>264</v>
      </c>
      <c r="C15" s="100" t="s">
        <v>21</v>
      </c>
      <c r="D15" s="100" t="s">
        <v>188</v>
      </c>
      <c r="E15" s="100" t="s">
        <v>193</v>
      </c>
      <c r="F15" s="100" t="s">
        <v>189</v>
      </c>
      <c r="G15" s="100" t="s">
        <v>189</v>
      </c>
      <c r="H15" s="100" t="s">
        <v>189</v>
      </c>
      <c r="I15" s="100" t="s">
        <v>2</v>
      </c>
      <c r="J15" s="100" t="s">
        <v>25</v>
      </c>
      <c r="K15" s="102">
        <f aca="true" t="shared" si="1" ref="K15:L17">K16</f>
        <v>30000000</v>
      </c>
      <c r="L15" s="102">
        <f t="shared" si="1"/>
        <v>30000000</v>
      </c>
      <c r="M15" s="103">
        <f t="shared" si="0"/>
        <v>1</v>
      </c>
    </row>
    <row r="16" spans="1:13" ht="65.25" customHeight="1">
      <c r="A16" s="98"/>
      <c r="B16" s="99" t="s">
        <v>265</v>
      </c>
      <c r="C16" s="100" t="s">
        <v>21</v>
      </c>
      <c r="D16" s="100" t="s">
        <v>188</v>
      </c>
      <c r="E16" s="100" t="s">
        <v>193</v>
      </c>
      <c r="F16" s="100" t="s">
        <v>188</v>
      </c>
      <c r="G16" s="100" t="s">
        <v>189</v>
      </c>
      <c r="H16" s="100" t="s">
        <v>189</v>
      </c>
      <c r="I16" s="100" t="s">
        <v>2</v>
      </c>
      <c r="J16" s="100" t="s">
        <v>25</v>
      </c>
      <c r="K16" s="102">
        <f>K17-K24</f>
        <v>30000000</v>
      </c>
      <c r="L16" s="102">
        <f>L17-L24</f>
        <v>30000000</v>
      </c>
      <c r="M16" s="103">
        <f t="shared" si="0"/>
        <v>1</v>
      </c>
    </row>
    <row r="17" spans="1:13" ht="75.75" customHeight="1">
      <c r="A17" s="104" t="s">
        <v>266</v>
      </c>
      <c r="B17" s="105" t="s">
        <v>267</v>
      </c>
      <c r="C17" s="106" t="s">
        <v>21</v>
      </c>
      <c r="D17" s="106" t="s">
        <v>188</v>
      </c>
      <c r="E17" s="106" t="s">
        <v>193</v>
      </c>
      <c r="F17" s="106" t="s">
        <v>188</v>
      </c>
      <c r="G17" s="106" t="s">
        <v>189</v>
      </c>
      <c r="H17" s="106" t="s">
        <v>189</v>
      </c>
      <c r="I17" s="106" t="s">
        <v>2</v>
      </c>
      <c r="J17" s="106" t="s">
        <v>261</v>
      </c>
      <c r="K17" s="108">
        <f t="shared" si="1"/>
        <v>75000000</v>
      </c>
      <c r="L17" s="108">
        <f t="shared" si="1"/>
        <v>75000000</v>
      </c>
      <c r="M17" s="109">
        <f t="shared" si="0"/>
        <v>1</v>
      </c>
    </row>
    <row r="18" spans="1:13" ht="87.75" customHeight="1">
      <c r="A18" s="110"/>
      <c r="B18" s="105" t="s">
        <v>268</v>
      </c>
      <c r="C18" s="106" t="s">
        <v>21</v>
      </c>
      <c r="D18" s="106" t="s">
        <v>188</v>
      </c>
      <c r="E18" s="106" t="s">
        <v>193</v>
      </c>
      <c r="F18" s="106" t="s">
        <v>188</v>
      </c>
      <c r="G18" s="106" t="s">
        <v>189</v>
      </c>
      <c r="H18" s="106" t="s">
        <v>195</v>
      </c>
      <c r="I18" s="106" t="s">
        <v>2</v>
      </c>
      <c r="J18" s="106" t="s">
        <v>263</v>
      </c>
      <c r="K18" s="107">
        <v>75000000</v>
      </c>
      <c r="L18" s="108">
        <v>75000000</v>
      </c>
      <c r="M18" s="109">
        <f t="shared" si="0"/>
        <v>1</v>
      </c>
    </row>
    <row r="19" spans="1:13" s="111" customFormat="1" ht="57.75" customHeight="1" hidden="1">
      <c r="A19" s="98">
        <v>3</v>
      </c>
      <c r="B19" s="99" t="s">
        <v>269</v>
      </c>
      <c r="C19" s="100" t="s">
        <v>21</v>
      </c>
      <c r="D19" s="100" t="s">
        <v>188</v>
      </c>
      <c r="E19" s="100" t="s">
        <v>199</v>
      </c>
      <c r="F19" s="100" t="s">
        <v>189</v>
      </c>
      <c r="G19" s="100" t="s">
        <v>189</v>
      </c>
      <c r="H19" s="100" t="s">
        <v>189</v>
      </c>
      <c r="I19" s="100" t="s">
        <v>2</v>
      </c>
      <c r="J19" s="100" t="s">
        <v>25</v>
      </c>
      <c r="K19" s="101">
        <f aca="true" t="shared" si="2" ref="K19:L22">K20</f>
        <v>0</v>
      </c>
      <c r="L19" s="102">
        <f t="shared" si="2"/>
        <v>0</v>
      </c>
      <c r="M19" s="109" t="e">
        <f t="shared" si="0"/>
        <v>#DIV/0!</v>
      </c>
    </row>
    <row r="20" spans="1:13" s="111" customFormat="1" ht="57.75" customHeight="1" hidden="1">
      <c r="A20" s="112" t="s">
        <v>270</v>
      </c>
      <c r="B20" s="105" t="s">
        <v>271</v>
      </c>
      <c r="C20" s="106" t="s">
        <v>21</v>
      </c>
      <c r="D20" s="106" t="s">
        <v>188</v>
      </c>
      <c r="E20" s="106" t="s">
        <v>199</v>
      </c>
      <c r="F20" s="106" t="s">
        <v>197</v>
      </c>
      <c r="G20" s="106" t="s">
        <v>189</v>
      </c>
      <c r="H20" s="106" t="s">
        <v>189</v>
      </c>
      <c r="I20" s="106" t="s">
        <v>2</v>
      </c>
      <c r="J20" s="106" t="s">
        <v>25</v>
      </c>
      <c r="K20" s="107">
        <f t="shared" si="2"/>
        <v>0</v>
      </c>
      <c r="L20" s="108">
        <f t="shared" si="2"/>
        <v>0</v>
      </c>
      <c r="M20" s="109" t="e">
        <f t="shared" si="0"/>
        <v>#DIV/0!</v>
      </c>
    </row>
    <row r="21" spans="1:13" ht="58.5" customHeight="1" hidden="1">
      <c r="A21" s="110"/>
      <c r="B21" s="105" t="s">
        <v>272</v>
      </c>
      <c r="C21" s="106" t="s">
        <v>21</v>
      </c>
      <c r="D21" s="106" t="s">
        <v>188</v>
      </c>
      <c r="E21" s="106" t="s">
        <v>199</v>
      </c>
      <c r="F21" s="106" t="s">
        <v>197</v>
      </c>
      <c r="G21" s="106" t="s">
        <v>189</v>
      </c>
      <c r="H21" s="106" t="s">
        <v>189</v>
      </c>
      <c r="I21" s="106" t="s">
        <v>2</v>
      </c>
      <c r="J21" s="106" t="s">
        <v>273</v>
      </c>
      <c r="K21" s="107">
        <f t="shared" si="2"/>
        <v>0</v>
      </c>
      <c r="L21" s="108">
        <f t="shared" si="2"/>
        <v>0</v>
      </c>
      <c r="M21" s="109" t="e">
        <f t="shared" si="0"/>
        <v>#DIV/0!</v>
      </c>
    </row>
    <row r="22" spans="1:13" ht="67.5" customHeight="1" hidden="1">
      <c r="A22" s="110"/>
      <c r="B22" s="105" t="s">
        <v>274</v>
      </c>
      <c r="C22" s="106" t="s">
        <v>21</v>
      </c>
      <c r="D22" s="106" t="s">
        <v>188</v>
      </c>
      <c r="E22" s="106" t="s">
        <v>199</v>
      </c>
      <c r="F22" s="106" t="s">
        <v>197</v>
      </c>
      <c r="G22" s="106" t="s">
        <v>188</v>
      </c>
      <c r="H22" s="106" t="s">
        <v>189</v>
      </c>
      <c r="I22" s="106" t="s">
        <v>2</v>
      </c>
      <c r="J22" s="106" t="s">
        <v>275</v>
      </c>
      <c r="K22" s="107">
        <f t="shared" si="2"/>
        <v>0</v>
      </c>
      <c r="L22" s="108">
        <f t="shared" si="2"/>
        <v>0</v>
      </c>
      <c r="M22" s="109" t="e">
        <f t="shared" si="0"/>
        <v>#DIV/0!</v>
      </c>
    </row>
    <row r="23" spans="1:13" ht="86.25" customHeight="1" hidden="1">
      <c r="A23" s="110"/>
      <c r="B23" s="105" t="s">
        <v>276</v>
      </c>
      <c r="C23" s="106" t="s">
        <v>21</v>
      </c>
      <c r="D23" s="106" t="s">
        <v>188</v>
      </c>
      <c r="E23" s="106" t="s">
        <v>199</v>
      </c>
      <c r="F23" s="106" t="s">
        <v>197</v>
      </c>
      <c r="G23" s="106" t="s">
        <v>188</v>
      </c>
      <c r="H23" s="106" t="s">
        <v>195</v>
      </c>
      <c r="I23" s="106" t="s">
        <v>2</v>
      </c>
      <c r="J23" s="106" t="s">
        <v>275</v>
      </c>
      <c r="K23" s="107">
        <v>0</v>
      </c>
      <c r="L23" s="108">
        <v>0</v>
      </c>
      <c r="M23" s="109" t="e">
        <f t="shared" si="0"/>
        <v>#DIV/0!</v>
      </c>
    </row>
    <row r="24" spans="1:13" ht="86.25" customHeight="1">
      <c r="A24" s="110"/>
      <c r="B24" s="105" t="s">
        <v>306</v>
      </c>
      <c r="C24" s="106" t="s">
        <v>21</v>
      </c>
      <c r="D24" s="106" t="s">
        <v>188</v>
      </c>
      <c r="E24" s="106" t="s">
        <v>193</v>
      </c>
      <c r="F24" s="106" t="s">
        <v>188</v>
      </c>
      <c r="G24" s="106" t="s">
        <v>189</v>
      </c>
      <c r="H24" s="106" t="s">
        <v>189</v>
      </c>
      <c r="I24" s="106" t="s">
        <v>2</v>
      </c>
      <c r="J24" s="106" t="s">
        <v>293</v>
      </c>
      <c r="K24" s="107">
        <f>K25</f>
        <v>45000000</v>
      </c>
      <c r="L24" s="108">
        <f>L25</f>
        <v>45000000</v>
      </c>
      <c r="M24" s="109">
        <f t="shared" si="0"/>
        <v>1</v>
      </c>
    </row>
    <row r="25" spans="1:13" ht="86.25" customHeight="1">
      <c r="A25" s="110"/>
      <c r="B25" s="105" t="s">
        <v>307</v>
      </c>
      <c r="C25" s="106" t="s">
        <v>21</v>
      </c>
      <c r="D25" s="106" t="s">
        <v>188</v>
      </c>
      <c r="E25" s="106" t="s">
        <v>193</v>
      </c>
      <c r="F25" s="106" t="s">
        <v>188</v>
      </c>
      <c r="G25" s="106" t="s">
        <v>189</v>
      </c>
      <c r="H25" s="106" t="s">
        <v>195</v>
      </c>
      <c r="I25" s="106" t="s">
        <v>2</v>
      </c>
      <c r="J25" s="106" t="s">
        <v>295</v>
      </c>
      <c r="K25" s="107">
        <v>45000000</v>
      </c>
      <c r="L25" s="108">
        <v>45000000</v>
      </c>
      <c r="M25" s="109">
        <f t="shared" si="0"/>
        <v>1</v>
      </c>
    </row>
    <row r="26" spans="1:13" s="116" customFormat="1" ht="35.25" customHeight="1">
      <c r="A26" s="104" t="s">
        <v>277</v>
      </c>
      <c r="B26" s="113" t="s">
        <v>278</v>
      </c>
      <c r="C26" s="114" t="s">
        <v>21</v>
      </c>
      <c r="D26" s="114" t="s">
        <v>188</v>
      </c>
      <c r="E26" s="114" t="s">
        <v>197</v>
      </c>
      <c r="F26" s="114" t="s">
        <v>189</v>
      </c>
      <c r="G26" s="114" t="s">
        <v>189</v>
      </c>
      <c r="H26" s="114" t="s">
        <v>189</v>
      </c>
      <c r="I26" s="114" t="s">
        <v>2</v>
      </c>
      <c r="J26" s="114" t="s">
        <v>25</v>
      </c>
      <c r="K26" s="115">
        <f>K31-K27</f>
        <v>2481818.269999981</v>
      </c>
      <c r="L26" s="115">
        <f>L31-L27</f>
        <v>8793566.090000153</v>
      </c>
      <c r="M26" s="103">
        <f t="shared" si="0"/>
        <v>3.5431950019451746</v>
      </c>
    </row>
    <row r="27" spans="1:13" s="116" customFormat="1" ht="31.5">
      <c r="A27" s="104" t="s">
        <v>270</v>
      </c>
      <c r="B27" s="113" t="s">
        <v>279</v>
      </c>
      <c r="C27" s="114" t="s">
        <v>21</v>
      </c>
      <c r="D27" s="114" t="s">
        <v>188</v>
      </c>
      <c r="E27" s="114" t="s">
        <v>197</v>
      </c>
      <c r="F27" s="114" t="s">
        <v>189</v>
      </c>
      <c r="G27" s="114" t="s">
        <v>189</v>
      </c>
      <c r="H27" s="114" t="s">
        <v>189</v>
      </c>
      <c r="I27" s="114" t="s">
        <v>2</v>
      </c>
      <c r="J27" s="114" t="s">
        <v>280</v>
      </c>
      <c r="K27" s="115">
        <f aca="true" t="shared" si="3" ref="K27:L29">K28</f>
        <v>2457407550.96</v>
      </c>
      <c r="L27" s="115">
        <f t="shared" si="3"/>
        <v>2435280530.04</v>
      </c>
      <c r="M27" s="103">
        <f t="shared" si="0"/>
        <v>0.9909957870393309</v>
      </c>
    </row>
    <row r="28" spans="1:13" s="116" customFormat="1" ht="31.5">
      <c r="A28" s="104"/>
      <c r="B28" s="117" t="s">
        <v>281</v>
      </c>
      <c r="C28" s="104" t="s">
        <v>21</v>
      </c>
      <c r="D28" s="104" t="s">
        <v>188</v>
      </c>
      <c r="E28" s="104" t="s">
        <v>197</v>
      </c>
      <c r="F28" s="104" t="s">
        <v>191</v>
      </c>
      <c r="G28" s="104" t="s">
        <v>189</v>
      </c>
      <c r="H28" s="104" t="s">
        <v>189</v>
      </c>
      <c r="I28" s="104" t="s">
        <v>2</v>
      </c>
      <c r="J28" s="104" t="s">
        <v>280</v>
      </c>
      <c r="K28" s="118">
        <f t="shared" si="3"/>
        <v>2457407550.96</v>
      </c>
      <c r="L28" s="118">
        <f t="shared" si="3"/>
        <v>2435280530.04</v>
      </c>
      <c r="M28" s="109">
        <f t="shared" si="0"/>
        <v>0.9909957870393309</v>
      </c>
    </row>
    <row r="29" spans="1:13" s="116" customFormat="1" ht="31.5">
      <c r="A29" s="104"/>
      <c r="B29" s="117" t="s">
        <v>282</v>
      </c>
      <c r="C29" s="104" t="s">
        <v>21</v>
      </c>
      <c r="D29" s="104" t="s">
        <v>188</v>
      </c>
      <c r="E29" s="104" t="s">
        <v>197</v>
      </c>
      <c r="F29" s="104" t="s">
        <v>191</v>
      </c>
      <c r="G29" s="104" t="s">
        <v>188</v>
      </c>
      <c r="H29" s="104" t="s">
        <v>189</v>
      </c>
      <c r="I29" s="104" t="s">
        <v>2</v>
      </c>
      <c r="J29" s="104" t="s">
        <v>283</v>
      </c>
      <c r="K29" s="118">
        <f t="shared" si="3"/>
        <v>2457407550.96</v>
      </c>
      <c r="L29" s="118">
        <f t="shared" si="3"/>
        <v>2435280530.04</v>
      </c>
      <c r="M29" s="109">
        <f t="shared" si="0"/>
        <v>0.9909957870393309</v>
      </c>
    </row>
    <row r="30" spans="1:13" s="116" customFormat="1" ht="47.25">
      <c r="A30" s="104"/>
      <c r="B30" s="117" t="s">
        <v>284</v>
      </c>
      <c r="C30" s="104" t="s">
        <v>21</v>
      </c>
      <c r="D30" s="104" t="s">
        <v>188</v>
      </c>
      <c r="E30" s="104" t="s">
        <v>197</v>
      </c>
      <c r="F30" s="104" t="s">
        <v>191</v>
      </c>
      <c r="G30" s="104" t="s">
        <v>188</v>
      </c>
      <c r="H30" s="104" t="s">
        <v>195</v>
      </c>
      <c r="I30" s="104" t="s">
        <v>2</v>
      </c>
      <c r="J30" s="104" t="s">
        <v>283</v>
      </c>
      <c r="K30" s="119">
        <v>2457407550.96</v>
      </c>
      <c r="L30" s="119">
        <v>2435280530.04</v>
      </c>
      <c r="M30" s="109">
        <f t="shared" si="0"/>
        <v>0.9909957870393309</v>
      </c>
    </row>
    <row r="31" spans="1:13" s="116" customFormat="1" ht="31.5">
      <c r="A31" s="104" t="s">
        <v>285</v>
      </c>
      <c r="B31" s="113" t="s">
        <v>286</v>
      </c>
      <c r="C31" s="114" t="s">
        <v>21</v>
      </c>
      <c r="D31" s="114" t="s">
        <v>188</v>
      </c>
      <c r="E31" s="114" t="s">
        <v>197</v>
      </c>
      <c r="F31" s="114" t="s">
        <v>189</v>
      </c>
      <c r="G31" s="114" t="s">
        <v>189</v>
      </c>
      <c r="H31" s="114" t="s">
        <v>189</v>
      </c>
      <c r="I31" s="114" t="s">
        <v>2</v>
      </c>
      <c r="J31" s="114" t="s">
        <v>273</v>
      </c>
      <c r="K31" s="115">
        <f aca="true" t="shared" si="4" ref="K31:L33">K32</f>
        <v>2459889369.23</v>
      </c>
      <c r="L31" s="115">
        <f t="shared" si="4"/>
        <v>2444074096.13</v>
      </c>
      <c r="M31" s="103">
        <f t="shared" si="0"/>
        <v>0.9935707380592688</v>
      </c>
    </row>
    <row r="32" spans="1:13" s="116" customFormat="1" ht="31.5">
      <c r="A32" s="104"/>
      <c r="B32" s="117" t="s">
        <v>287</v>
      </c>
      <c r="C32" s="104" t="s">
        <v>21</v>
      </c>
      <c r="D32" s="104" t="s">
        <v>188</v>
      </c>
      <c r="E32" s="104" t="s">
        <v>197</v>
      </c>
      <c r="F32" s="104" t="s">
        <v>191</v>
      </c>
      <c r="G32" s="104" t="s">
        <v>189</v>
      </c>
      <c r="H32" s="104" t="s">
        <v>189</v>
      </c>
      <c r="I32" s="104" t="s">
        <v>2</v>
      </c>
      <c r="J32" s="104" t="s">
        <v>273</v>
      </c>
      <c r="K32" s="118">
        <f t="shared" si="4"/>
        <v>2459889369.23</v>
      </c>
      <c r="L32" s="118">
        <f t="shared" si="4"/>
        <v>2444074096.13</v>
      </c>
      <c r="M32" s="109">
        <f t="shared" si="0"/>
        <v>0.9935707380592688</v>
      </c>
    </row>
    <row r="33" spans="1:13" s="116" customFormat="1" ht="31.5">
      <c r="A33" s="104"/>
      <c r="B33" s="117" t="s">
        <v>288</v>
      </c>
      <c r="C33" s="104" t="s">
        <v>21</v>
      </c>
      <c r="D33" s="104" t="s">
        <v>188</v>
      </c>
      <c r="E33" s="104" t="s">
        <v>197</v>
      </c>
      <c r="F33" s="104" t="s">
        <v>191</v>
      </c>
      <c r="G33" s="104" t="s">
        <v>188</v>
      </c>
      <c r="H33" s="104" t="s">
        <v>189</v>
      </c>
      <c r="I33" s="104" t="s">
        <v>2</v>
      </c>
      <c r="J33" s="104" t="s">
        <v>289</v>
      </c>
      <c r="K33" s="118">
        <f t="shared" si="4"/>
        <v>2459889369.23</v>
      </c>
      <c r="L33" s="118">
        <f t="shared" si="4"/>
        <v>2444074096.13</v>
      </c>
      <c r="M33" s="109">
        <f t="shared" si="0"/>
        <v>0.9935707380592688</v>
      </c>
    </row>
    <row r="34" spans="1:13" s="116" customFormat="1" ht="47.25">
      <c r="A34" s="104"/>
      <c r="B34" s="117" t="s">
        <v>290</v>
      </c>
      <c r="C34" s="104" t="s">
        <v>21</v>
      </c>
      <c r="D34" s="104" t="s">
        <v>188</v>
      </c>
      <c r="E34" s="104" t="s">
        <v>197</v>
      </c>
      <c r="F34" s="104" t="s">
        <v>191</v>
      </c>
      <c r="G34" s="104" t="s">
        <v>188</v>
      </c>
      <c r="H34" s="104" t="s">
        <v>195</v>
      </c>
      <c r="I34" s="104" t="s">
        <v>2</v>
      </c>
      <c r="J34" s="104" t="s">
        <v>289</v>
      </c>
      <c r="K34" s="118">
        <v>2459889369.23</v>
      </c>
      <c r="L34" s="118">
        <v>2444074096.13</v>
      </c>
      <c r="M34" s="109">
        <f t="shared" si="0"/>
        <v>0.9935707380592688</v>
      </c>
    </row>
    <row r="35" spans="1:13" s="122" customFormat="1" ht="47.25" customHeight="1" hidden="1">
      <c r="A35" s="120" t="s">
        <v>277</v>
      </c>
      <c r="B35" s="99" t="s">
        <v>269</v>
      </c>
      <c r="C35" s="120" t="s">
        <v>21</v>
      </c>
      <c r="D35" s="120" t="s">
        <v>188</v>
      </c>
      <c r="E35" s="120" t="s">
        <v>199</v>
      </c>
      <c r="F35" s="120" t="s">
        <v>189</v>
      </c>
      <c r="G35" s="120" t="s">
        <v>189</v>
      </c>
      <c r="H35" s="120" t="s">
        <v>189</v>
      </c>
      <c r="I35" s="120" t="s">
        <v>2</v>
      </c>
      <c r="J35" s="120" t="s">
        <v>25</v>
      </c>
      <c r="K35" s="121">
        <f aca="true" t="shared" si="5" ref="K35:L37">K36</f>
        <v>0</v>
      </c>
      <c r="L35" s="121">
        <f t="shared" si="5"/>
        <v>0</v>
      </c>
      <c r="M35" s="103" t="e">
        <f t="shared" si="0"/>
        <v>#DIV/0!</v>
      </c>
    </row>
    <row r="36" spans="1:13" s="122" customFormat="1" ht="47.25" customHeight="1" hidden="1">
      <c r="A36" s="120" t="s">
        <v>270</v>
      </c>
      <c r="B36" s="99" t="s">
        <v>291</v>
      </c>
      <c r="C36" s="120" t="s">
        <v>21</v>
      </c>
      <c r="D36" s="120" t="s">
        <v>188</v>
      </c>
      <c r="E36" s="120" t="s">
        <v>199</v>
      </c>
      <c r="F36" s="120" t="s">
        <v>195</v>
      </c>
      <c r="G36" s="120" t="s">
        <v>189</v>
      </c>
      <c r="H36" s="120" t="s">
        <v>189</v>
      </c>
      <c r="I36" s="120" t="s">
        <v>2</v>
      </c>
      <c r="J36" s="120" t="s">
        <v>25</v>
      </c>
      <c r="K36" s="123">
        <f t="shared" si="5"/>
        <v>0</v>
      </c>
      <c r="L36" s="123">
        <f t="shared" si="5"/>
        <v>0</v>
      </c>
      <c r="M36" s="103" t="e">
        <f t="shared" si="0"/>
        <v>#DIV/0!</v>
      </c>
    </row>
    <row r="37" spans="1:13" s="116" customFormat="1" ht="174" customHeight="1" hidden="1">
      <c r="A37" s="104"/>
      <c r="B37" s="117" t="s">
        <v>292</v>
      </c>
      <c r="C37" s="104" t="s">
        <v>21</v>
      </c>
      <c r="D37" s="104" t="s">
        <v>188</v>
      </c>
      <c r="E37" s="104" t="s">
        <v>199</v>
      </c>
      <c r="F37" s="104" t="s">
        <v>195</v>
      </c>
      <c r="G37" s="104" t="s">
        <v>189</v>
      </c>
      <c r="H37" s="104" t="s">
        <v>189</v>
      </c>
      <c r="I37" s="104" t="s">
        <v>2</v>
      </c>
      <c r="J37" s="104" t="s">
        <v>293</v>
      </c>
      <c r="K37" s="124">
        <f t="shared" si="5"/>
        <v>0</v>
      </c>
      <c r="L37" s="124">
        <f t="shared" si="5"/>
        <v>0</v>
      </c>
      <c r="M37" s="103" t="e">
        <f t="shared" si="0"/>
        <v>#DIV/0!</v>
      </c>
    </row>
    <row r="38" spans="1:13" s="116" customFormat="1" ht="165.75" customHeight="1" hidden="1">
      <c r="A38" s="104"/>
      <c r="B38" s="117" t="s">
        <v>294</v>
      </c>
      <c r="C38" s="104" t="s">
        <v>21</v>
      </c>
      <c r="D38" s="104" t="s">
        <v>188</v>
      </c>
      <c r="E38" s="104" t="s">
        <v>199</v>
      </c>
      <c r="F38" s="104" t="s">
        <v>195</v>
      </c>
      <c r="G38" s="104" t="s">
        <v>189</v>
      </c>
      <c r="H38" s="104" t="s">
        <v>195</v>
      </c>
      <c r="I38" s="104" t="s">
        <v>2</v>
      </c>
      <c r="J38" s="104" t="s">
        <v>295</v>
      </c>
      <c r="K38" s="125">
        <v>0</v>
      </c>
      <c r="L38" s="125">
        <v>0</v>
      </c>
      <c r="M38" s="103" t="e">
        <f t="shared" si="0"/>
        <v>#DIV/0!</v>
      </c>
    </row>
    <row r="39" spans="1:13" s="116" customFormat="1" ht="57.75" customHeight="1">
      <c r="A39" s="104"/>
      <c r="B39" s="126" t="s">
        <v>296</v>
      </c>
      <c r="C39" s="114" t="s">
        <v>21</v>
      </c>
      <c r="D39" s="114" t="s">
        <v>188</v>
      </c>
      <c r="E39" s="114" t="s">
        <v>189</v>
      </c>
      <c r="F39" s="114" t="s">
        <v>189</v>
      </c>
      <c r="G39" s="114" t="s">
        <v>189</v>
      </c>
      <c r="H39" s="114" t="s">
        <v>189</v>
      </c>
      <c r="I39" s="114" t="s">
        <v>2</v>
      </c>
      <c r="J39" s="114" t="s">
        <v>25</v>
      </c>
      <c r="K39" s="127">
        <f>K10+K26+K35+K15+K19</f>
        <v>32481818.26999998</v>
      </c>
      <c r="L39" s="127">
        <f>L10+L26+L35+L15+L19</f>
        <v>38793566.09000015</v>
      </c>
      <c r="M39" s="103">
        <f t="shared" si="0"/>
        <v>1.19431633314166</v>
      </c>
    </row>
    <row r="40" spans="3:13" s="116" customFormat="1" ht="15.75">
      <c r="C40" s="128"/>
      <c r="D40" s="128"/>
      <c r="E40" s="128"/>
      <c r="F40" s="128"/>
      <c r="G40" s="128"/>
      <c r="H40" s="128"/>
      <c r="I40" s="128"/>
      <c r="J40" s="128"/>
      <c r="K40" s="129"/>
      <c r="L40" s="130"/>
      <c r="M40" s="129"/>
    </row>
    <row r="41" spans="3:13" ht="15.75">
      <c r="C41" s="131"/>
      <c r="D41" s="131"/>
      <c r="E41" s="131"/>
      <c r="F41" s="131"/>
      <c r="G41" s="131"/>
      <c r="H41" s="131"/>
      <c r="I41" s="131"/>
      <c r="J41" s="131"/>
      <c r="K41" s="132"/>
      <c r="L41" s="133"/>
      <c r="M41" s="134"/>
    </row>
    <row r="42" spans="3:13" ht="15.75">
      <c r="C42" s="134"/>
      <c r="D42" s="134"/>
      <c r="E42" s="134"/>
      <c r="F42" s="134"/>
      <c r="G42" s="134"/>
      <c r="H42" s="134"/>
      <c r="I42" s="134"/>
      <c r="J42" s="131"/>
      <c r="K42" s="132"/>
      <c r="L42" s="133"/>
      <c r="M42" s="132"/>
    </row>
    <row r="43" spans="3:13" ht="15.75">
      <c r="C43" s="134"/>
      <c r="D43" s="134"/>
      <c r="E43" s="134"/>
      <c r="F43" s="134"/>
      <c r="G43" s="134"/>
      <c r="H43" s="134"/>
      <c r="I43" s="134"/>
      <c r="J43" s="131"/>
      <c r="K43" s="132"/>
      <c r="L43" s="133"/>
      <c r="M43" s="134"/>
    </row>
    <row r="44" spans="3:13" ht="15.75">
      <c r="C44" s="134"/>
      <c r="D44" s="134"/>
      <c r="E44" s="134"/>
      <c r="F44" s="134"/>
      <c r="G44" s="134"/>
      <c r="H44" s="134"/>
      <c r="I44" s="134"/>
      <c r="J44" s="131"/>
      <c r="K44" s="132"/>
      <c r="L44" s="133"/>
      <c r="M44" s="134"/>
    </row>
    <row r="45" spans="3:13" ht="15.75">
      <c r="C45" s="134"/>
      <c r="D45" s="134"/>
      <c r="E45" s="134"/>
      <c r="F45" s="134"/>
      <c r="G45" s="134"/>
      <c r="H45" s="134"/>
      <c r="I45" s="134"/>
      <c r="J45" s="131"/>
      <c r="K45" s="134"/>
      <c r="L45" s="135"/>
      <c r="M45" s="134"/>
    </row>
    <row r="46" spans="3:13" ht="15.75">
      <c r="C46" s="134"/>
      <c r="D46" s="134"/>
      <c r="E46" s="134"/>
      <c r="F46" s="134"/>
      <c r="G46" s="134"/>
      <c r="H46" s="134"/>
      <c r="I46" s="134"/>
      <c r="J46" s="131"/>
      <c r="K46" s="132"/>
      <c r="L46" s="133"/>
      <c r="M46" s="134"/>
    </row>
    <row r="47" spans="3:13" ht="15.75">
      <c r="C47" s="134"/>
      <c r="D47" s="134"/>
      <c r="E47" s="134"/>
      <c r="F47" s="134"/>
      <c r="G47" s="134"/>
      <c r="H47" s="134"/>
      <c r="I47" s="134"/>
      <c r="J47" s="131"/>
      <c r="K47" s="134"/>
      <c r="L47" s="135"/>
      <c r="M47" s="134"/>
    </row>
    <row r="48" spans="3:13" ht="15.75">
      <c r="C48" s="134"/>
      <c r="D48" s="134"/>
      <c r="E48" s="134"/>
      <c r="F48" s="134"/>
      <c r="G48" s="134"/>
      <c r="H48" s="134"/>
      <c r="I48" s="134"/>
      <c r="J48" s="131"/>
      <c r="K48" s="132"/>
      <c r="L48" s="133"/>
      <c r="M48" s="134"/>
    </row>
    <row r="49" spans="3:13" ht="15.75">
      <c r="C49" s="134"/>
      <c r="D49" s="134"/>
      <c r="E49" s="134"/>
      <c r="F49" s="134"/>
      <c r="G49" s="134"/>
      <c r="H49" s="134"/>
      <c r="I49" s="134"/>
      <c r="J49" s="131"/>
      <c r="K49" s="134"/>
      <c r="L49" s="135"/>
      <c r="M49" s="134"/>
    </row>
    <row r="50" spans="3:13" ht="15.75">
      <c r="C50" s="134"/>
      <c r="D50" s="134"/>
      <c r="E50" s="134"/>
      <c r="F50" s="134"/>
      <c r="G50" s="134"/>
      <c r="H50" s="134"/>
      <c r="I50" s="134"/>
      <c r="J50" s="131"/>
      <c r="K50" s="134"/>
      <c r="L50" s="135"/>
      <c r="M50" s="134"/>
    </row>
    <row r="51" spans="3:13" ht="15.75">
      <c r="C51" s="134"/>
      <c r="D51" s="134"/>
      <c r="E51" s="134"/>
      <c r="F51" s="134"/>
      <c r="G51" s="134"/>
      <c r="H51" s="134"/>
      <c r="I51" s="134"/>
      <c r="J51" s="131"/>
      <c r="K51" s="134"/>
      <c r="L51" s="135"/>
      <c r="M51" s="134"/>
    </row>
    <row r="52" spans="3:13" ht="15.75">
      <c r="C52" s="134"/>
      <c r="D52" s="134"/>
      <c r="E52" s="134"/>
      <c r="F52" s="134"/>
      <c r="G52" s="134"/>
      <c r="H52" s="134"/>
      <c r="I52" s="134"/>
      <c r="J52" s="131"/>
      <c r="K52" s="134"/>
      <c r="L52" s="135"/>
      <c r="M52" s="134"/>
    </row>
    <row r="53" spans="3:13" ht="15.75">
      <c r="C53" s="134"/>
      <c r="D53" s="134"/>
      <c r="E53" s="134"/>
      <c r="F53" s="134"/>
      <c r="G53" s="134"/>
      <c r="H53" s="134"/>
      <c r="I53" s="134"/>
      <c r="J53" s="131"/>
      <c r="K53" s="134"/>
      <c r="L53" s="135"/>
      <c r="M53" s="134"/>
    </row>
    <row r="54" spans="3:13" ht="15.75">
      <c r="C54" s="134"/>
      <c r="D54" s="134"/>
      <c r="E54" s="134"/>
      <c r="F54" s="134"/>
      <c r="G54" s="134"/>
      <c r="H54" s="134"/>
      <c r="I54" s="134"/>
      <c r="J54" s="131"/>
      <c r="K54" s="134"/>
      <c r="L54" s="135"/>
      <c r="M54" s="134"/>
    </row>
    <row r="55" spans="3:13" ht="15.75">
      <c r="C55" s="134"/>
      <c r="D55" s="134"/>
      <c r="E55" s="134"/>
      <c r="F55" s="134"/>
      <c r="G55" s="134"/>
      <c r="H55" s="134"/>
      <c r="I55" s="134"/>
      <c r="J55" s="131"/>
      <c r="K55" s="134"/>
      <c r="L55" s="135"/>
      <c r="M55" s="134"/>
    </row>
    <row r="56" spans="3:13" ht="15.75">
      <c r="C56" s="134"/>
      <c r="D56" s="134"/>
      <c r="E56" s="134"/>
      <c r="F56" s="134"/>
      <c r="G56" s="134"/>
      <c r="H56" s="134"/>
      <c r="I56" s="134"/>
      <c r="J56" s="131"/>
      <c r="K56" s="134"/>
      <c r="L56" s="135"/>
      <c r="M56" s="134"/>
    </row>
    <row r="57" spans="3:13" ht="15.75">
      <c r="C57" s="134"/>
      <c r="D57" s="134"/>
      <c r="E57" s="134"/>
      <c r="F57" s="134"/>
      <c r="G57" s="134"/>
      <c r="H57" s="134"/>
      <c r="I57" s="134"/>
      <c r="J57" s="131"/>
      <c r="K57" s="134"/>
      <c r="L57" s="135"/>
      <c r="M57" s="134"/>
    </row>
    <row r="58" spans="3:13" ht="15.75">
      <c r="C58" s="134"/>
      <c r="D58" s="134"/>
      <c r="E58" s="134"/>
      <c r="F58" s="134"/>
      <c r="G58" s="134"/>
      <c r="H58" s="134"/>
      <c r="I58" s="134"/>
      <c r="J58" s="131"/>
      <c r="K58" s="134"/>
      <c r="L58" s="135"/>
      <c r="M58" s="134"/>
    </row>
    <row r="59" spans="3:13" ht="15.75">
      <c r="C59" s="134"/>
      <c r="D59" s="134"/>
      <c r="E59" s="134"/>
      <c r="F59" s="134"/>
      <c r="G59" s="134"/>
      <c r="H59" s="134"/>
      <c r="I59" s="134"/>
      <c r="J59" s="131"/>
      <c r="K59" s="134"/>
      <c r="L59" s="135"/>
      <c r="M59" s="134"/>
    </row>
    <row r="60" spans="3:13" ht="15.75">
      <c r="C60" s="134"/>
      <c r="D60" s="134"/>
      <c r="E60" s="134"/>
      <c r="F60" s="134"/>
      <c r="G60" s="134"/>
      <c r="H60" s="134"/>
      <c r="I60" s="134"/>
      <c r="J60" s="131"/>
      <c r="K60" s="134"/>
      <c r="L60" s="135"/>
      <c r="M60" s="134"/>
    </row>
    <row r="61" spans="3:13" ht="15.75">
      <c r="C61" s="134"/>
      <c r="D61" s="134"/>
      <c r="E61" s="134"/>
      <c r="F61" s="134"/>
      <c r="G61" s="134"/>
      <c r="H61" s="134"/>
      <c r="I61" s="134"/>
      <c r="J61" s="131"/>
      <c r="K61" s="134"/>
      <c r="L61" s="135"/>
      <c r="M61" s="134"/>
    </row>
    <row r="62" spans="3:13" ht="15.75">
      <c r="C62" s="134"/>
      <c r="D62" s="134"/>
      <c r="E62" s="134"/>
      <c r="F62" s="134"/>
      <c r="G62" s="134"/>
      <c r="H62" s="134"/>
      <c r="I62" s="134"/>
      <c r="J62" s="131"/>
      <c r="K62" s="134"/>
      <c r="L62" s="135"/>
      <c r="M62" s="134"/>
    </row>
    <row r="63" spans="3:13" ht="15.75">
      <c r="C63" s="134"/>
      <c r="D63" s="134"/>
      <c r="E63" s="134"/>
      <c r="F63" s="134"/>
      <c r="G63" s="134"/>
      <c r="H63" s="134"/>
      <c r="I63" s="134"/>
      <c r="J63" s="131"/>
      <c r="K63" s="134"/>
      <c r="L63" s="135"/>
      <c r="M63" s="134"/>
    </row>
    <row r="64" spans="3:13" ht="15.75">
      <c r="C64" s="134"/>
      <c r="D64" s="134"/>
      <c r="E64" s="134"/>
      <c r="F64" s="134"/>
      <c r="G64" s="134"/>
      <c r="H64" s="134"/>
      <c r="I64" s="134"/>
      <c r="J64" s="131"/>
      <c r="K64" s="134"/>
      <c r="L64" s="135"/>
      <c r="M64" s="134"/>
    </row>
    <row r="65" spans="3:13" ht="15.75">
      <c r="C65" s="134"/>
      <c r="D65" s="134"/>
      <c r="E65" s="134"/>
      <c r="F65" s="134"/>
      <c r="G65" s="134"/>
      <c r="H65" s="134"/>
      <c r="I65" s="134"/>
      <c r="J65" s="131"/>
      <c r="K65" s="134"/>
      <c r="L65" s="135"/>
      <c r="M65" s="134"/>
    </row>
    <row r="66" spans="3:13" ht="15.75">
      <c r="C66" s="134"/>
      <c r="D66" s="134"/>
      <c r="E66" s="134"/>
      <c r="F66" s="134"/>
      <c r="G66" s="134"/>
      <c r="H66" s="134"/>
      <c r="I66" s="134"/>
      <c r="J66" s="131"/>
      <c r="K66" s="134"/>
      <c r="L66" s="135"/>
      <c r="M66" s="134"/>
    </row>
    <row r="67" spans="3:13" ht="15.75">
      <c r="C67" s="134"/>
      <c r="D67" s="134"/>
      <c r="E67" s="134"/>
      <c r="F67" s="134"/>
      <c r="G67" s="134"/>
      <c r="H67" s="134"/>
      <c r="I67" s="134"/>
      <c r="J67" s="131"/>
      <c r="K67" s="134"/>
      <c r="L67" s="135"/>
      <c r="M67" s="134"/>
    </row>
    <row r="68" spans="3:13" ht="15.75">
      <c r="C68" s="134"/>
      <c r="D68" s="134"/>
      <c r="E68" s="134"/>
      <c r="F68" s="134"/>
      <c r="G68" s="134"/>
      <c r="H68" s="134"/>
      <c r="I68" s="134"/>
      <c r="J68" s="131"/>
      <c r="K68" s="134"/>
      <c r="L68" s="135"/>
      <c r="M68" s="134"/>
    </row>
    <row r="69" spans="3:13" ht="15.75">
      <c r="C69" s="134"/>
      <c r="D69" s="134"/>
      <c r="E69" s="134"/>
      <c r="F69" s="134"/>
      <c r="G69" s="134"/>
      <c r="H69" s="134"/>
      <c r="I69" s="134"/>
      <c r="J69" s="131"/>
      <c r="K69" s="134"/>
      <c r="L69" s="135"/>
      <c r="M69" s="134"/>
    </row>
    <row r="70" spans="3:13" ht="15.75">
      <c r="C70" s="134"/>
      <c r="D70" s="134"/>
      <c r="E70" s="134"/>
      <c r="F70" s="134"/>
      <c r="G70" s="134"/>
      <c r="H70" s="134"/>
      <c r="I70" s="134"/>
      <c r="J70" s="131"/>
      <c r="K70" s="134"/>
      <c r="L70" s="135"/>
      <c r="M70" s="134"/>
    </row>
    <row r="71" spans="3:13" ht="15.75">
      <c r="C71" s="134"/>
      <c r="D71" s="134"/>
      <c r="E71" s="134"/>
      <c r="F71" s="134"/>
      <c r="G71" s="134"/>
      <c r="H71" s="134"/>
      <c r="I71" s="134"/>
      <c r="J71" s="131"/>
      <c r="K71" s="134"/>
      <c r="L71" s="135"/>
      <c r="M71" s="134"/>
    </row>
    <row r="72" spans="3:13" ht="15.75">
      <c r="C72" s="134"/>
      <c r="D72" s="134"/>
      <c r="E72" s="134"/>
      <c r="F72" s="134"/>
      <c r="G72" s="134"/>
      <c r="H72" s="134"/>
      <c r="I72" s="134"/>
      <c r="J72" s="131"/>
      <c r="K72" s="134"/>
      <c r="L72" s="135"/>
      <c r="M72" s="134"/>
    </row>
    <row r="73" spans="3:13" ht="15.75">
      <c r="C73" s="134"/>
      <c r="D73" s="134"/>
      <c r="E73" s="134"/>
      <c r="F73" s="134"/>
      <c r="G73" s="134"/>
      <c r="H73" s="134"/>
      <c r="I73" s="134"/>
      <c r="J73" s="131"/>
      <c r="K73" s="134"/>
      <c r="L73" s="135"/>
      <c r="M73" s="134"/>
    </row>
    <row r="74" spans="3:13" ht="15.75">
      <c r="C74" s="134"/>
      <c r="D74" s="134"/>
      <c r="E74" s="134"/>
      <c r="F74" s="134"/>
      <c r="G74" s="134"/>
      <c r="H74" s="134"/>
      <c r="I74" s="134"/>
      <c r="J74" s="131"/>
      <c r="K74" s="134"/>
      <c r="L74" s="135"/>
      <c r="M74" s="134"/>
    </row>
    <row r="75" spans="3:13" ht="15.75">
      <c r="C75" s="134"/>
      <c r="D75" s="134"/>
      <c r="E75" s="134"/>
      <c r="F75" s="134"/>
      <c r="G75" s="134"/>
      <c r="H75" s="134"/>
      <c r="I75" s="134"/>
      <c r="J75" s="131"/>
      <c r="K75" s="134"/>
      <c r="L75" s="135"/>
      <c r="M75" s="134"/>
    </row>
    <row r="76" spans="3:13" ht="15.75">
      <c r="C76" s="134"/>
      <c r="D76" s="134"/>
      <c r="E76" s="134"/>
      <c r="F76" s="134"/>
      <c r="G76" s="134"/>
      <c r="H76" s="134"/>
      <c r="I76" s="134"/>
      <c r="J76" s="131"/>
      <c r="K76" s="134"/>
      <c r="L76" s="135"/>
      <c r="M76" s="134"/>
    </row>
    <row r="77" spans="3:13" ht="15.75">
      <c r="C77" s="134"/>
      <c r="D77" s="134"/>
      <c r="E77" s="134"/>
      <c r="F77" s="134"/>
      <c r="G77" s="134"/>
      <c r="H77" s="134"/>
      <c r="I77" s="134"/>
      <c r="J77" s="131"/>
      <c r="K77" s="134"/>
      <c r="L77" s="135"/>
      <c r="M77" s="134"/>
    </row>
    <row r="78" spans="3:13" ht="15.75">
      <c r="C78" s="134"/>
      <c r="D78" s="134"/>
      <c r="E78" s="134"/>
      <c r="F78" s="134"/>
      <c r="G78" s="134"/>
      <c r="H78" s="134"/>
      <c r="I78" s="134"/>
      <c r="J78" s="131"/>
      <c r="K78" s="134"/>
      <c r="L78" s="135"/>
      <c r="M78" s="134"/>
    </row>
    <row r="79" spans="3:13" ht="15.75">
      <c r="C79" s="134"/>
      <c r="D79" s="134"/>
      <c r="E79" s="134"/>
      <c r="F79" s="134"/>
      <c r="G79" s="134"/>
      <c r="H79" s="134"/>
      <c r="I79" s="134"/>
      <c r="J79" s="131"/>
      <c r="K79" s="134"/>
      <c r="L79" s="135"/>
      <c r="M79" s="134"/>
    </row>
    <row r="80" spans="3:13" ht="15.75">
      <c r="C80" s="134"/>
      <c r="D80" s="134"/>
      <c r="E80" s="134"/>
      <c r="F80" s="134"/>
      <c r="G80" s="134"/>
      <c r="H80" s="134"/>
      <c r="I80" s="134"/>
      <c r="J80" s="131"/>
      <c r="K80" s="134"/>
      <c r="L80" s="135"/>
      <c r="M80" s="134"/>
    </row>
    <row r="81" spans="3:13" ht="15.75">
      <c r="C81" s="134"/>
      <c r="D81" s="134"/>
      <c r="E81" s="134"/>
      <c r="F81" s="134"/>
      <c r="G81" s="134"/>
      <c r="H81" s="134"/>
      <c r="I81" s="134"/>
      <c r="J81" s="131"/>
      <c r="K81" s="134"/>
      <c r="L81" s="135"/>
      <c r="M81" s="134"/>
    </row>
    <row r="82" spans="3:13" ht="15.75">
      <c r="C82" s="134"/>
      <c r="D82" s="134"/>
      <c r="E82" s="134"/>
      <c r="F82" s="134"/>
      <c r="G82" s="134"/>
      <c r="H82" s="134"/>
      <c r="I82" s="134"/>
      <c r="J82" s="131"/>
      <c r="K82" s="134"/>
      <c r="L82" s="135"/>
      <c r="M82" s="134"/>
    </row>
    <row r="83" spans="3:13" ht="15.75">
      <c r="C83" s="134"/>
      <c r="D83" s="134"/>
      <c r="E83" s="134"/>
      <c r="F83" s="134"/>
      <c r="G83" s="134"/>
      <c r="H83" s="134"/>
      <c r="I83" s="134"/>
      <c r="J83" s="131"/>
      <c r="K83" s="134"/>
      <c r="L83" s="135"/>
      <c r="M83" s="134"/>
    </row>
    <row r="84" spans="3:13" ht="15.75">
      <c r="C84" s="134"/>
      <c r="D84" s="134"/>
      <c r="E84" s="134"/>
      <c r="F84" s="134"/>
      <c r="G84" s="134"/>
      <c r="H84" s="134"/>
      <c r="I84" s="134"/>
      <c r="J84" s="131"/>
      <c r="K84" s="134"/>
      <c r="L84" s="135"/>
      <c r="M84" s="134"/>
    </row>
    <row r="85" spans="3:13" ht="15.75">
      <c r="C85" s="134"/>
      <c r="D85" s="134"/>
      <c r="E85" s="134"/>
      <c r="F85" s="134"/>
      <c r="G85" s="134"/>
      <c r="H85" s="134"/>
      <c r="I85" s="134"/>
      <c r="J85" s="131"/>
      <c r="K85" s="134"/>
      <c r="L85" s="135"/>
      <c r="M85" s="134"/>
    </row>
    <row r="86" spans="3:13" ht="15.75">
      <c r="C86" s="134"/>
      <c r="D86" s="134"/>
      <c r="E86" s="134"/>
      <c r="F86" s="134"/>
      <c r="G86" s="134"/>
      <c r="H86" s="134"/>
      <c r="I86" s="134"/>
      <c r="J86" s="131"/>
      <c r="K86" s="134"/>
      <c r="L86" s="135"/>
      <c r="M86" s="134"/>
    </row>
    <row r="87" spans="3:13" ht="15.75">
      <c r="C87" s="134"/>
      <c r="D87" s="134"/>
      <c r="E87" s="134"/>
      <c r="F87" s="134"/>
      <c r="G87" s="134"/>
      <c r="H87" s="134"/>
      <c r="I87" s="134"/>
      <c r="J87" s="131"/>
      <c r="K87" s="134"/>
      <c r="L87" s="135"/>
      <c r="M87" s="134"/>
    </row>
    <row r="88" spans="3:13" ht="15.75">
      <c r="C88" s="134"/>
      <c r="D88" s="134"/>
      <c r="E88" s="134"/>
      <c r="F88" s="134"/>
      <c r="G88" s="134"/>
      <c r="H88" s="134"/>
      <c r="I88" s="134"/>
      <c r="J88" s="131"/>
      <c r="K88" s="134"/>
      <c r="L88" s="135"/>
      <c r="M88" s="134"/>
    </row>
    <row r="89" spans="3:13" ht="15.75">
      <c r="C89" s="134"/>
      <c r="D89" s="134"/>
      <c r="E89" s="134"/>
      <c r="F89" s="134"/>
      <c r="G89" s="134"/>
      <c r="H89" s="134"/>
      <c r="I89" s="134"/>
      <c r="J89" s="131"/>
      <c r="K89" s="134"/>
      <c r="L89" s="135"/>
      <c r="M89" s="134"/>
    </row>
    <row r="90" spans="3:13" ht="15.75">
      <c r="C90" s="134"/>
      <c r="D90" s="134"/>
      <c r="E90" s="134"/>
      <c r="F90" s="134"/>
      <c r="G90" s="134"/>
      <c r="H90" s="134"/>
      <c r="I90" s="134"/>
      <c r="J90" s="131"/>
      <c r="K90" s="134"/>
      <c r="L90" s="135"/>
      <c r="M90" s="134"/>
    </row>
    <row r="91" spans="3:13" ht="15.75">
      <c r="C91" s="134"/>
      <c r="D91" s="134"/>
      <c r="E91" s="134"/>
      <c r="F91" s="134"/>
      <c r="G91" s="134"/>
      <c r="H91" s="134"/>
      <c r="I91" s="134"/>
      <c r="J91" s="131"/>
      <c r="K91" s="134"/>
      <c r="L91" s="135"/>
      <c r="M91" s="134"/>
    </row>
    <row r="92" spans="3:13" ht="15.75">
      <c r="C92" s="134"/>
      <c r="D92" s="134"/>
      <c r="E92" s="134"/>
      <c r="F92" s="134"/>
      <c r="G92" s="134"/>
      <c r="H92" s="134"/>
      <c r="I92" s="134"/>
      <c r="J92" s="131"/>
      <c r="K92" s="134"/>
      <c r="L92" s="135"/>
      <c r="M92" s="134"/>
    </row>
    <row r="93" spans="3:13" ht="15.75">
      <c r="C93" s="134"/>
      <c r="D93" s="134"/>
      <c r="E93" s="134"/>
      <c r="F93" s="134"/>
      <c r="G93" s="134"/>
      <c r="H93" s="134"/>
      <c r="I93" s="134"/>
      <c r="J93" s="131"/>
      <c r="K93" s="134"/>
      <c r="L93" s="135"/>
      <c r="M93" s="134"/>
    </row>
    <row r="94" spans="3:13" ht="15.75">
      <c r="C94" s="134"/>
      <c r="D94" s="134"/>
      <c r="E94" s="134"/>
      <c r="F94" s="134"/>
      <c r="G94" s="134"/>
      <c r="H94" s="134"/>
      <c r="I94" s="134"/>
      <c r="J94" s="131"/>
      <c r="K94" s="134"/>
      <c r="L94" s="135"/>
      <c r="M94" s="134"/>
    </row>
    <row r="95" spans="3:13" ht="15.75">
      <c r="C95" s="134"/>
      <c r="D95" s="134"/>
      <c r="E95" s="134"/>
      <c r="F95" s="134"/>
      <c r="G95" s="134"/>
      <c r="H95" s="134"/>
      <c r="I95" s="134"/>
      <c r="J95" s="131"/>
      <c r="K95" s="134"/>
      <c r="L95" s="135"/>
      <c r="M95" s="134"/>
    </row>
    <row r="96" spans="3:13" ht="15.75">
      <c r="C96" s="134"/>
      <c r="D96" s="134"/>
      <c r="E96" s="134"/>
      <c r="F96" s="134"/>
      <c r="G96" s="134"/>
      <c r="H96" s="134"/>
      <c r="I96" s="134"/>
      <c r="J96" s="131"/>
      <c r="K96" s="134"/>
      <c r="L96" s="135"/>
      <c r="M96" s="134"/>
    </row>
    <row r="97" spans="3:13" ht="15.75">
      <c r="C97" s="134"/>
      <c r="D97" s="134"/>
      <c r="E97" s="134"/>
      <c r="F97" s="134"/>
      <c r="G97" s="134"/>
      <c r="H97" s="134"/>
      <c r="I97" s="134"/>
      <c r="J97" s="131"/>
      <c r="K97" s="134"/>
      <c r="L97" s="135"/>
      <c r="M97" s="134"/>
    </row>
    <row r="98" spans="3:13" ht="15.75">
      <c r="C98" s="134"/>
      <c r="D98" s="134"/>
      <c r="E98" s="134"/>
      <c r="F98" s="134"/>
      <c r="G98" s="134"/>
      <c r="H98" s="134"/>
      <c r="I98" s="134"/>
      <c r="J98" s="131"/>
      <c r="K98" s="134"/>
      <c r="L98" s="135"/>
      <c r="M98" s="134"/>
    </row>
    <row r="99" spans="3:13" ht="15.75">
      <c r="C99" s="134"/>
      <c r="D99" s="134"/>
      <c r="E99" s="134"/>
      <c r="F99" s="134"/>
      <c r="G99" s="134"/>
      <c r="H99" s="134"/>
      <c r="I99" s="134"/>
      <c r="J99" s="131"/>
      <c r="K99" s="134"/>
      <c r="L99" s="135"/>
      <c r="M99" s="134"/>
    </row>
    <row r="100" spans="3:13" ht="15.75">
      <c r="C100" s="134"/>
      <c r="D100" s="134"/>
      <c r="E100" s="134"/>
      <c r="F100" s="134"/>
      <c r="G100" s="134"/>
      <c r="H100" s="134"/>
      <c r="I100" s="134"/>
      <c r="J100" s="131"/>
      <c r="K100" s="134"/>
      <c r="L100" s="135"/>
      <c r="M100" s="134"/>
    </row>
    <row r="101" spans="3:13" ht="15.75">
      <c r="C101" s="134"/>
      <c r="D101" s="134"/>
      <c r="E101" s="134"/>
      <c r="F101" s="134"/>
      <c r="G101" s="134"/>
      <c r="H101" s="134"/>
      <c r="I101" s="134"/>
      <c r="J101" s="131"/>
      <c r="K101" s="134"/>
      <c r="L101" s="135"/>
      <c r="M101" s="134"/>
    </row>
    <row r="102" spans="3:13" ht="15.75">
      <c r="C102" s="134"/>
      <c r="D102" s="134"/>
      <c r="E102" s="134"/>
      <c r="F102" s="134"/>
      <c r="G102" s="134"/>
      <c r="H102" s="134"/>
      <c r="I102" s="134"/>
      <c r="J102" s="131"/>
      <c r="K102" s="134"/>
      <c r="L102" s="135"/>
      <c r="M102" s="134"/>
    </row>
    <row r="103" spans="3:13" ht="15.75">
      <c r="C103" s="134"/>
      <c r="D103" s="134"/>
      <c r="E103" s="134"/>
      <c r="F103" s="134"/>
      <c r="G103" s="134"/>
      <c r="H103" s="134"/>
      <c r="I103" s="134"/>
      <c r="J103" s="131"/>
      <c r="K103" s="134"/>
      <c r="L103" s="135"/>
      <c r="M103" s="134"/>
    </row>
    <row r="104" spans="3:13" ht="15.75">
      <c r="C104" s="134"/>
      <c r="D104" s="134"/>
      <c r="E104" s="134"/>
      <c r="F104" s="134"/>
      <c r="G104" s="134"/>
      <c r="H104" s="134"/>
      <c r="I104" s="134"/>
      <c r="J104" s="131"/>
      <c r="K104" s="134"/>
      <c r="L104" s="135"/>
      <c r="M104" s="134"/>
    </row>
    <row r="105" spans="3:13" ht="15.75">
      <c r="C105" s="134"/>
      <c r="D105" s="134"/>
      <c r="E105" s="134"/>
      <c r="F105" s="134"/>
      <c r="G105" s="134"/>
      <c r="H105" s="134"/>
      <c r="I105" s="134"/>
      <c r="J105" s="131"/>
      <c r="K105" s="134"/>
      <c r="L105" s="135"/>
      <c r="M105" s="134"/>
    </row>
    <row r="106" spans="3:13" ht="15.75">
      <c r="C106" s="134"/>
      <c r="D106" s="134"/>
      <c r="E106" s="134"/>
      <c r="F106" s="134"/>
      <c r="G106" s="134"/>
      <c r="H106" s="134"/>
      <c r="I106" s="134"/>
      <c r="J106" s="131"/>
      <c r="K106" s="134"/>
      <c r="L106" s="135"/>
      <c r="M106" s="134"/>
    </row>
    <row r="107" spans="3:13" ht="15.75">
      <c r="C107" s="134"/>
      <c r="D107" s="134"/>
      <c r="E107" s="134"/>
      <c r="F107" s="134"/>
      <c r="G107" s="134"/>
      <c r="H107" s="134"/>
      <c r="I107" s="134"/>
      <c r="J107" s="131"/>
      <c r="K107" s="134"/>
      <c r="L107" s="135"/>
      <c r="M107" s="134"/>
    </row>
    <row r="108" spans="3:13" ht="15.75">
      <c r="C108" s="134"/>
      <c r="D108" s="134"/>
      <c r="E108" s="134"/>
      <c r="F108" s="134"/>
      <c r="G108" s="134"/>
      <c r="H108" s="134"/>
      <c r="I108" s="134"/>
      <c r="J108" s="131"/>
      <c r="K108" s="134"/>
      <c r="L108" s="135"/>
      <c r="M108" s="134"/>
    </row>
    <row r="109" spans="3:13" ht="15.75">
      <c r="C109" s="134"/>
      <c r="D109" s="134"/>
      <c r="E109" s="134"/>
      <c r="F109" s="134"/>
      <c r="G109" s="134"/>
      <c r="H109" s="134"/>
      <c r="I109" s="134"/>
      <c r="J109" s="131"/>
      <c r="K109" s="134"/>
      <c r="L109" s="135"/>
      <c r="M109" s="134"/>
    </row>
    <row r="110" spans="3:13" ht="15.75">
      <c r="C110" s="134"/>
      <c r="D110" s="134"/>
      <c r="E110" s="134"/>
      <c r="F110" s="134"/>
      <c r="G110" s="134"/>
      <c r="H110" s="134"/>
      <c r="I110" s="134"/>
      <c r="J110" s="131"/>
      <c r="K110" s="134"/>
      <c r="L110" s="135"/>
      <c r="M110" s="134"/>
    </row>
    <row r="111" spans="3:13" ht="15.75">
      <c r="C111" s="134"/>
      <c r="D111" s="134"/>
      <c r="E111" s="134"/>
      <c r="F111" s="134"/>
      <c r="G111" s="134"/>
      <c r="H111" s="134"/>
      <c r="I111" s="134"/>
      <c r="J111" s="131"/>
      <c r="K111" s="134"/>
      <c r="L111" s="135"/>
      <c r="M111" s="134"/>
    </row>
    <row r="112" spans="3:13" ht="15.75">
      <c r="C112" s="134"/>
      <c r="D112" s="134"/>
      <c r="E112" s="134"/>
      <c r="F112" s="134"/>
      <c r="G112" s="134"/>
      <c r="H112" s="134"/>
      <c r="I112" s="134"/>
      <c r="J112" s="131"/>
      <c r="K112" s="134"/>
      <c r="L112" s="135"/>
      <c r="M112" s="134"/>
    </row>
    <row r="113" spans="3:13" ht="15.75">
      <c r="C113" s="134"/>
      <c r="D113" s="134"/>
      <c r="E113" s="134"/>
      <c r="F113" s="134"/>
      <c r="G113" s="134"/>
      <c r="H113" s="134"/>
      <c r="I113" s="134"/>
      <c r="J113" s="131"/>
      <c r="K113" s="134"/>
      <c r="L113" s="135"/>
      <c r="M113" s="134"/>
    </row>
    <row r="114" spans="3:13" ht="15.75">
      <c r="C114" s="134"/>
      <c r="D114" s="134"/>
      <c r="E114" s="134"/>
      <c r="F114" s="134"/>
      <c r="G114" s="134"/>
      <c r="H114" s="134"/>
      <c r="I114" s="134"/>
      <c r="J114" s="131"/>
      <c r="K114" s="134"/>
      <c r="L114" s="135"/>
      <c r="M114" s="134"/>
    </row>
    <row r="115" spans="3:13" ht="15.75">
      <c r="C115" s="134"/>
      <c r="D115" s="134"/>
      <c r="E115" s="134"/>
      <c r="F115" s="134"/>
      <c r="G115" s="134"/>
      <c r="H115" s="134"/>
      <c r="I115" s="134"/>
      <c r="J115" s="131"/>
      <c r="K115" s="134"/>
      <c r="L115" s="135"/>
      <c r="M115" s="134"/>
    </row>
    <row r="116" spans="3:13" ht="15.75">
      <c r="C116" s="134"/>
      <c r="D116" s="134"/>
      <c r="E116" s="134"/>
      <c r="F116" s="134"/>
      <c r="G116" s="134"/>
      <c r="H116" s="134"/>
      <c r="I116" s="134"/>
      <c r="J116" s="131"/>
      <c r="K116" s="134"/>
      <c r="L116" s="135"/>
      <c r="M116" s="134"/>
    </row>
    <row r="117" spans="3:13" ht="15.75">
      <c r="C117" s="134"/>
      <c r="D117" s="134"/>
      <c r="E117" s="134"/>
      <c r="F117" s="134"/>
      <c r="G117" s="134"/>
      <c r="H117" s="134"/>
      <c r="I117" s="134"/>
      <c r="J117" s="131"/>
      <c r="K117" s="134"/>
      <c r="L117" s="135"/>
      <c r="M117" s="134"/>
    </row>
    <row r="118" spans="3:13" ht="15.75">
      <c r="C118" s="134"/>
      <c r="D118" s="134"/>
      <c r="E118" s="134"/>
      <c r="F118" s="134"/>
      <c r="G118" s="134"/>
      <c r="H118" s="134"/>
      <c r="I118" s="134"/>
      <c r="J118" s="131"/>
      <c r="K118" s="134"/>
      <c r="L118" s="135"/>
      <c r="M118" s="134"/>
    </row>
    <row r="119" spans="3:13" ht="15.75">
      <c r="C119" s="134"/>
      <c r="D119" s="134"/>
      <c r="E119" s="134"/>
      <c r="F119" s="134"/>
      <c r="G119" s="134"/>
      <c r="H119" s="134"/>
      <c r="I119" s="134"/>
      <c r="J119" s="131"/>
      <c r="K119" s="134"/>
      <c r="L119" s="135"/>
      <c r="M119" s="134"/>
    </row>
    <row r="120" spans="3:13" ht="15.75">
      <c r="C120" s="134"/>
      <c r="D120" s="134"/>
      <c r="E120" s="134"/>
      <c r="F120" s="134"/>
      <c r="G120" s="134"/>
      <c r="H120" s="134"/>
      <c r="I120" s="134"/>
      <c r="J120" s="131"/>
      <c r="K120" s="134"/>
      <c r="L120" s="135"/>
      <c r="M120" s="134"/>
    </row>
    <row r="121" spans="3:13" ht="15.75">
      <c r="C121" s="134"/>
      <c r="D121" s="134"/>
      <c r="E121" s="134"/>
      <c r="F121" s="134"/>
      <c r="G121" s="134"/>
      <c r="H121" s="134"/>
      <c r="I121" s="134"/>
      <c r="J121" s="131"/>
      <c r="K121" s="134"/>
      <c r="L121" s="135"/>
      <c r="M121" s="134"/>
    </row>
    <row r="122" spans="3:13" ht="15.75">
      <c r="C122" s="134"/>
      <c r="D122" s="134"/>
      <c r="E122" s="134"/>
      <c r="F122" s="134"/>
      <c r="G122" s="134"/>
      <c r="H122" s="134"/>
      <c r="I122" s="134"/>
      <c r="J122" s="131"/>
      <c r="K122" s="134"/>
      <c r="L122" s="135"/>
      <c r="M122" s="134"/>
    </row>
    <row r="123" spans="3:13" ht="15.75">
      <c r="C123" s="134"/>
      <c r="D123" s="134"/>
      <c r="E123" s="134"/>
      <c r="F123" s="134"/>
      <c r="G123" s="134"/>
      <c r="H123" s="134"/>
      <c r="I123" s="134"/>
      <c r="J123" s="131"/>
      <c r="K123" s="134"/>
      <c r="L123" s="135"/>
      <c r="M123" s="134"/>
    </row>
    <row r="124" spans="3:13" ht="15.75">
      <c r="C124" s="134"/>
      <c r="D124" s="134"/>
      <c r="E124" s="134"/>
      <c r="F124" s="134"/>
      <c r="G124" s="134"/>
      <c r="H124" s="134"/>
      <c r="I124" s="134"/>
      <c r="J124" s="131"/>
      <c r="K124" s="134"/>
      <c r="L124" s="135"/>
      <c r="M124" s="134"/>
    </row>
    <row r="125" spans="3:13" ht="15.75">
      <c r="C125" s="134"/>
      <c r="D125" s="134"/>
      <c r="E125" s="134"/>
      <c r="F125" s="134"/>
      <c r="G125" s="134"/>
      <c r="H125" s="134"/>
      <c r="I125" s="134"/>
      <c r="J125" s="131"/>
      <c r="K125" s="134"/>
      <c r="L125" s="135"/>
      <c r="M125" s="134"/>
    </row>
    <row r="126" spans="3:13" ht="15.75">
      <c r="C126" s="134"/>
      <c r="D126" s="134"/>
      <c r="E126" s="134"/>
      <c r="F126" s="134"/>
      <c r="G126" s="134"/>
      <c r="H126" s="134"/>
      <c r="I126" s="134"/>
      <c r="J126" s="131"/>
      <c r="K126" s="134"/>
      <c r="L126" s="135"/>
      <c r="M126" s="134"/>
    </row>
    <row r="127" spans="3:13" ht="15.75">
      <c r="C127" s="134"/>
      <c r="D127" s="134"/>
      <c r="E127" s="134"/>
      <c r="F127" s="134"/>
      <c r="G127" s="134"/>
      <c r="H127" s="134"/>
      <c r="I127" s="134"/>
      <c r="J127" s="131"/>
      <c r="K127" s="134"/>
      <c r="L127" s="135"/>
      <c r="M127" s="134"/>
    </row>
    <row r="128" spans="3:13" ht="15.75">
      <c r="C128" s="134"/>
      <c r="D128" s="134"/>
      <c r="E128" s="134"/>
      <c r="F128" s="134"/>
      <c r="G128" s="134"/>
      <c r="H128" s="134"/>
      <c r="I128" s="134"/>
      <c r="J128" s="131"/>
      <c r="K128" s="134"/>
      <c r="L128" s="135"/>
      <c r="M128" s="134"/>
    </row>
    <row r="129" spans="3:13" ht="15.75">
      <c r="C129" s="134"/>
      <c r="D129" s="134"/>
      <c r="E129" s="134"/>
      <c r="F129" s="134"/>
      <c r="G129" s="134"/>
      <c r="H129" s="134"/>
      <c r="I129" s="134"/>
      <c r="J129" s="131"/>
      <c r="K129" s="134"/>
      <c r="L129" s="135"/>
      <c r="M129" s="134"/>
    </row>
    <row r="130" spans="3:13" ht="15.75">
      <c r="C130" s="134"/>
      <c r="D130" s="134"/>
      <c r="E130" s="134"/>
      <c r="F130" s="134"/>
      <c r="G130" s="134"/>
      <c r="H130" s="134"/>
      <c r="I130" s="134"/>
      <c r="J130" s="131"/>
      <c r="K130" s="134"/>
      <c r="L130" s="135"/>
      <c r="M130" s="134"/>
    </row>
    <row r="131" spans="3:13" ht="15.75">
      <c r="C131" s="134"/>
      <c r="D131" s="134"/>
      <c r="E131" s="134"/>
      <c r="F131" s="134"/>
      <c r="G131" s="134"/>
      <c r="H131" s="134"/>
      <c r="I131" s="134"/>
      <c r="J131" s="131"/>
      <c r="K131" s="134"/>
      <c r="L131" s="135"/>
      <c r="M131" s="134"/>
    </row>
    <row r="132" spans="3:13" ht="15.75">
      <c r="C132" s="134"/>
      <c r="D132" s="134"/>
      <c r="E132" s="134"/>
      <c r="F132" s="134"/>
      <c r="G132" s="134"/>
      <c r="H132" s="134"/>
      <c r="I132" s="134"/>
      <c r="J132" s="131"/>
      <c r="K132" s="134"/>
      <c r="L132" s="135"/>
      <c r="M132" s="134"/>
    </row>
    <row r="133" spans="3:13" ht="15.75">
      <c r="C133" s="134"/>
      <c r="D133" s="134"/>
      <c r="E133" s="134"/>
      <c r="F133" s="134"/>
      <c r="G133" s="134"/>
      <c r="H133" s="134"/>
      <c r="I133" s="134"/>
      <c r="J133" s="131"/>
      <c r="K133" s="134"/>
      <c r="L133" s="135"/>
      <c r="M133" s="134"/>
    </row>
    <row r="134" spans="3:13" ht="15.75">
      <c r="C134" s="134"/>
      <c r="D134" s="134"/>
      <c r="E134" s="134"/>
      <c r="F134" s="134"/>
      <c r="G134" s="134"/>
      <c r="H134" s="134"/>
      <c r="I134" s="134"/>
      <c r="J134" s="131"/>
      <c r="K134" s="134"/>
      <c r="L134" s="135"/>
      <c r="M134" s="134"/>
    </row>
    <row r="135" spans="3:13" ht="15.75">
      <c r="C135" s="134"/>
      <c r="D135" s="134"/>
      <c r="E135" s="134"/>
      <c r="F135" s="134"/>
      <c r="G135" s="134"/>
      <c r="H135" s="134"/>
      <c r="I135" s="134"/>
      <c r="J135" s="131"/>
      <c r="K135" s="134"/>
      <c r="L135" s="135"/>
      <c r="M135" s="134"/>
    </row>
    <row r="136" spans="3:13" ht="15.75">
      <c r="C136" s="134"/>
      <c r="D136" s="134"/>
      <c r="E136" s="134"/>
      <c r="F136" s="134"/>
      <c r="G136" s="134"/>
      <c r="H136" s="134"/>
      <c r="I136" s="134"/>
      <c r="J136" s="131"/>
      <c r="K136" s="134"/>
      <c r="L136" s="135"/>
      <c r="M136" s="134"/>
    </row>
    <row r="137" spans="3:13" ht="15.75">
      <c r="C137" s="134"/>
      <c r="D137" s="134"/>
      <c r="E137" s="134"/>
      <c r="F137" s="134"/>
      <c r="G137" s="134"/>
      <c r="H137" s="134"/>
      <c r="I137" s="134"/>
      <c r="J137" s="131"/>
      <c r="K137" s="134"/>
      <c r="L137" s="135"/>
      <c r="M137" s="134"/>
    </row>
    <row r="138" spans="3:13" ht="15.75">
      <c r="C138" s="134"/>
      <c r="D138" s="134"/>
      <c r="E138" s="134"/>
      <c r="F138" s="134"/>
      <c r="G138" s="134"/>
      <c r="H138" s="134"/>
      <c r="I138" s="134"/>
      <c r="J138" s="131"/>
      <c r="K138" s="134"/>
      <c r="L138" s="135"/>
      <c r="M138" s="134"/>
    </row>
    <row r="139" spans="3:13" ht="15.75">
      <c r="C139" s="134"/>
      <c r="D139" s="134"/>
      <c r="E139" s="134"/>
      <c r="F139" s="134"/>
      <c r="G139" s="134"/>
      <c r="H139" s="134"/>
      <c r="I139" s="134"/>
      <c r="J139" s="131"/>
      <c r="K139" s="134"/>
      <c r="L139" s="135"/>
      <c r="M139" s="134"/>
    </row>
    <row r="140" spans="3:13" ht="15.75">
      <c r="C140" s="134"/>
      <c r="D140" s="134"/>
      <c r="E140" s="134"/>
      <c r="F140" s="134"/>
      <c r="G140" s="134"/>
      <c r="H140" s="134"/>
      <c r="I140" s="134"/>
      <c r="J140" s="131"/>
      <c r="K140" s="134"/>
      <c r="L140" s="135"/>
      <c r="M140" s="134"/>
    </row>
    <row r="141" spans="3:13" ht="15.75">
      <c r="C141" s="134"/>
      <c r="D141" s="134"/>
      <c r="E141" s="134"/>
      <c r="F141" s="134"/>
      <c r="G141" s="134"/>
      <c r="H141" s="134"/>
      <c r="I141" s="134"/>
      <c r="J141" s="131"/>
      <c r="K141" s="134"/>
      <c r="L141" s="135"/>
      <c r="M141" s="134"/>
    </row>
    <row r="142" spans="3:13" ht="15.75">
      <c r="C142" s="134"/>
      <c r="D142" s="134"/>
      <c r="E142" s="134"/>
      <c r="F142" s="134"/>
      <c r="G142" s="134"/>
      <c r="H142" s="134"/>
      <c r="I142" s="134"/>
      <c r="J142" s="131"/>
      <c r="K142" s="134"/>
      <c r="L142" s="135"/>
      <c r="M142" s="134"/>
    </row>
    <row r="143" spans="3:13" ht="15.75">
      <c r="C143" s="134"/>
      <c r="D143" s="134"/>
      <c r="E143" s="134"/>
      <c r="F143" s="134"/>
      <c r="G143" s="134"/>
      <c r="H143" s="134"/>
      <c r="I143" s="134"/>
      <c r="J143" s="131"/>
      <c r="K143" s="134"/>
      <c r="L143" s="135"/>
      <c r="M143" s="134"/>
    </row>
    <row r="144" spans="3:13" ht="15.75">
      <c r="C144" s="134"/>
      <c r="D144" s="134"/>
      <c r="E144" s="134"/>
      <c r="F144" s="134"/>
      <c r="G144" s="134"/>
      <c r="H144" s="134"/>
      <c r="I144" s="134"/>
      <c r="J144" s="131"/>
      <c r="K144" s="134"/>
      <c r="L144" s="135"/>
      <c r="M144" s="134"/>
    </row>
    <row r="145" spans="3:13" ht="15.75">
      <c r="C145" s="134"/>
      <c r="D145" s="134"/>
      <c r="E145" s="134"/>
      <c r="F145" s="134"/>
      <c r="G145" s="134"/>
      <c r="H145" s="134"/>
      <c r="I145" s="134"/>
      <c r="J145" s="131"/>
      <c r="K145" s="134"/>
      <c r="L145" s="135"/>
      <c r="M145" s="134"/>
    </row>
    <row r="146" spans="3:13" ht="15.75">
      <c r="C146" s="134"/>
      <c r="D146" s="134"/>
      <c r="E146" s="134"/>
      <c r="F146" s="134"/>
      <c r="G146" s="134"/>
      <c r="H146" s="134"/>
      <c r="I146" s="134"/>
      <c r="J146" s="131"/>
      <c r="K146" s="134"/>
      <c r="L146" s="135"/>
      <c r="M146" s="134"/>
    </row>
    <row r="147" spans="3:13" ht="15.75">
      <c r="C147" s="134"/>
      <c r="D147" s="134"/>
      <c r="E147" s="134"/>
      <c r="F147" s="134"/>
      <c r="G147" s="134"/>
      <c r="H147" s="134"/>
      <c r="I147" s="134"/>
      <c r="J147" s="131"/>
      <c r="K147" s="134"/>
      <c r="L147" s="135"/>
      <c r="M147" s="134"/>
    </row>
    <row r="148" spans="3:13" ht="15.75">
      <c r="C148" s="134"/>
      <c r="D148" s="134"/>
      <c r="E148" s="134"/>
      <c r="F148" s="134"/>
      <c r="G148" s="134"/>
      <c r="H148" s="134"/>
      <c r="I148" s="134"/>
      <c r="J148" s="131"/>
      <c r="K148" s="134"/>
      <c r="L148" s="135"/>
      <c r="M148" s="134"/>
    </row>
    <row r="149" spans="3:13" ht="15.75">
      <c r="C149" s="134"/>
      <c r="D149" s="134"/>
      <c r="E149" s="134"/>
      <c r="F149" s="134"/>
      <c r="G149" s="134"/>
      <c r="H149" s="134"/>
      <c r="I149" s="134"/>
      <c r="J149" s="131"/>
      <c r="K149" s="134"/>
      <c r="L149" s="135"/>
      <c r="M149" s="134"/>
    </row>
    <row r="150" spans="3:13" ht="15.75">
      <c r="C150" s="134"/>
      <c r="D150" s="134"/>
      <c r="E150" s="134"/>
      <c r="F150" s="134"/>
      <c r="G150" s="134"/>
      <c r="H150" s="134"/>
      <c r="I150" s="134"/>
      <c r="J150" s="131"/>
      <c r="K150" s="134"/>
      <c r="L150" s="135"/>
      <c r="M150" s="134"/>
    </row>
    <row r="151" spans="3:13" ht="15.75">
      <c r="C151" s="134"/>
      <c r="D151" s="134"/>
      <c r="E151" s="134"/>
      <c r="F151" s="134"/>
      <c r="G151" s="134"/>
      <c r="H151" s="134"/>
      <c r="I151" s="134"/>
      <c r="J151" s="131"/>
      <c r="K151" s="134"/>
      <c r="L151" s="135"/>
      <c r="M151" s="134"/>
    </row>
    <row r="152" spans="3:13" ht="15.75">
      <c r="C152" s="134"/>
      <c r="D152" s="134"/>
      <c r="E152" s="134"/>
      <c r="F152" s="134"/>
      <c r="G152" s="134"/>
      <c r="H152" s="134"/>
      <c r="I152" s="134"/>
      <c r="J152" s="131"/>
      <c r="K152" s="134"/>
      <c r="L152" s="135"/>
      <c r="M152" s="134"/>
    </row>
    <row r="153" spans="3:13" ht="15.75">
      <c r="C153" s="134"/>
      <c r="D153" s="134"/>
      <c r="E153" s="134"/>
      <c r="F153" s="134"/>
      <c r="G153" s="134"/>
      <c r="H153" s="134"/>
      <c r="I153" s="134"/>
      <c r="J153" s="131"/>
      <c r="K153" s="134"/>
      <c r="L153" s="135"/>
      <c r="M153" s="134"/>
    </row>
    <row r="154" spans="3:13" ht="15.75">
      <c r="C154" s="134"/>
      <c r="D154" s="134"/>
      <c r="E154" s="134"/>
      <c r="F154" s="134"/>
      <c r="G154" s="134"/>
      <c r="H154" s="134"/>
      <c r="I154" s="134"/>
      <c r="J154" s="131"/>
      <c r="K154" s="134"/>
      <c r="L154" s="135"/>
      <c r="M154" s="134"/>
    </row>
    <row r="155" spans="3:13" ht="15.75">
      <c r="C155" s="134"/>
      <c r="D155" s="134"/>
      <c r="E155" s="134"/>
      <c r="F155" s="134"/>
      <c r="G155" s="134"/>
      <c r="H155" s="134"/>
      <c r="I155" s="134"/>
      <c r="J155" s="131"/>
      <c r="K155" s="134"/>
      <c r="L155" s="135"/>
      <c r="M155" s="134"/>
    </row>
    <row r="156" spans="3:13" ht="15.75">
      <c r="C156" s="134"/>
      <c r="D156" s="134"/>
      <c r="E156" s="134"/>
      <c r="F156" s="134"/>
      <c r="G156" s="134"/>
      <c r="H156" s="134"/>
      <c r="I156" s="134"/>
      <c r="J156" s="131"/>
      <c r="K156" s="134"/>
      <c r="L156" s="135"/>
      <c r="M156" s="134"/>
    </row>
    <row r="157" spans="3:13" ht="15.75">
      <c r="C157" s="134"/>
      <c r="D157" s="134"/>
      <c r="E157" s="134"/>
      <c r="F157" s="134"/>
      <c r="G157" s="134"/>
      <c r="H157" s="134"/>
      <c r="I157" s="134"/>
      <c r="J157" s="131"/>
      <c r="K157" s="134"/>
      <c r="L157" s="135"/>
      <c r="M157" s="134"/>
    </row>
    <row r="158" spans="3:13" ht="15.75">
      <c r="C158" s="134"/>
      <c r="D158" s="134"/>
      <c r="E158" s="134"/>
      <c r="F158" s="134"/>
      <c r="G158" s="134"/>
      <c r="H158" s="134"/>
      <c r="I158" s="134"/>
      <c r="J158" s="131"/>
      <c r="K158" s="134"/>
      <c r="L158" s="135"/>
      <c r="M158" s="134"/>
    </row>
    <row r="159" spans="3:13" ht="15.75">
      <c r="C159" s="134"/>
      <c r="D159" s="134"/>
      <c r="E159" s="134"/>
      <c r="F159" s="134"/>
      <c r="G159" s="134"/>
      <c r="H159" s="134"/>
      <c r="I159" s="134"/>
      <c r="J159" s="131"/>
      <c r="K159" s="134"/>
      <c r="L159" s="135"/>
      <c r="M159" s="134"/>
    </row>
    <row r="160" spans="3:13" ht="15.75">
      <c r="C160" s="134"/>
      <c r="D160" s="134"/>
      <c r="E160" s="134"/>
      <c r="F160" s="134"/>
      <c r="G160" s="134"/>
      <c r="H160" s="134"/>
      <c r="I160" s="134"/>
      <c r="J160" s="131"/>
      <c r="K160" s="134"/>
      <c r="L160" s="135"/>
      <c r="M160" s="134"/>
    </row>
    <row r="161" spans="3:13" ht="15.75">
      <c r="C161" s="134"/>
      <c r="D161" s="134"/>
      <c r="E161" s="134"/>
      <c r="F161" s="134"/>
      <c r="G161" s="134"/>
      <c r="H161" s="134"/>
      <c r="I161" s="134"/>
      <c r="J161" s="131"/>
      <c r="K161" s="134"/>
      <c r="L161" s="135"/>
      <c r="M161" s="134"/>
    </row>
    <row r="162" spans="3:13" ht="15.75">
      <c r="C162" s="134"/>
      <c r="D162" s="134"/>
      <c r="E162" s="134"/>
      <c r="F162" s="134"/>
      <c r="G162" s="134"/>
      <c r="H162" s="134"/>
      <c r="I162" s="134"/>
      <c r="J162" s="131"/>
      <c r="K162" s="134"/>
      <c r="L162" s="135"/>
      <c r="M162" s="134"/>
    </row>
    <row r="163" spans="3:13" ht="15.75">
      <c r="C163" s="134"/>
      <c r="D163" s="134"/>
      <c r="E163" s="134"/>
      <c r="F163" s="134"/>
      <c r="G163" s="134"/>
      <c r="H163" s="134"/>
      <c r="I163" s="134"/>
      <c r="J163" s="131"/>
      <c r="K163" s="134"/>
      <c r="L163" s="135"/>
      <c r="M163" s="134"/>
    </row>
    <row r="164" spans="3:13" ht="15.75">
      <c r="C164" s="134"/>
      <c r="D164" s="134"/>
      <c r="E164" s="134"/>
      <c r="F164" s="134"/>
      <c r="G164" s="134"/>
      <c r="H164" s="134"/>
      <c r="I164" s="134"/>
      <c r="J164" s="131"/>
      <c r="K164" s="134"/>
      <c r="L164" s="135"/>
      <c r="M164" s="134"/>
    </row>
    <row r="165" spans="3:13" ht="15.75">
      <c r="C165" s="134"/>
      <c r="D165" s="134"/>
      <c r="E165" s="134"/>
      <c r="F165" s="134"/>
      <c r="G165" s="134"/>
      <c r="H165" s="134"/>
      <c r="I165" s="134"/>
      <c r="J165" s="131"/>
      <c r="K165" s="134"/>
      <c r="L165" s="135"/>
      <c r="M165" s="134"/>
    </row>
    <row r="166" spans="3:13" ht="15.75">
      <c r="C166" s="134"/>
      <c r="D166" s="134"/>
      <c r="E166" s="134"/>
      <c r="F166" s="134"/>
      <c r="G166" s="134"/>
      <c r="H166" s="134"/>
      <c r="I166" s="134"/>
      <c r="J166" s="131"/>
      <c r="K166" s="134"/>
      <c r="L166" s="135"/>
      <c r="M166" s="134"/>
    </row>
    <row r="167" spans="3:13" ht="15.75">
      <c r="C167" s="134"/>
      <c r="D167" s="134"/>
      <c r="E167" s="134"/>
      <c r="F167" s="134"/>
      <c r="G167" s="134"/>
      <c r="H167" s="134"/>
      <c r="I167" s="134"/>
      <c r="J167" s="131"/>
      <c r="K167" s="134"/>
      <c r="L167" s="135"/>
      <c r="M167" s="134"/>
    </row>
    <row r="168" spans="3:13" ht="15.75">
      <c r="C168" s="134"/>
      <c r="D168" s="134"/>
      <c r="E168" s="134"/>
      <c r="F168" s="134"/>
      <c r="G168" s="134"/>
      <c r="H168" s="134"/>
      <c r="I168" s="134"/>
      <c r="J168" s="131"/>
      <c r="K168" s="134"/>
      <c r="L168" s="135"/>
      <c r="M168" s="134"/>
    </row>
    <row r="169" spans="3:13" ht="15.75">
      <c r="C169" s="134"/>
      <c r="D169" s="134"/>
      <c r="E169" s="134"/>
      <c r="F169" s="134"/>
      <c r="G169" s="134"/>
      <c r="H169" s="134"/>
      <c r="I169" s="134"/>
      <c r="J169" s="131"/>
      <c r="K169" s="134"/>
      <c r="L169" s="135"/>
      <c r="M169" s="134"/>
    </row>
    <row r="170" spans="3:13" ht="15.75">
      <c r="C170" s="134"/>
      <c r="D170" s="134"/>
      <c r="E170" s="134"/>
      <c r="F170" s="134"/>
      <c r="G170" s="134"/>
      <c r="H170" s="134"/>
      <c r="I170" s="134"/>
      <c r="J170" s="131"/>
      <c r="K170" s="134"/>
      <c r="L170" s="135"/>
      <c r="M170" s="134"/>
    </row>
    <row r="171" spans="3:13" ht="15.75">
      <c r="C171" s="134"/>
      <c r="D171" s="134"/>
      <c r="E171" s="134"/>
      <c r="F171" s="134"/>
      <c r="G171" s="134"/>
      <c r="H171" s="134"/>
      <c r="I171" s="134"/>
      <c r="J171" s="131"/>
      <c r="K171" s="134"/>
      <c r="L171" s="135"/>
      <c r="M171" s="134"/>
    </row>
    <row r="172" spans="3:13" ht="15.75">
      <c r="C172" s="134"/>
      <c r="D172" s="134"/>
      <c r="E172" s="134"/>
      <c r="F172" s="134"/>
      <c r="G172" s="134"/>
      <c r="H172" s="134"/>
      <c r="I172" s="134"/>
      <c r="J172" s="131"/>
      <c r="K172" s="134"/>
      <c r="L172" s="135"/>
      <c r="M172" s="134"/>
    </row>
    <row r="173" spans="3:13" ht="15.75">
      <c r="C173" s="134"/>
      <c r="D173" s="134"/>
      <c r="E173" s="134"/>
      <c r="F173" s="134"/>
      <c r="G173" s="134"/>
      <c r="H173" s="134"/>
      <c r="I173" s="134"/>
      <c r="J173" s="131"/>
      <c r="K173" s="134"/>
      <c r="L173" s="135"/>
      <c r="M173" s="134"/>
    </row>
    <row r="174" spans="3:13" ht="15.75">
      <c r="C174" s="134"/>
      <c r="D174" s="134"/>
      <c r="E174" s="134"/>
      <c r="F174" s="134"/>
      <c r="G174" s="134"/>
      <c r="H174" s="134"/>
      <c r="I174" s="134"/>
      <c r="J174" s="131"/>
      <c r="K174" s="134"/>
      <c r="L174" s="135"/>
      <c r="M174" s="134"/>
    </row>
    <row r="175" spans="3:13" ht="15.75">
      <c r="C175" s="134"/>
      <c r="D175" s="134"/>
      <c r="E175" s="134"/>
      <c r="F175" s="134"/>
      <c r="G175" s="134"/>
      <c r="H175" s="134"/>
      <c r="I175" s="134"/>
      <c r="J175" s="131"/>
      <c r="K175" s="134"/>
      <c r="L175" s="135"/>
      <c r="M175" s="134"/>
    </row>
    <row r="176" spans="3:13" ht="15.75">
      <c r="C176" s="134"/>
      <c r="D176" s="134"/>
      <c r="E176" s="134"/>
      <c r="F176" s="134"/>
      <c r="G176" s="134"/>
      <c r="H176" s="134"/>
      <c r="I176" s="134"/>
      <c r="J176" s="131"/>
      <c r="K176" s="134"/>
      <c r="L176" s="135"/>
      <c r="M176" s="134"/>
    </row>
    <row r="177" spans="3:13" ht="15.75">
      <c r="C177" s="134"/>
      <c r="D177" s="134"/>
      <c r="E177" s="134"/>
      <c r="F177" s="134"/>
      <c r="G177" s="134"/>
      <c r="H177" s="134"/>
      <c r="I177" s="134"/>
      <c r="J177" s="131"/>
      <c r="K177" s="134"/>
      <c r="L177" s="135"/>
      <c r="M177" s="134"/>
    </row>
    <row r="178" spans="3:13" ht="15.75">
      <c r="C178" s="134"/>
      <c r="D178" s="134"/>
      <c r="E178" s="134"/>
      <c r="F178" s="134"/>
      <c r="G178" s="134"/>
      <c r="H178" s="134"/>
      <c r="I178" s="134"/>
      <c r="J178" s="131"/>
      <c r="K178" s="134"/>
      <c r="L178" s="135"/>
      <c r="M178" s="134"/>
    </row>
    <row r="179" spans="3:13" ht="15.75">
      <c r="C179" s="134"/>
      <c r="D179" s="134"/>
      <c r="E179" s="134"/>
      <c r="F179" s="134"/>
      <c r="G179" s="134"/>
      <c r="H179" s="134"/>
      <c r="I179" s="134"/>
      <c r="J179" s="131"/>
      <c r="K179" s="134"/>
      <c r="L179" s="135"/>
      <c r="M179" s="134"/>
    </row>
    <row r="180" spans="3:13" ht="15.75">
      <c r="C180" s="134"/>
      <c r="D180" s="134"/>
      <c r="E180" s="134"/>
      <c r="F180" s="134"/>
      <c r="G180" s="134"/>
      <c r="H180" s="134"/>
      <c r="I180" s="134"/>
      <c r="J180" s="131"/>
      <c r="K180" s="134"/>
      <c r="L180" s="135"/>
      <c r="M180" s="134"/>
    </row>
    <row r="181" spans="3:13" ht="15.75">
      <c r="C181" s="134"/>
      <c r="D181" s="134"/>
      <c r="E181" s="134"/>
      <c r="F181" s="134"/>
      <c r="G181" s="134"/>
      <c r="H181" s="134"/>
      <c r="I181" s="134"/>
      <c r="J181" s="131"/>
      <c r="K181" s="134"/>
      <c r="L181" s="135"/>
      <c r="M181" s="134"/>
    </row>
    <row r="182" spans="3:13" ht="15.75">
      <c r="C182" s="134"/>
      <c r="D182" s="134"/>
      <c r="E182" s="134"/>
      <c r="F182" s="134"/>
      <c r="G182" s="134"/>
      <c r="H182" s="134"/>
      <c r="I182" s="134"/>
      <c r="J182" s="131"/>
      <c r="K182" s="134"/>
      <c r="L182" s="135"/>
      <c r="M182" s="134"/>
    </row>
    <row r="183" spans="3:13" ht="15.75">
      <c r="C183" s="134"/>
      <c r="D183" s="134"/>
      <c r="E183" s="134"/>
      <c r="F183" s="134"/>
      <c r="G183" s="134"/>
      <c r="H183" s="134"/>
      <c r="I183" s="134"/>
      <c r="J183" s="131"/>
      <c r="K183" s="134"/>
      <c r="L183" s="135"/>
      <c r="M183" s="134"/>
    </row>
    <row r="184" spans="3:13" ht="15.75">
      <c r="C184" s="134"/>
      <c r="D184" s="134"/>
      <c r="E184" s="134"/>
      <c r="F184" s="134"/>
      <c r="G184" s="134"/>
      <c r="H184" s="134"/>
      <c r="I184" s="134"/>
      <c r="J184" s="131"/>
      <c r="K184" s="134"/>
      <c r="L184" s="135"/>
      <c r="M184" s="134"/>
    </row>
    <row r="185" spans="3:13" ht="15.75">
      <c r="C185" s="134"/>
      <c r="D185" s="134"/>
      <c r="E185" s="134"/>
      <c r="F185" s="134"/>
      <c r="G185" s="134"/>
      <c r="H185" s="134"/>
      <c r="I185" s="134"/>
      <c r="J185" s="131"/>
      <c r="K185" s="134"/>
      <c r="L185" s="135"/>
      <c r="M185" s="134"/>
    </row>
    <row r="186" spans="3:13" ht="15.75">
      <c r="C186" s="134"/>
      <c r="D186" s="134"/>
      <c r="E186" s="134"/>
      <c r="F186" s="134"/>
      <c r="G186" s="134"/>
      <c r="H186" s="134"/>
      <c r="I186" s="134"/>
      <c r="J186" s="131"/>
      <c r="K186" s="134"/>
      <c r="L186" s="135"/>
      <c r="M186" s="134"/>
    </row>
    <row r="187" spans="3:13" ht="15.75">
      <c r="C187" s="134"/>
      <c r="D187" s="134"/>
      <c r="E187" s="134"/>
      <c r="F187" s="134"/>
      <c r="G187" s="134"/>
      <c r="H187" s="134"/>
      <c r="I187" s="134"/>
      <c r="J187" s="131"/>
      <c r="K187" s="134"/>
      <c r="L187" s="135"/>
      <c r="M187" s="134"/>
    </row>
    <row r="188" spans="3:13" ht="15.75">
      <c r="C188" s="134"/>
      <c r="D188" s="134"/>
      <c r="E188" s="134"/>
      <c r="F188" s="134"/>
      <c r="G188" s="134"/>
      <c r="H188" s="134"/>
      <c r="I188" s="134"/>
      <c r="J188" s="131"/>
      <c r="K188" s="134"/>
      <c r="L188" s="135"/>
      <c r="M188" s="134"/>
    </row>
    <row r="189" spans="3:13" ht="15.75">
      <c r="C189" s="134"/>
      <c r="D189" s="134"/>
      <c r="E189" s="134"/>
      <c r="F189" s="134"/>
      <c r="G189" s="134"/>
      <c r="H189" s="134"/>
      <c r="I189" s="134"/>
      <c r="J189" s="131"/>
      <c r="K189" s="134"/>
      <c r="L189" s="135"/>
      <c r="M189" s="134"/>
    </row>
    <row r="190" spans="3:13" ht="15.75">
      <c r="C190" s="134"/>
      <c r="D190" s="134"/>
      <c r="E190" s="134"/>
      <c r="F190" s="134"/>
      <c r="G190" s="134"/>
      <c r="H190" s="134"/>
      <c r="I190" s="134"/>
      <c r="J190" s="131"/>
      <c r="K190" s="134"/>
      <c r="L190" s="135"/>
      <c r="M190" s="134"/>
    </row>
    <row r="191" spans="3:13" ht="15.75">
      <c r="C191" s="134"/>
      <c r="D191" s="134"/>
      <c r="E191" s="134"/>
      <c r="F191" s="134"/>
      <c r="G191" s="134"/>
      <c r="H191" s="134"/>
      <c r="I191" s="134"/>
      <c r="J191" s="131"/>
      <c r="K191" s="134"/>
      <c r="L191" s="135"/>
      <c r="M191" s="134"/>
    </row>
    <row r="192" spans="3:13" ht="15.75">
      <c r="C192" s="134"/>
      <c r="D192" s="134"/>
      <c r="E192" s="134"/>
      <c r="F192" s="134"/>
      <c r="G192" s="134"/>
      <c r="H192" s="134"/>
      <c r="I192" s="134"/>
      <c r="J192" s="131"/>
      <c r="K192" s="134"/>
      <c r="L192" s="135"/>
      <c r="M192" s="134"/>
    </row>
    <row r="193" spans="3:13" ht="15.75">
      <c r="C193" s="134"/>
      <c r="D193" s="134"/>
      <c r="E193" s="134"/>
      <c r="F193" s="134"/>
      <c r="G193" s="134"/>
      <c r="H193" s="134"/>
      <c r="I193" s="134"/>
      <c r="J193" s="131"/>
      <c r="K193" s="134"/>
      <c r="L193" s="135"/>
      <c r="M193" s="134"/>
    </row>
    <row r="194" spans="3:13" ht="15.75">
      <c r="C194" s="134"/>
      <c r="D194" s="134"/>
      <c r="E194" s="134"/>
      <c r="F194" s="134"/>
      <c r="G194" s="134"/>
      <c r="H194" s="134"/>
      <c r="I194" s="134"/>
      <c r="J194" s="131"/>
      <c r="K194" s="134"/>
      <c r="L194" s="135"/>
      <c r="M194" s="134"/>
    </row>
    <row r="195" spans="3:13" ht="15.75">
      <c r="C195" s="134"/>
      <c r="D195" s="134"/>
      <c r="E195" s="134"/>
      <c r="F195" s="134"/>
      <c r="G195" s="134"/>
      <c r="H195" s="134"/>
      <c r="I195" s="134"/>
      <c r="J195" s="131"/>
      <c r="K195" s="134"/>
      <c r="L195" s="135"/>
      <c r="M195" s="134"/>
    </row>
    <row r="196" spans="3:13" ht="15.75">
      <c r="C196" s="134"/>
      <c r="D196" s="134"/>
      <c r="E196" s="134"/>
      <c r="F196" s="134"/>
      <c r="G196" s="134"/>
      <c r="H196" s="134"/>
      <c r="I196" s="134"/>
      <c r="J196" s="131"/>
      <c r="K196" s="134"/>
      <c r="L196" s="135"/>
      <c r="M196" s="134"/>
    </row>
    <row r="197" spans="3:13" ht="15.75">
      <c r="C197" s="134"/>
      <c r="D197" s="134"/>
      <c r="E197" s="134"/>
      <c r="F197" s="134"/>
      <c r="G197" s="134"/>
      <c r="H197" s="134"/>
      <c r="I197" s="134"/>
      <c r="J197" s="131"/>
      <c r="K197" s="134"/>
      <c r="L197" s="135"/>
      <c r="M197" s="134"/>
    </row>
    <row r="198" spans="3:13" ht="15.75">
      <c r="C198" s="134"/>
      <c r="D198" s="134"/>
      <c r="E198" s="134"/>
      <c r="F198" s="134"/>
      <c r="G198" s="134"/>
      <c r="H198" s="134"/>
      <c r="I198" s="134"/>
      <c r="J198" s="131"/>
      <c r="K198" s="134"/>
      <c r="L198" s="135"/>
      <c r="M198" s="134"/>
    </row>
    <row r="199" spans="3:13" ht="15.75">
      <c r="C199" s="134"/>
      <c r="D199" s="134"/>
      <c r="E199" s="134"/>
      <c r="F199" s="134"/>
      <c r="G199" s="134"/>
      <c r="H199" s="134"/>
      <c r="I199" s="134"/>
      <c r="J199" s="131"/>
      <c r="K199" s="134"/>
      <c r="L199" s="135"/>
      <c r="M199" s="134"/>
    </row>
    <row r="200" spans="3:13" ht="15.75">
      <c r="C200" s="134"/>
      <c r="D200" s="134"/>
      <c r="E200" s="134"/>
      <c r="F200" s="134"/>
      <c r="G200" s="134"/>
      <c r="H200" s="134"/>
      <c r="I200" s="134"/>
      <c r="J200" s="131"/>
      <c r="K200" s="134"/>
      <c r="L200" s="135"/>
      <c r="M200" s="134"/>
    </row>
    <row r="201" spans="3:13" ht="15.75">
      <c r="C201" s="134"/>
      <c r="D201" s="134"/>
      <c r="E201" s="134"/>
      <c r="F201" s="134"/>
      <c r="G201" s="134"/>
      <c r="H201" s="134"/>
      <c r="I201" s="134"/>
      <c r="J201" s="131"/>
      <c r="K201" s="134"/>
      <c r="L201" s="135"/>
      <c r="M201" s="134"/>
    </row>
    <row r="202" spans="3:13" ht="15.75">
      <c r="C202" s="134"/>
      <c r="D202" s="134"/>
      <c r="E202" s="134"/>
      <c r="F202" s="134"/>
      <c r="G202" s="134"/>
      <c r="H202" s="134"/>
      <c r="I202" s="134"/>
      <c r="J202" s="131"/>
      <c r="K202" s="134"/>
      <c r="L202" s="135"/>
      <c r="M202" s="134"/>
    </row>
    <row r="203" spans="3:13" ht="15.75">
      <c r="C203" s="134"/>
      <c r="D203" s="134"/>
      <c r="E203" s="134"/>
      <c r="F203" s="134"/>
      <c r="G203" s="134"/>
      <c r="H203" s="134"/>
      <c r="I203" s="134"/>
      <c r="J203" s="131"/>
      <c r="K203" s="134"/>
      <c r="L203" s="135"/>
      <c r="M203" s="134"/>
    </row>
    <row r="204" spans="3:13" ht="15.75">
      <c r="C204" s="134"/>
      <c r="D204" s="134"/>
      <c r="E204" s="134"/>
      <c r="F204" s="134"/>
      <c r="G204" s="134"/>
      <c r="H204" s="134"/>
      <c r="I204" s="134"/>
      <c r="J204" s="131"/>
      <c r="K204" s="134"/>
      <c r="L204" s="135"/>
      <c r="M204" s="134"/>
    </row>
    <row r="205" spans="3:13" ht="15.75">
      <c r="C205" s="134"/>
      <c r="D205" s="134"/>
      <c r="E205" s="134"/>
      <c r="F205" s="134"/>
      <c r="G205" s="134"/>
      <c r="H205" s="134"/>
      <c r="I205" s="134"/>
      <c r="J205" s="131"/>
      <c r="K205" s="134"/>
      <c r="L205" s="135"/>
      <c r="M205" s="134"/>
    </row>
    <row r="206" spans="3:13" ht="15.75">
      <c r="C206" s="134"/>
      <c r="D206" s="134"/>
      <c r="E206" s="134"/>
      <c r="F206" s="134"/>
      <c r="G206" s="134"/>
      <c r="H206" s="134"/>
      <c r="I206" s="134"/>
      <c r="J206" s="131"/>
      <c r="K206" s="134"/>
      <c r="L206" s="135"/>
      <c r="M206" s="134"/>
    </row>
    <row r="207" spans="3:13" ht="15.75">
      <c r="C207" s="134"/>
      <c r="D207" s="134"/>
      <c r="E207" s="134"/>
      <c r="F207" s="134"/>
      <c r="G207" s="134"/>
      <c r="H207" s="134"/>
      <c r="I207" s="134"/>
      <c r="J207" s="131"/>
      <c r="K207" s="134"/>
      <c r="L207" s="135"/>
      <c r="M207" s="134"/>
    </row>
    <row r="208" spans="3:13" ht="15.75">
      <c r="C208" s="134"/>
      <c r="D208" s="134"/>
      <c r="E208" s="134"/>
      <c r="F208" s="134"/>
      <c r="G208" s="134"/>
      <c r="H208" s="134"/>
      <c r="I208" s="134"/>
      <c r="J208" s="131"/>
      <c r="K208" s="134"/>
      <c r="L208" s="135"/>
      <c r="M208" s="134"/>
    </row>
    <row r="209" spans="3:13" ht="15.75">
      <c r="C209" s="134"/>
      <c r="D209" s="134"/>
      <c r="E209" s="134"/>
      <c r="F209" s="134"/>
      <c r="G209" s="134"/>
      <c r="H209" s="134"/>
      <c r="I209" s="134"/>
      <c r="J209" s="131"/>
      <c r="K209" s="134"/>
      <c r="L209" s="135"/>
      <c r="M209" s="134"/>
    </row>
    <row r="210" spans="3:13" ht="15.75">
      <c r="C210" s="134"/>
      <c r="D210" s="134"/>
      <c r="E210" s="134"/>
      <c r="F210" s="134"/>
      <c r="G210" s="134"/>
      <c r="H210" s="134"/>
      <c r="I210" s="134"/>
      <c r="J210" s="131"/>
      <c r="K210" s="134"/>
      <c r="L210" s="135"/>
      <c r="M210" s="134"/>
    </row>
    <row r="211" spans="3:13" ht="15.75">
      <c r="C211" s="134"/>
      <c r="D211" s="134"/>
      <c r="E211" s="134"/>
      <c r="F211" s="134"/>
      <c r="G211" s="134"/>
      <c r="H211" s="134"/>
      <c r="I211" s="134"/>
      <c r="J211" s="131"/>
      <c r="K211" s="134"/>
      <c r="L211" s="135"/>
      <c r="M211" s="134"/>
    </row>
    <row r="212" spans="3:13" ht="15.75">
      <c r="C212" s="134"/>
      <c r="D212" s="134"/>
      <c r="E212" s="134"/>
      <c r="F212" s="134"/>
      <c r="G212" s="134"/>
      <c r="H212" s="134"/>
      <c r="I212" s="134"/>
      <c r="J212" s="131"/>
      <c r="K212" s="134"/>
      <c r="L212" s="135"/>
      <c r="M212" s="134"/>
    </row>
    <row r="213" spans="3:13" ht="15.75">
      <c r="C213" s="134"/>
      <c r="D213" s="134"/>
      <c r="E213" s="134"/>
      <c r="F213" s="134"/>
      <c r="G213" s="134"/>
      <c r="H213" s="134"/>
      <c r="I213" s="134"/>
      <c r="J213" s="131"/>
      <c r="K213" s="134"/>
      <c r="L213" s="135"/>
      <c r="M213" s="134"/>
    </row>
    <row r="214" spans="3:13" ht="15.75">
      <c r="C214" s="134"/>
      <c r="D214" s="134"/>
      <c r="E214" s="134"/>
      <c r="F214" s="134"/>
      <c r="G214" s="134"/>
      <c r="H214" s="134"/>
      <c r="I214" s="134"/>
      <c r="J214" s="131"/>
      <c r="K214" s="134"/>
      <c r="L214" s="135"/>
      <c r="M214" s="134"/>
    </row>
    <row r="215" spans="3:13" ht="15.75">
      <c r="C215" s="134"/>
      <c r="D215" s="134"/>
      <c r="E215" s="134"/>
      <c r="F215" s="134"/>
      <c r="G215" s="134"/>
      <c r="H215" s="134"/>
      <c r="I215" s="134"/>
      <c r="J215" s="131"/>
      <c r="K215" s="134"/>
      <c r="L215" s="135"/>
      <c r="M215" s="134"/>
    </row>
    <row r="216" spans="3:13" ht="15.75">
      <c r="C216" s="134"/>
      <c r="D216" s="134"/>
      <c r="E216" s="134"/>
      <c r="F216" s="134"/>
      <c r="G216" s="134"/>
      <c r="H216" s="134"/>
      <c r="I216" s="134"/>
      <c r="J216" s="131"/>
      <c r="K216" s="134"/>
      <c r="L216" s="135"/>
      <c r="M216" s="134"/>
    </row>
    <row r="217" spans="3:13" ht="15.75">
      <c r="C217" s="134"/>
      <c r="D217" s="134"/>
      <c r="E217" s="134"/>
      <c r="F217" s="134"/>
      <c r="G217" s="134"/>
      <c r="H217" s="134"/>
      <c r="I217" s="134"/>
      <c r="J217" s="131"/>
      <c r="K217" s="134"/>
      <c r="L217" s="135"/>
      <c r="M217" s="134"/>
    </row>
    <row r="218" spans="3:13" ht="15.75">
      <c r="C218" s="134"/>
      <c r="D218" s="134"/>
      <c r="E218" s="134"/>
      <c r="F218" s="134"/>
      <c r="G218" s="134"/>
      <c r="H218" s="134"/>
      <c r="I218" s="134"/>
      <c r="J218" s="131"/>
      <c r="K218" s="134"/>
      <c r="L218" s="135"/>
      <c r="M218" s="134"/>
    </row>
    <row r="219" spans="3:13" ht="15.75">
      <c r="C219" s="134"/>
      <c r="D219" s="134"/>
      <c r="E219" s="134"/>
      <c r="F219" s="134"/>
      <c r="G219" s="134"/>
      <c r="H219" s="134"/>
      <c r="I219" s="134"/>
      <c r="J219" s="131"/>
      <c r="K219" s="134"/>
      <c r="L219" s="135"/>
      <c r="M219" s="134"/>
    </row>
    <row r="220" spans="3:13" ht="15.75">
      <c r="C220" s="134"/>
      <c r="D220" s="134"/>
      <c r="E220" s="134"/>
      <c r="F220" s="134"/>
      <c r="G220" s="134"/>
      <c r="H220" s="134"/>
      <c r="I220" s="134"/>
      <c r="J220" s="131"/>
      <c r="K220" s="134"/>
      <c r="L220" s="135"/>
      <c r="M220" s="134"/>
    </row>
    <row r="221" spans="3:13" ht="15.75">
      <c r="C221" s="134"/>
      <c r="D221" s="134"/>
      <c r="E221" s="134"/>
      <c r="F221" s="134"/>
      <c r="G221" s="134"/>
      <c r="H221" s="134"/>
      <c r="I221" s="134"/>
      <c r="J221" s="131"/>
      <c r="K221" s="134"/>
      <c r="L221" s="135"/>
      <c r="M221" s="134"/>
    </row>
    <row r="222" spans="3:13" ht="15.75">
      <c r="C222" s="134"/>
      <c r="D222" s="134"/>
      <c r="E222" s="134"/>
      <c r="F222" s="134"/>
      <c r="G222" s="134"/>
      <c r="H222" s="134"/>
      <c r="I222" s="134"/>
      <c r="J222" s="131"/>
      <c r="K222" s="134"/>
      <c r="L222" s="135"/>
      <c r="M222" s="134"/>
    </row>
    <row r="223" spans="3:13" ht="15.75">
      <c r="C223" s="134"/>
      <c r="D223" s="134"/>
      <c r="E223" s="134"/>
      <c r="F223" s="134"/>
      <c r="G223" s="134"/>
      <c r="H223" s="134"/>
      <c r="I223" s="134"/>
      <c r="J223" s="131"/>
      <c r="K223" s="134"/>
      <c r="L223" s="135"/>
      <c r="M223" s="134"/>
    </row>
    <row r="224" spans="3:13" ht="15.75">
      <c r="C224" s="134"/>
      <c r="D224" s="134"/>
      <c r="E224" s="134"/>
      <c r="F224" s="134"/>
      <c r="G224" s="134"/>
      <c r="H224" s="134"/>
      <c r="I224" s="134"/>
      <c r="J224" s="131"/>
      <c r="K224" s="134"/>
      <c r="L224" s="135"/>
      <c r="M224" s="134"/>
    </row>
    <row r="225" spans="3:13" ht="15.75">
      <c r="C225" s="134"/>
      <c r="D225" s="134"/>
      <c r="E225" s="134"/>
      <c r="F225" s="134"/>
      <c r="G225" s="134"/>
      <c r="H225" s="134"/>
      <c r="I225" s="134"/>
      <c r="J225" s="131"/>
      <c r="K225" s="134"/>
      <c r="L225" s="135"/>
      <c r="M225" s="134"/>
    </row>
    <row r="226" spans="3:13" ht="15.75">
      <c r="C226" s="134"/>
      <c r="D226" s="134"/>
      <c r="E226" s="134"/>
      <c r="F226" s="134"/>
      <c r="G226" s="134"/>
      <c r="H226" s="134"/>
      <c r="I226" s="134"/>
      <c r="J226" s="131"/>
      <c r="K226" s="134"/>
      <c r="L226" s="135"/>
      <c r="M226" s="134"/>
    </row>
    <row r="227" spans="3:13" ht="15.75">
      <c r="C227" s="134"/>
      <c r="D227" s="134"/>
      <c r="E227" s="134"/>
      <c r="F227" s="134"/>
      <c r="G227" s="134"/>
      <c r="H227" s="134"/>
      <c r="I227" s="134"/>
      <c r="J227" s="131"/>
      <c r="K227" s="134"/>
      <c r="L227" s="135"/>
      <c r="M227" s="134"/>
    </row>
    <row r="228" spans="3:13" ht="15.75">
      <c r="C228" s="134"/>
      <c r="D228" s="134"/>
      <c r="E228" s="134"/>
      <c r="F228" s="134"/>
      <c r="G228" s="134"/>
      <c r="H228" s="134"/>
      <c r="I228" s="134"/>
      <c r="J228" s="131"/>
      <c r="K228" s="134"/>
      <c r="L228" s="135"/>
      <c r="M228" s="134"/>
    </row>
    <row r="229" spans="3:13" ht="15.75">
      <c r="C229" s="134"/>
      <c r="D229" s="134"/>
      <c r="E229" s="134"/>
      <c r="F229" s="134"/>
      <c r="G229" s="134"/>
      <c r="H229" s="134"/>
      <c r="I229" s="134"/>
      <c r="J229" s="131"/>
      <c r="K229" s="134"/>
      <c r="L229" s="135"/>
      <c r="M229" s="134"/>
    </row>
    <row r="230" spans="3:13" ht="15.75">
      <c r="C230" s="134"/>
      <c r="D230" s="134"/>
      <c r="E230" s="134"/>
      <c r="F230" s="134"/>
      <c r="G230" s="134"/>
      <c r="H230" s="134"/>
      <c r="I230" s="134"/>
      <c r="J230" s="131"/>
      <c r="K230" s="134"/>
      <c r="L230" s="135"/>
      <c r="M230" s="134"/>
    </row>
    <row r="231" spans="3:13" ht="15.75">
      <c r="C231" s="134"/>
      <c r="D231" s="134"/>
      <c r="E231" s="134"/>
      <c r="F231" s="134"/>
      <c r="G231" s="134"/>
      <c r="H231" s="134"/>
      <c r="I231" s="134"/>
      <c r="J231" s="131"/>
      <c r="K231" s="134"/>
      <c r="L231" s="135"/>
      <c r="M231" s="134"/>
    </row>
    <row r="232" spans="3:13" ht="15.75">
      <c r="C232" s="134"/>
      <c r="D232" s="134"/>
      <c r="E232" s="134"/>
      <c r="F232" s="134"/>
      <c r="G232" s="134"/>
      <c r="H232" s="134"/>
      <c r="I232" s="134"/>
      <c r="J232" s="131"/>
      <c r="K232" s="134"/>
      <c r="L232" s="135"/>
      <c r="M232" s="134"/>
    </row>
    <row r="233" spans="3:13" ht="15.75">
      <c r="C233" s="134"/>
      <c r="D233" s="134"/>
      <c r="E233" s="134"/>
      <c r="F233" s="134"/>
      <c r="G233" s="134"/>
      <c r="H233" s="134"/>
      <c r="I233" s="134"/>
      <c r="J233" s="131"/>
      <c r="K233" s="134"/>
      <c r="L233" s="135"/>
      <c r="M233" s="134"/>
    </row>
    <row r="234" spans="3:13" ht="15.75">
      <c r="C234" s="134"/>
      <c r="D234" s="134"/>
      <c r="E234" s="134"/>
      <c r="F234" s="134"/>
      <c r="G234" s="134"/>
      <c r="H234" s="134"/>
      <c r="I234" s="134"/>
      <c r="J234" s="131"/>
      <c r="K234" s="134"/>
      <c r="L234" s="135"/>
      <c r="M234" s="134"/>
    </row>
    <row r="235" spans="3:13" ht="15.75">
      <c r="C235" s="134"/>
      <c r="D235" s="134"/>
      <c r="E235" s="134"/>
      <c r="F235" s="134"/>
      <c r="G235" s="134"/>
      <c r="H235" s="134"/>
      <c r="I235" s="134"/>
      <c r="J235" s="131"/>
      <c r="K235" s="134"/>
      <c r="L235" s="135"/>
      <c r="M235" s="134"/>
    </row>
    <row r="236" spans="3:13" ht="15.75">
      <c r="C236" s="134"/>
      <c r="D236" s="134"/>
      <c r="E236" s="134"/>
      <c r="F236" s="134"/>
      <c r="G236" s="134"/>
      <c r="H236" s="134"/>
      <c r="I236" s="134"/>
      <c r="J236" s="131"/>
      <c r="K236" s="134"/>
      <c r="L236" s="135"/>
      <c r="M236" s="134"/>
    </row>
    <row r="237" spans="3:13" ht="15.75">
      <c r="C237" s="134"/>
      <c r="D237" s="134"/>
      <c r="E237" s="134"/>
      <c r="F237" s="134"/>
      <c r="G237" s="134"/>
      <c r="H237" s="134"/>
      <c r="I237" s="134"/>
      <c r="J237" s="131"/>
      <c r="K237" s="134"/>
      <c r="L237" s="135"/>
      <c r="M237" s="134"/>
    </row>
    <row r="238" spans="3:13" ht="15.75">
      <c r="C238" s="134"/>
      <c r="D238" s="134"/>
      <c r="E238" s="134"/>
      <c r="F238" s="134"/>
      <c r="G238" s="134"/>
      <c r="H238" s="134"/>
      <c r="I238" s="134"/>
      <c r="J238" s="131"/>
      <c r="K238" s="134"/>
      <c r="L238" s="135"/>
      <c r="M238" s="134"/>
    </row>
    <row r="239" spans="3:13" ht="15.75">
      <c r="C239" s="134"/>
      <c r="D239" s="134"/>
      <c r="E239" s="134"/>
      <c r="F239" s="134"/>
      <c r="G239" s="134"/>
      <c r="H239" s="134"/>
      <c r="I239" s="134"/>
      <c r="J239" s="131"/>
      <c r="K239" s="134"/>
      <c r="L239" s="135"/>
      <c r="M239" s="134"/>
    </row>
    <row r="240" spans="3:13" ht="15.75">
      <c r="C240" s="134"/>
      <c r="D240" s="134"/>
      <c r="E240" s="134"/>
      <c r="F240" s="134"/>
      <c r="G240" s="134"/>
      <c r="H240" s="134"/>
      <c r="I240" s="134"/>
      <c r="J240" s="131"/>
      <c r="K240" s="134"/>
      <c r="L240" s="135"/>
      <c r="M240" s="134"/>
    </row>
    <row r="241" spans="3:13" ht="15.75">
      <c r="C241" s="134"/>
      <c r="D241" s="134"/>
      <c r="E241" s="134"/>
      <c r="F241" s="134"/>
      <c r="G241" s="134"/>
      <c r="H241" s="134"/>
      <c r="I241" s="134"/>
      <c r="J241" s="131"/>
      <c r="K241" s="134"/>
      <c r="L241" s="135"/>
      <c r="M241" s="134"/>
    </row>
    <row r="242" spans="3:13" ht="15.75">
      <c r="C242" s="134"/>
      <c r="D242" s="134"/>
      <c r="E242" s="134"/>
      <c r="F242" s="134"/>
      <c r="G242" s="134"/>
      <c r="H242" s="134"/>
      <c r="I242" s="134"/>
      <c r="J242" s="131"/>
      <c r="K242" s="134"/>
      <c r="L242" s="135"/>
      <c r="M242" s="134"/>
    </row>
    <row r="243" spans="3:13" ht="15.75">
      <c r="C243" s="134"/>
      <c r="D243" s="134"/>
      <c r="E243" s="134"/>
      <c r="F243" s="134"/>
      <c r="G243" s="134"/>
      <c r="H243" s="134"/>
      <c r="I243" s="134"/>
      <c r="J243" s="131"/>
      <c r="K243" s="134"/>
      <c r="L243" s="135"/>
      <c r="M243" s="134"/>
    </row>
    <row r="244" spans="3:13" ht="15.75">
      <c r="C244" s="134"/>
      <c r="D244" s="134"/>
      <c r="E244" s="134"/>
      <c r="F244" s="134"/>
      <c r="G244" s="134"/>
      <c r="H244" s="134"/>
      <c r="I244" s="134"/>
      <c r="J244" s="131"/>
      <c r="K244" s="134"/>
      <c r="L244" s="135"/>
      <c r="M244" s="134"/>
    </row>
    <row r="245" spans="3:13" ht="15.75">
      <c r="C245" s="134"/>
      <c r="D245" s="134"/>
      <c r="E245" s="134"/>
      <c r="F245" s="134"/>
      <c r="G245" s="134"/>
      <c r="H245" s="134"/>
      <c r="I245" s="134"/>
      <c r="J245" s="131"/>
      <c r="K245" s="134"/>
      <c r="L245" s="135"/>
      <c r="M245" s="134"/>
    </row>
    <row r="246" spans="3:13" ht="15.75">
      <c r="C246" s="134"/>
      <c r="D246" s="134"/>
      <c r="E246" s="134"/>
      <c r="F246" s="134"/>
      <c r="G246" s="134"/>
      <c r="H246" s="134"/>
      <c r="I246" s="134"/>
      <c r="J246" s="131"/>
      <c r="K246" s="134"/>
      <c r="L246" s="135"/>
      <c r="M246" s="134"/>
    </row>
    <row r="247" spans="3:13" ht="15.75">
      <c r="C247" s="134"/>
      <c r="D247" s="134"/>
      <c r="E247" s="134"/>
      <c r="F247" s="134"/>
      <c r="G247" s="134"/>
      <c r="H247" s="134"/>
      <c r="I247" s="134"/>
      <c r="J247" s="131"/>
      <c r="K247" s="134"/>
      <c r="L247" s="135"/>
      <c r="M247" s="134"/>
    </row>
    <row r="248" spans="3:13" ht="15.75">
      <c r="C248" s="134"/>
      <c r="D248" s="134"/>
      <c r="E248" s="134"/>
      <c r="F248" s="134"/>
      <c r="G248" s="134"/>
      <c r="H248" s="134"/>
      <c r="I248" s="134"/>
      <c r="J248" s="131"/>
      <c r="K248" s="134"/>
      <c r="L248" s="135"/>
      <c r="M248" s="134"/>
    </row>
    <row r="249" spans="3:13" ht="15.75">
      <c r="C249" s="134"/>
      <c r="D249" s="134"/>
      <c r="E249" s="134"/>
      <c r="F249" s="134"/>
      <c r="G249" s="134"/>
      <c r="H249" s="134"/>
      <c r="I249" s="134"/>
      <c r="J249" s="131"/>
      <c r="K249" s="134"/>
      <c r="L249" s="135"/>
      <c r="M249" s="134"/>
    </row>
    <row r="250" spans="3:13" ht="15.75">
      <c r="C250" s="134"/>
      <c r="D250" s="134"/>
      <c r="E250" s="134"/>
      <c r="F250" s="134"/>
      <c r="G250" s="134"/>
      <c r="H250" s="134"/>
      <c r="I250" s="134"/>
      <c r="J250" s="131"/>
      <c r="K250" s="134"/>
      <c r="L250" s="135"/>
      <c r="M250" s="134"/>
    </row>
    <row r="251" spans="3:13" ht="15.75">
      <c r="C251" s="134"/>
      <c r="D251" s="134"/>
      <c r="E251" s="134"/>
      <c r="F251" s="134"/>
      <c r="G251" s="134"/>
      <c r="H251" s="134"/>
      <c r="I251" s="134"/>
      <c r="J251" s="131"/>
      <c r="K251" s="134"/>
      <c r="L251" s="135"/>
      <c r="M251" s="134"/>
    </row>
    <row r="252" spans="3:13" ht="15.75">
      <c r="C252" s="134"/>
      <c r="D252" s="134"/>
      <c r="E252" s="134"/>
      <c r="F252" s="134"/>
      <c r="G252" s="134"/>
      <c r="H252" s="134"/>
      <c r="I252" s="134"/>
      <c r="J252" s="131"/>
      <c r="K252" s="134"/>
      <c r="L252" s="135"/>
      <c r="M252" s="134"/>
    </row>
    <row r="253" spans="3:13" ht="15.75">
      <c r="C253" s="134"/>
      <c r="D253" s="134"/>
      <c r="E253" s="134"/>
      <c r="F253" s="134"/>
      <c r="G253" s="134"/>
      <c r="H253" s="134"/>
      <c r="I253" s="134"/>
      <c r="J253" s="131"/>
      <c r="K253" s="134"/>
      <c r="L253" s="135"/>
      <c r="M253" s="134"/>
    </row>
    <row r="254" spans="3:13" ht="15.75">
      <c r="C254" s="134"/>
      <c r="D254" s="134"/>
      <c r="E254" s="134"/>
      <c r="F254" s="134"/>
      <c r="G254" s="134"/>
      <c r="H254" s="134"/>
      <c r="I254" s="134"/>
      <c r="J254" s="131"/>
      <c r="K254" s="134"/>
      <c r="L254" s="135"/>
      <c r="M254" s="134"/>
    </row>
    <row r="255" spans="3:13" ht="15.75">
      <c r="C255" s="134"/>
      <c r="D255" s="134"/>
      <c r="E255" s="134"/>
      <c r="F255" s="134"/>
      <c r="G255" s="134"/>
      <c r="H255" s="134"/>
      <c r="I255" s="134"/>
      <c r="J255" s="131"/>
      <c r="K255" s="134"/>
      <c r="L255" s="135"/>
      <c r="M255" s="134"/>
    </row>
    <row r="256" spans="3:13" ht="15.75">
      <c r="C256" s="134"/>
      <c r="D256" s="134"/>
      <c r="E256" s="134"/>
      <c r="F256" s="134"/>
      <c r="G256" s="134"/>
      <c r="H256" s="134"/>
      <c r="I256" s="134"/>
      <c r="J256" s="131"/>
      <c r="K256" s="134"/>
      <c r="L256" s="135"/>
      <c r="M256" s="134"/>
    </row>
    <row r="257" spans="3:13" ht="15.75">
      <c r="C257" s="134"/>
      <c r="D257" s="134"/>
      <c r="E257" s="134"/>
      <c r="F257" s="134"/>
      <c r="G257" s="134"/>
      <c r="H257" s="134"/>
      <c r="I257" s="134"/>
      <c r="J257" s="131"/>
      <c r="K257" s="134"/>
      <c r="L257" s="135"/>
      <c r="M257" s="134"/>
    </row>
    <row r="258" spans="3:13" ht="15.75">
      <c r="C258" s="134"/>
      <c r="D258" s="134"/>
      <c r="E258" s="134"/>
      <c r="F258" s="134"/>
      <c r="G258" s="134"/>
      <c r="H258" s="134"/>
      <c r="I258" s="134"/>
      <c r="J258" s="131"/>
      <c r="K258" s="134"/>
      <c r="L258" s="135"/>
      <c r="M258" s="134"/>
    </row>
    <row r="259" spans="3:13" ht="15.75">
      <c r="C259" s="134"/>
      <c r="D259" s="134"/>
      <c r="E259" s="134"/>
      <c r="F259" s="134"/>
      <c r="G259" s="134"/>
      <c r="H259" s="134"/>
      <c r="I259" s="134"/>
      <c r="J259" s="131"/>
      <c r="K259" s="134"/>
      <c r="L259" s="135"/>
      <c r="M259" s="134"/>
    </row>
    <row r="260" spans="3:13" ht="15.75">
      <c r="C260" s="134"/>
      <c r="D260" s="134"/>
      <c r="E260" s="134"/>
      <c r="F260" s="134"/>
      <c r="G260" s="134"/>
      <c r="H260" s="134"/>
      <c r="I260" s="134"/>
      <c r="J260" s="131"/>
      <c r="K260" s="134"/>
      <c r="L260" s="135"/>
      <c r="M260" s="134"/>
    </row>
    <row r="261" spans="3:13" ht="15.75">
      <c r="C261" s="134"/>
      <c r="D261" s="134"/>
      <c r="E261" s="134"/>
      <c r="F261" s="134"/>
      <c r="G261" s="134"/>
      <c r="H261" s="134"/>
      <c r="I261" s="134"/>
      <c r="J261" s="131"/>
      <c r="K261" s="134"/>
      <c r="L261" s="135"/>
      <c r="M261" s="134"/>
    </row>
    <row r="262" spans="3:13" ht="15.75">
      <c r="C262" s="134"/>
      <c r="D262" s="134"/>
      <c r="E262" s="134"/>
      <c r="F262" s="134"/>
      <c r="G262" s="134"/>
      <c r="H262" s="134"/>
      <c r="I262" s="134"/>
      <c r="J262" s="131"/>
      <c r="K262" s="134"/>
      <c r="L262" s="135"/>
      <c r="M262" s="134"/>
    </row>
    <row r="263" spans="3:13" ht="15.75">
      <c r="C263" s="134"/>
      <c r="D263" s="134"/>
      <c r="E263" s="134"/>
      <c r="F263" s="134"/>
      <c r="G263" s="134"/>
      <c r="H263" s="134"/>
      <c r="I263" s="134"/>
      <c r="J263" s="131"/>
      <c r="K263" s="134"/>
      <c r="L263" s="135"/>
      <c r="M263" s="134"/>
    </row>
    <row r="264" spans="3:13" ht="15.75">
      <c r="C264" s="134"/>
      <c r="D264" s="134"/>
      <c r="E264" s="134"/>
      <c r="F264" s="134"/>
      <c r="G264" s="134"/>
      <c r="H264" s="134"/>
      <c r="I264" s="134"/>
      <c r="J264" s="131"/>
      <c r="K264" s="134"/>
      <c r="L264" s="135"/>
      <c r="M264" s="134"/>
    </row>
    <row r="265" spans="3:13" ht="15.75">
      <c r="C265" s="134"/>
      <c r="D265" s="134"/>
      <c r="E265" s="134"/>
      <c r="F265" s="134"/>
      <c r="G265" s="134"/>
      <c r="H265" s="134"/>
      <c r="I265" s="134"/>
      <c r="J265" s="131"/>
      <c r="K265" s="134"/>
      <c r="L265" s="135"/>
      <c r="M265" s="134"/>
    </row>
    <row r="266" spans="3:13" ht="15.75">
      <c r="C266" s="134"/>
      <c r="D266" s="134"/>
      <c r="E266" s="134"/>
      <c r="F266" s="134"/>
      <c r="G266" s="134"/>
      <c r="H266" s="134"/>
      <c r="I266" s="134"/>
      <c r="J266" s="131"/>
      <c r="K266" s="134"/>
      <c r="L266" s="135"/>
      <c r="M266" s="134"/>
    </row>
    <row r="267" spans="3:13" ht="15.75">
      <c r="C267" s="134"/>
      <c r="D267" s="134"/>
      <c r="E267" s="134"/>
      <c r="F267" s="134"/>
      <c r="G267" s="134"/>
      <c r="H267" s="134"/>
      <c r="I267" s="134"/>
      <c r="J267" s="131"/>
      <c r="K267" s="134"/>
      <c r="L267" s="135"/>
      <c r="M267" s="134"/>
    </row>
    <row r="268" spans="3:13" ht="15.75">
      <c r="C268" s="134"/>
      <c r="D268" s="134"/>
      <c r="E268" s="134"/>
      <c r="F268" s="134"/>
      <c r="G268" s="134"/>
      <c r="H268" s="134"/>
      <c r="I268" s="134"/>
      <c r="J268" s="131"/>
      <c r="K268" s="134"/>
      <c r="L268" s="135"/>
      <c r="M268" s="134"/>
    </row>
    <row r="269" spans="3:13" ht="15.75">
      <c r="C269" s="134"/>
      <c r="D269" s="134"/>
      <c r="E269" s="134"/>
      <c r="F269" s="134"/>
      <c r="G269" s="134"/>
      <c r="H269" s="134"/>
      <c r="I269" s="134"/>
      <c r="J269" s="131"/>
      <c r="K269" s="134"/>
      <c r="L269" s="135"/>
      <c r="M269" s="134"/>
    </row>
    <row r="270" spans="3:13" ht="15.75">
      <c r="C270" s="134"/>
      <c r="D270" s="134"/>
      <c r="E270" s="134"/>
      <c r="F270" s="134"/>
      <c r="G270" s="134"/>
      <c r="H270" s="134"/>
      <c r="I270" s="134"/>
      <c r="J270" s="131"/>
      <c r="K270" s="134"/>
      <c r="L270" s="135"/>
      <c r="M270" s="134"/>
    </row>
    <row r="271" spans="3:13" ht="15.75">
      <c r="C271" s="134"/>
      <c r="D271" s="134"/>
      <c r="E271" s="134"/>
      <c r="F271" s="134"/>
      <c r="G271" s="134"/>
      <c r="H271" s="134"/>
      <c r="I271" s="134"/>
      <c r="J271" s="131"/>
      <c r="K271" s="134"/>
      <c r="L271" s="135"/>
      <c r="M271" s="134"/>
    </row>
    <row r="272" spans="3:13" ht="15.75">
      <c r="C272" s="134"/>
      <c r="D272" s="134"/>
      <c r="E272" s="134"/>
      <c r="F272" s="134"/>
      <c r="G272" s="134"/>
      <c r="H272" s="134"/>
      <c r="I272" s="134"/>
      <c r="J272" s="131"/>
      <c r="K272" s="134"/>
      <c r="L272" s="135"/>
      <c r="M272" s="134"/>
    </row>
    <row r="273" spans="3:13" ht="15.75">
      <c r="C273" s="134"/>
      <c r="D273" s="134"/>
      <c r="E273" s="134"/>
      <c r="F273" s="134"/>
      <c r="G273" s="134"/>
      <c r="H273" s="134"/>
      <c r="I273" s="134"/>
      <c r="J273" s="131"/>
      <c r="K273" s="134"/>
      <c r="L273" s="135"/>
      <c r="M273" s="134"/>
    </row>
    <row r="274" spans="3:13" ht="15.75">
      <c r="C274" s="134"/>
      <c r="D274" s="134"/>
      <c r="E274" s="134"/>
      <c r="F274" s="134"/>
      <c r="G274" s="134"/>
      <c r="H274" s="134"/>
      <c r="I274" s="134"/>
      <c r="J274" s="131"/>
      <c r="K274" s="134"/>
      <c r="L274" s="135"/>
      <c r="M274" s="134"/>
    </row>
    <row r="275" spans="3:13" ht="15.75">
      <c r="C275" s="134"/>
      <c r="D275" s="134"/>
      <c r="E275" s="134"/>
      <c r="F275" s="134"/>
      <c r="G275" s="134"/>
      <c r="H275" s="134"/>
      <c r="I275" s="134"/>
      <c r="J275" s="131"/>
      <c r="K275" s="134"/>
      <c r="L275" s="135"/>
      <c r="M275" s="134"/>
    </row>
    <row r="276" spans="3:13" ht="15.75">
      <c r="C276" s="134"/>
      <c r="D276" s="134"/>
      <c r="E276" s="134"/>
      <c r="F276" s="134"/>
      <c r="G276" s="134"/>
      <c r="H276" s="134"/>
      <c r="I276" s="134"/>
      <c r="J276" s="131"/>
      <c r="K276" s="134"/>
      <c r="L276" s="135"/>
      <c r="M276" s="134"/>
    </row>
    <row r="277" spans="3:13" ht="15.75">
      <c r="C277" s="134"/>
      <c r="D277" s="134"/>
      <c r="E277" s="134"/>
      <c r="F277" s="134"/>
      <c r="G277" s="134"/>
      <c r="H277" s="134"/>
      <c r="I277" s="134"/>
      <c r="J277" s="131"/>
      <c r="K277" s="134"/>
      <c r="L277" s="135"/>
      <c r="M277" s="134"/>
    </row>
    <row r="278" spans="3:13" ht="15.75">
      <c r="C278" s="134"/>
      <c r="D278" s="134"/>
      <c r="E278" s="134"/>
      <c r="F278" s="134"/>
      <c r="G278" s="134"/>
      <c r="H278" s="134"/>
      <c r="I278" s="134"/>
      <c r="J278" s="131"/>
      <c r="K278" s="134"/>
      <c r="L278" s="135"/>
      <c r="M278" s="134"/>
    </row>
    <row r="279" spans="3:13" ht="15.75">
      <c r="C279" s="134"/>
      <c r="D279" s="134"/>
      <c r="E279" s="134"/>
      <c r="F279" s="134"/>
      <c r="G279" s="134"/>
      <c r="H279" s="134"/>
      <c r="I279" s="134"/>
      <c r="J279" s="131"/>
      <c r="K279" s="134"/>
      <c r="L279" s="135"/>
      <c r="M279" s="134"/>
    </row>
    <row r="280" spans="3:13" ht="15.75">
      <c r="C280" s="134"/>
      <c r="D280" s="134"/>
      <c r="E280" s="134"/>
      <c r="F280" s="134"/>
      <c r="G280" s="134"/>
      <c r="H280" s="134"/>
      <c r="I280" s="134"/>
      <c r="J280" s="131"/>
      <c r="K280" s="134"/>
      <c r="L280" s="135"/>
      <c r="M280" s="134"/>
    </row>
    <row r="281" spans="3:13" ht="15.75">
      <c r="C281" s="134"/>
      <c r="D281" s="134"/>
      <c r="E281" s="134"/>
      <c r="F281" s="134"/>
      <c r="G281" s="134"/>
      <c r="H281" s="134"/>
      <c r="I281" s="134"/>
      <c r="J281" s="131"/>
      <c r="K281" s="134"/>
      <c r="L281" s="135"/>
      <c r="M281" s="134"/>
    </row>
    <row r="282" spans="3:13" ht="15.75">
      <c r="C282" s="134"/>
      <c r="D282" s="134"/>
      <c r="E282" s="134"/>
      <c r="F282" s="134"/>
      <c r="G282" s="134"/>
      <c r="H282" s="134"/>
      <c r="I282" s="134"/>
      <c r="J282" s="131"/>
      <c r="K282" s="134"/>
      <c r="L282" s="135"/>
      <c r="M282" s="134"/>
    </row>
    <row r="283" spans="3:13" ht="15.75">
      <c r="C283" s="134"/>
      <c r="D283" s="134"/>
      <c r="E283" s="134"/>
      <c r="F283" s="134"/>
      <c r="G283" s="134"/>
      <c r="H283" s="134"/>
      <c r="I283" s="134"/>
      <c r="J283" s="131"/>
      <c r="K283" s="134"/>
      <c r="L283" s="135"/>
      <c r="M283" s="134"/>
    </row>
    <row r="284" spans="3:13" ht="15.75">
      <c r="C284" s="134"/>
      <c r="D284" s="134"/>
      <c r="E284" s="134"/>
      <c r="F284" s="134"/>
      <c r="G284" s="134"/>
      <c r="H284" s="134"/>
      <c r="I284" s="134"/>
      <c r="J284" s="131"/>
      <c r="K284" s="134"/>
      <c r="L284" s="135"/>
      <c r="M284" s="134"/>
    </row>
    <row r="285" spans="3:13" ht="15.75">
      <c r="C285" s="134"/>
      <c r="D285" s="134"/>
      <c r="E285" s="134"/>
      <c r="F285" s="134"/>
      <c r="G285" s="134"/>
      <c r="H285" s="134"/>
      <c r="I285" s="134"/>
      <c r="J285" s="131"/>
      <c r="K285" s="134"/>
      <c r="L285" s="135"/>
      <c r="M285" s="134"/>
    </row>
    <row r="286" spans="3:13" ht="15.75">
      <c r="C286" s="134"/>
      <c r="D286" s="134"/>
      <c r="E286" s="134"/>
      <c r="F286" s="134"/>
      <c r="G286" s="134"/>
      <c r="H286" s="134"/>
      <c r="I286" s="134"/>
      <c r="J286" s="131"/>
      <c r="K286" s="134"/>
      <c r="L286" s="135"/>
      <c r="M286" s="134"/>
    </row>
    <row r="287" spans="3:13" ht="15.75">
      <c r="C287" s="134"/>
      <c r="D287" s="134"/>
      <c r="E287" s="134"/>
      <c r="F287" s="134"/>
      <c r="G287" s="134"/>
      <c r="H287" s="134"/>
      <c r="I287" s="134"/>
      <c r="J287" s="131"/>
      <c r="K287" s="134"/>
      <c r="L287" s="135"/>
      <c r="M287" s="134"/>
    </row>
    <row r="288" spans="3:13" ht="15.75">
      <c r="C288" s="134"/>
      <c r="D288" s="134"/>
      <c r="E288" s="134"/>
      <c r="F288" s="134"/>
      <c r="G288" s="134"/>
      <c r="H288" s="134"/>
      <c r="I288" s="134"/>
      <c r="J288" s="131"/>
      <c r="K288" s="134"/>
      <c r="L288" s="135"/>
      <c r="M288" s="134"/>
    </row>
    <row r="289" spans="3:13" ht="15.75">
      <c r="C289" s="134"/>
      <c r="D289" s="134"/>
      <c r="E289" s="134"/>
      <c r="F289" s="134"/>
      <c r="G289" s="134"/>
      <c r="H289" s="134"/>
      <c r="I289" s="134"/>
      <c r="J289" s="131"/>
      <c r="K289" s="134"/>
      <c r="L289" s="135"/>
      <c r="M289" s="134"/>
    </row>
    <row r="290" spans="3:13" ht="15.75">
      <c r="C290" s="134"/>
      <c r="D290" s="134"/>
      <c r="E290" s="134"/>
      <c r="F290" s="134"/>
      <c r="G290" s="134"/>
      <c r="H290" s="134"/>
      <c r="I290" s="134"/>
      <c r="J290" s="131"/>
      <c r="K290" s="134"/>
      <c r="L290" s="135"/>
      <c r="M290" s="134"/>
    </row>
    <row r="291" spans="3:13" ht="15.75">
      <c r="C291" s="134"/>
      <c r="D291" s="134"/>
      <c r="E291" s="134"/>
      <c r="F291" s="134"/>
      <c r="G291" s="134"/>
      <c r="H291" s="134"/>
      <c r="I291" s="134"/>
      <c r="J291" s="131"/>
      <c r="K291" s="134"/>
      <c r="L291" s="135"/>
      <c r="M291" s="134"/>
    </row>
    <row r="292" spans="3:13" ht="15.75">
      <c r="C292" s="134"/>
      <c r="D292" s="134"/>
      <c r="E292" s="134"/>
      <c r="F292" s="134"/>
      <c r="G292" s="134"/>
      <c r="H292" s="134"/>
      <c r="I292" s="134"/>
      <c r="J292" s="131"/>
      <c r="K292" s="134"/>
      <c r="L292" s="135"/>
      <c r="M292" s="134"/>
    </row>
    <row r="293" spans="3:13" ht="15.75">
      <c r="C293" s="134"/>
      <c r="D293" s="134"/>
      <c r="E293" s="134"/>
      <c r="F293" s="134"/>
      <c r="G293" s="134"/>
      <c r="H293" s="134"/>
      <c r="I293" s="134"/>
      <c r="J293" s="131"/>
      <c r="K293" s="134"/>
      <c r="L293" s="135"/>
      <c r="M293" s="134"/>
    </row>
    <row r="294" spans="3:13" ht="15.75">
      <c r="C294" s="134"/>
      <c r="D294" s="134"/>
      <c r="E294" s="134"/>
      <c r="F294" s="134"/>
      <c r="G294" s="134"/>
      <c r="H294" s="134"/>
      <c r="I294" s="134"/>
      <c r="J294" s="131"/>
      <c r="K294" s="134"/>
      <c r="L294" s="135"/>
      <c r="M294" s="134"/>
    </row>
    <row r="295" spans="3:13" ht="15.75">
      <c r="C295" s="134"/>
      <c r="D295" s="134"/>
      <c r="E295" s="134"/>
      <c r="F295" s="134"/>
      <c r="G295" s="134"/>
      <c r="H295" s="134"/>
      <c r="I295" s="134"/>
      <c r="J295" s="131"/>
      <c r="K295" s="134"/>
      <c r="L295" s="135"/>
      <c r="M295" s="134"/>
    </row>
    <row r="296" spans="3:13" ht="15.75">
      <c r="C296" s="134"/>
      <c r="D296" s="134"/>
      <c r="E296" s="134"/>
      <c r="F296" s="134"/>
      <c r="G296" s="134"/>
      <c r="H296" s="134"/>
      <c r="I296" s="134"/>
      <c r="J296" s="131"/>
      <c r="K296" s="134"/>
      <c r="L296" s="135"/>
      <c r="M296" s="134"/>
    </row>
    <row r="297" spans="3:13" ht="15.75">
      <c r="C297" s="134"/>
      <c r="D297" s="134"/>
      <c r="E297" s="134"/>
      <c r="F297" s="134"/>
      <c r="G297" s="134"/>
      <c r="H297" s="134"/>
      <c r="I297" s="134"/>
      <c r="J297" s="131"/>
      <c r="K297" s="134"/>
      <c r="L297" s="135"/>
      <c r="M297" s="134"/>
    </row>
    <row r="298" spans="3:13" ht="15.75">
      <c r="C298" s="134"/>
      <c r="D298" s="134"/>
      <c r="E298" s="134"/>
      <c r="F298" s="134"/>
      <c r="G298" s="134"/>
      <c r="H298" s="134"/>
      <c r="I298" s="134"/>
      <c r="J298" s="131"/>
      <c r="K298" s="134"/>
      <c r="L298" s="135"/>
      <c r="M298" s="134"/>
    </row>
    <row r="299" spans="3:13" ht="15.75">
      <c r="C299" s="134"/>
      <c r="D299" s="134"/>
      <c r="E299" s="134"/>
      <c r="F299" s="134"/>
      <c r="G299" s="134"/>
      <c r="H299" s="134"/>
      <c r="I299" s="134"/>
      <c r="J299" s="131"/>
      <c r="K299" s="134"/>
      <c r="L299" s="135"/>
      <c r="M299" s="134"/>
    </row>
    <row r="300" spans="3:13" ht="15.75">
      <c r="C300" s="134"/>
      <c r="D300" s="134"/>
      <c r="E300" s="134"/>
      <c r="F300" s="134"/>
      <c r="G300" s="134"/>
      <c r="H300" s="134"/>
      <c r="I300" s="134"/>
      <c r="J300" s="131"/>
      <c r="K300" s="134"/>
      <c r="L300" s="135"/>
      <c r="M300" s="134"/>
    </row>
    <row r="301" spans="3:13" ht="15.75">
      <c r="C301" s="134"/>
      <c r="D301" s="134"/>
      <c r="E301" s="134"/>
      <c r="F301" s="134"/>
      <c r="G301" s="134"/>
      <c r="H301" s="134"/>
      <c r="I301" s="134"/>
      <c r="J301" s="131"/>
      <c r="K301" s="134"/>
      <c r="L301" s="135"/>
      <c r="M301" s="134"/>
    </row>
    <row r="302" spans="3:13" ht="15.75">
      <c r="C302" s="134"/>
      <c r="D302" s="134"/>
      <c r="E302" s="134"/>
      <c r="F302" s="134"/>
      <c r="G302" s="134"/>
      <c r="H302" s="134"/>
      <c r="I302" s="134"/>
      <c r="J302" s="131"/>
      <c r="K302" s="134"/>
      <c r="L302" s="135"/>
      <c r="M302" s="134"/>
    </row>
    <row r="303" spans="3:13" ht="15.75">
      <c r="C303" s="134"/>
      <c r="D303" s="134"/>
      <c r="E303" s="134"/>
      <c r="F303" s="134"/>
      <c r="G303" s="134"/>
      <c r="H303" s="134"/>
      <c r="I303" s="134"/>
      <c r="J303" s="131"/>
      <c r="K303" s="134"/>
      <c r="L303" s="135"/>
      <c r="M303" s="134"/>
    </row>
    <row r="304" ht="15.75">
      <c r="J304" s="131"/>
    </row>
    <row r="305" ht="15.75">
      <c r="J305" s="131"/>
    </row>
    <row r="306" ht="15.75">
      <c r="J306" s="131"/>
    </row>
    <row r="307" ht="15.75">
      <c r="J307" s="131"/>
    </row>
    <row r="308" ht="15.75">
      <c r="J308" s="131"/>
    </row>
    <row r="309" ht="15.75">
      <c r="J309" s="131"/>
    </row>
    <row r="310" ht="15.75">
      <c r="J310" s="131"/>
    </row>
    <row r="311" ht="15.75">
      <c r="J311" s="131"/>
    </row>
    <row r="312" ht="15.75">
      <c r="J312" s="131"/>
    </row>
    <row r="313" ht="15.75">
      <c r="J313" s="131"/>
    </row>
    <row r="314" ht="15.75">
      <c r="J314" s="131"/>
    </row>
    <row r="315" ht="15.75">
      <c r="J315" s="131"/>
    </row>
    <row r="316" ht="15.75">
      <c r="J316" s="131"/>
    </row>
    <row r="317" ht="15.75">
      <c r="J317" s="131"/>
    </row>
    <row r="318" ht="15.75">
      <c r="J318" s="131"/>
    </row>
    <row r="319" ht="15.75">
      <c r="J319" s="131"/>
    </row>
    <row r="320" ht="15.75">
      <c r="J320" s="131"/>
    </row>
    <row r="321" ht="15.75">
      <c r="J321" s="131"/>
    </row>
    <row r="322" ht="15.75">
      <c r="J322" s="131"/>
    </row>
    <row r="323" ht="15.75">
      <c r="J323" s="131"/>
    </row>
    <row r="324" ht="15.75">
      <c r="J324" s="131"/>
    </row>
    <row r="325" ht="15.75">
      <c r="J325" s="131"/>
    </row>
    <row r="326" ht="15.75">
      <c r="J326" s="131"/>
    </row>
    <row r="327" ht="15.75">
      <c r="J327" s="131"/>
    </row>
    <row r="328" ht="15.75">
      <c r="J328" s="131"/>
    </row>
    <row r="329" ht="15.75">
      <c r="J329" s="131"/>
    </row>
    <row r="330" ht="15.75">
      <c r="J330" s="131"/>
    </row>
    <row r="331" ht="15.75">
      <c r="J331" s="131"/>
    </row>
    <row r="332" ht="15.75">
      <c r="J332" s="131"/>
    </row>
    <row r="333" ht="15.75">
      <c r="J333" s="131"/>
    </row>
    <row r="334" ht="15.75">
      <c r="J334" s="131"/>
    </row>
    <row r="335" ht="15.75">
      <c r="J335" s="131"/>
    </row>
    <row r="336" ht="15.75">
      <c r="J336" s="131"/>
    </row>
    <row r="337" ht="15.75">
      <c r="J337" s="131"/>
    </row>
    <row r="338" ht="15.75">
      <c r="J338" s="131"/>
    </row>
    <row r="339" ht="15.75">
      <c r="J339" s="131"/>
    </row>
    <row r="340" ht="15.75">
      <c r="J340" s="131"/>
    </row>
    <row r="341" ht="15.75">
      <c r="J341" s="131"/>
    </row>
    <row r="342" ht="15.75">
      <c r="J342" s="131"/>
    </row>
    <row r="343" ht="15.75">
      <c r="J343" s="131"/>
    </row>
    <row r="344" ht="15.75">
      <c r="J344" s="131"/>
    </row>
    <row r="345" ht="15.75">
      <c r="J345" s="131"/>
    </row>
    <row r="346" ht="15.75">
      <c r="J346" s="131"/>
    </row>
    <row r="347" ht="15.75">
      <c r="J347" s="131"/>
    </row>
    <row r="348" ht="15.75">
      <c r="J348" s="131"/>
    </row>
    <row r="349" ht="15.75">
      <c r="J349" s="131"/>
    </row>
    <row r="350" ht="15.75">
      <c r="J350" s="131"/>
    </row>
    <row r="351" ht="15.75">
      <c r="J351" s="131"/>
    </row>
    <row r="352" ht="15.75">
      <c r="J352" s="131"/>
    </row>
    <row r="353" ht="15.75">
      <c r="J353" s="131"/>
    </row>
    <row r="354" ht="15.75">
      <c r="J354" s="131"/>
    </row>
    <row r="355" ht="15.75">
      <c r="J355" s="131"/>
    </row>
    <row r="356" ht="15.75">
      <c r="J356" s="131"/>
    </row>
    <row r="357" ht="15.75">
      <c r="J357" s="131"/>
    </row>
    <row r="358" ht="15.75">
      <c r="J358" s="131"/>
    </row>
    <row r="359" ht="15.75">
      <c r="J359" s="131"/>
    </row>
    <row r="360" ht="15.75">
      <c r="J360" s="131"/>
    </row>
    <row r="361" ht="15.75">
      <c r="J361" s="131"/>
    </row>
    <row r="362" ht="15.75">
      <c r="J362" s="131"/>
    </row>
    <row r="363" ht="15.75">
      <c r="J363" s="131"/>
    </row>
    <row r="364" ht="15.75">
      <c r="J364" s="131"/>
    </row>
    <row r="365" ht="15.75">
      <c r="J365" s="131"/>
    </row>
    <row r="366" ht="15.75">
      <c r="J366" s="131"/>
    </row>
    <row r="367" ht="15.75">
      <c r="J367" s="131"/>
    </row>
    <row r="368" ht="15.75">
      <c r="J368" s="131"/>
    </row>
    <row r="369" ht="15.75">
      <c r="J369" s="131"/>
    </row>
    <row r="370" ht="15.75">
      <c r="J370" s="131"/>
    </row>
    <row r="371" ht="15.75">
      <c r="J371" s="131"/>
    </row>
    <row r="372" ht="15.75">
      <c r="J372" s="131"/>
    </row>
    <row r="373" ht="15.75">
      <c r="J373" s="131"/>
    </row>
    <row r="374" ht="15.75">
      <c r="J374" s="131"/>
    </row>
    <row r="375" ht="15.75">
      <c r="J375" s="131"/>
    </row>
    <row r="376" ht="15.75">
      <c r="J376" s="131"/>
    </row>
    <row r="377" ht="15.75">
      <c r="J377" s="131"/>
    </row>
    <row r="378" ht="15.75">
      <c r="J378" s="131"/>
    </row>
    <row r="379" ht="15.75">
      <c r="J379" s="131"/>
    </row>
    <row r="380" ht="15.75">
      <c r="J380" s="131"/>
    </row>
    <row r="381" ht="15.75">
      <c r="J381" s="131"/>
    </row>
    <row r="382" ht="15.75">
      <c r="J382" s="131"/>
    </row>
    <row r="383" ht="15.75">
      <c r="J383" s="131"/>
    </row>
    <row r="384" ht="15.75">
      <c r="J384" s="131"/>
    </row>
    <row r="385" ht="15.75">
      <c r="J385" s="131"/>
    </row>
    <row r="386" ht="15.75">
      <c r="J386" s="131"/>
    </row>
    <row r="387" ht="15.75">
      <c r="J387" s="131"/>
    </row>
    <row r="388" ht="15.75">
      <c r="J388" s="131"/>
    </row>
    <row r="389" ht="15.75">
      <c r="J389" s="131"/>
    </row>
    <row r="390" ht="15.75">
      <c r="J390" s="131"/>
    </row>
    <row r="391" ht="15.75">
      <c r="J391" s="131"/>
    </row>
    <row r="392" ht="15.75">
      <c r="J392" s="131"/>
    </row>
    <row r="393" ht="15.75">
      <c r="J393" s="131"/>
    </row>
    <row r="394" ht="15.75">
      <c r="J394" s="131"/>
    </row>
    <row r="395" ht="15.75">
      <c r="J395" s="131"/>
    </row>
    <row r="396" ht="15.75">
      <c r="J396" s="131"/>
    </row>
    <row r="397" ht="15.75">
      <c r="J397" s="131"/>
    </row>
    <row r="398" ht="15.75">
      <c r="J398" s="131"/>
    </row>
    <row r="399" ht="15.75">
      <c r="J399" s="131"/>
    </row>
    <row r="400" ht="15.75">
      <c r="J400" s="131"/>
    </row>
    <row r="401" ht="15.75">
      <c r="J401" s="131"/>
    </row>
    <row r="402" ht="15.75">
      <c r="J402" s="131"/>
    </row>
    <row r="403" ht="15.75">
      <c r="J403" s="131"/>
    </row>
    <row r="404" ht="15.75">
      <c r="J404" s="131"/>
    </row>
    <row r="405" ht="15.75">
      <c r="J405" s="131"/>
    </row>
    <row r="406" ht="15.75">
      <c r="J406" s="131"/>
    </row>
    <row r="407" ht="15.75">
      <c r="J407" s="131"/>
    </row>
    <row r="408" ht="15.75">
      <c r="J408" s="131"/>
    </row>
    <row r="409" ht="15.75">
      <c r="J409" s="131"/>
    </row>
    <row r="410" ht="15.75">
      <c r="J410" s="131"/>
    </row>
    <row r="411" ht="15.75">
      <c r="J411" s="131"/>
    </row>
    <row r="412" ht="15.75">
      <c r="J412" s="131"/>
    </row>
    <row r="413" ht="15.75">
      <c r="J413" s="131"/>
    </row>
    <row r="414" ht="15.75">
      <c r="J414" s="131"/>
    </row>
    <row r="415" ht="15.75">
      <c r="J415" s="131"/>
    </row>
    <row r="416" ht="15.75">
      <c r="J416" s="131"/>
    </row>
    <row r="417" ht="15.75">
      <c r="J417" s="131"/>
    </row>
    <row r="418" ht="15.75">
      <c r="J418" s="131"/>
    </row>
    <row r="419" ht="15.75">
      <c r="J419" s="131"/>
    </row>
    <row r="420" ht="15.75">
      <c r="J420" s="131"/>
    </row>
    <row r="421" ht="15.75">
      <c r="J421" s="131"/>
    </row>
    <row r="422" ht="15.75">
      <c r="J422" s="131"/>
    </row>
    <row r="423" ht="15.75">
      <c r="J423" s="131"/>
    </row>
    <row r="424" ht="15.75">
      <c r="J424" s="131"/>
    </row>
    <row r="425" ht="15.75">
      <c r="J425" s="131"/>
    </row>
    <row r="426" ht="15.75">
      <c r="J426" s="131"/>
    </row>
    <row r="427" ht="15.75">
      <c r="J427" s="131"/>
    </row>
    <row r="428" ht="15.75">
      <c r="J428" s="131"/>
    </row>
    <row r="429" ht="15.75">
      <c r="J429" s="131"/>
    </row>
    <row r="430" ht="15.75">
      <c r="J430" s="131"/>
    </row>
    <row r="431" ht="15.75">
      <c r="J431" s="131"/>
    </row>
    <row r="432" ht="15.75">
      <c r="J432" s="131"/>
    </row>
    <row r="433" ht="15.75">
      <c r="J433" s="131"/>
    </row>
    <row r="434" ht="15.75">
      <c r="J434" s="131"/>
    </row>
    <row r="435" ht="15.75">
      <c r="J435" s="131"/>
    </row>
    <row r="436" ht="15.75">
      <c r="J436" s="131"/>
    </row>
    <row r="437" ht="15.75">
      <c r="J437" s="131"/>
    </row>
    <row r="438" ht="15.75">
      <c r="J438" s="131"/>
    </row>
    <row r="439" ht="15.75">
      <c r="J439" s="131"/>
    </row>
    <row r="440" ht="15.75">
      <c r="J440" s="131"/>
    </row>
    <row r="441" ht="15.75">
      <c r="J441" s="131"/>
    </row>
    <row r="442" ht="15.75">
      <c r="J442" s="131"/>
    </row>
    <row r="443" ht="15.75">
      <c r="J443" s="131"/>
    </row>
    <row r="444" ht="15.75">
      <c r="J444" s="131"/>
    </row>
    <row r="445" ht="15.75">
      <c r="J445" s="131"/>
    </row>
    <row r="446" ht="15.75">
      <c r="J446" s="131"/>
    </row>
    <row r="447" ht="15.75">
      <c r="J447" s="131"/>
    </row>
    <row r="448" ht="15.75">
      <c r="J448" s="131"/>
    </row>
    <row r="449" ht="15.75">
      <c r="J449" s="131"/>
    </row>
    <row r="450" ht="15.75">
      <c r="J450" s="131"/>
    </row>
    <row r="451" ht="15.75">
      <c r="J451" s="131"/>
    </row>
    <row r="452" ht="15.75">
      <c r="J452" s="131"/>
    </row>
    <row r="453" ht="15.75">
      <c r="J453" s="131"/>
    </row>
    <row r="454" ht="15.75">
      <c r="J454" s="131"/>
    </row>
    <row r="455" ht="15.75">
      <c r="J455" s="131"/>
    </row>
    <row r="456" ht="15.75">
      <c r="J456" s="131"/>
    </row>
    <row r="457" ht="15.75">
      <c r="J457" s="131"/>
    </row>
    <row r="458" ht="15.75">
      <c r="J458" s="131"/>
    </row>
    <row r="459" ht="15.75">
      <c r="J459" s="131"/>
    </row>
    <row r="460" ht="15.75">
      <c r="J460" s="131"/>
    </row>
    <row r="461" ht="15.75">
      <c r="J461" s="131"/>
    </row>
  </sheetData>
  <sheetProtection/>
  <mergeCells count="11">
    <mergeCell ref="B8:B9"/>
    <mergeCell ref="C8:J8"/>
    <mergeCell ref="K8:K9"/>
    <mergeCell ref="L8:L9"/>
    <mergeCell ref="M8:M9"/>
    <mergeCell ref="K1:M1"/>
    <mergeCell ref="K2:M2"/>
    <mergeCell ref="K3:M3"/>
    <mergeCell ref="A5:M5"/>
    <mergeCell ref="A6:M6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Полянина Александра Александровна</cp:lastModifiedBy>
  <cp:lastPrinted>2018-03-20T06:52:23Z</cp:lastPrinted>
  <dcterms:created xsi:type="dcterms:W3CDTF">2012-02-14T14:26:26Z</dcterms:created>
  <dcterms:modified xsi:type="dcterms:W3CDTF">2018-03-26T10:57:36Z</dcterms:modified>
  <cp:category/>
  <cp:version/>
  <cp:contentType/>
  <cp:contentStatus/>
</cp:coreProperties>
</file>