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10" windowHeight="11190" tabRatio="799" activeTab="0"/>
  </bookViews>
  <sheets>
    <sheet name="приложение 1" sheetId="1" r:id="rId1"/>
    <sheet name="Приложение_4" sheetId="2" r:id="rId2"/>
    <sheet name="Приложение_5" sheetId="3" r:id="rId3"/>
    <sheet name="Приложение_6" sheetId="4" r:id="rId4"/>
    <sheet name="Приложение_7 " sheetId="5" r:id="rId5"/>
    <sheet name="Приложение_8" sheetId="6" r:id="rId6"/>
    <sheet name="Приложение_9" sheetId="7" r:id="rId7"/>
    <sheet name="Приложение_10" sheetId="8" r:id="rId8"/>
  </sheets>
  <definedNames>
    <definedName name="_xlnm.Print_Titles" localSheetId="3">'Приложение_6'!$9:$9</definedName>
    <definedName name="_xlnm.Print_Area" localSheetId="0">'приложение 1'!$A$1:$C$54</definedName>
    <definedName name="_xlnm.Print_Area" localSheetId="1">'Приложение_4'!$A$1:$C$132</definedName>
    <definedName name="_xlnm.Print_Area" localSheetId="2">'Приложение_5'!$A$1:$K$42</definedName>
    <definedName name="_xlnm.Print_Area" localSheetId="3">'Приложение_6'!$A$1:$G$942</definedName>
    <definedName name="_xlnm.Print_Area" localSheetId="4">'Приложение_7 '!$A$1:$H$1093</definedName>
    <definedName name="_xlnm.Print_Area" localSheetId="5">'Приложение_8'!$A$1:$G$1047</definedName>
    <definedName name="_xlnm.Print_Area" localSheetId="6">'Приложение_9'!$A$1:$E$55</definedName>
  </definedNames>
  <calcPr fullCalcOnLoad="1"/>
</workbook>
</file>

<file path=xl/sharedStrings.xml><?xml version="1.0" encoding="utf-8"?>
<sst xmlns="http://schemas.openxmlformats.org/spreadsheetml/2006/main" count="17169" uniqueCount="1327">
  <si>
    <t>Сумма на 2017 год</t>
  </si>
  <si>
    <t>000</t>
  </si>
  <si>
    <t>01</t>
  </si>
  <si>
    <t>00</t>
  </si>
  <si>
    <t>0000000000</t>
  </si>
  <si>
    <t>02</t>
  </si>
  <si>
    <t>8200000000</t>
  </si>
  <si>
    <t>8280000000</t>
  </si>
  <si>
    <t>8281300000</t>
  </si>
  <si>
    <t>8281306030</t>
  </si>
  <si>
    <t>100</t>
  </si>
  <si>
    <t>9900000000</t>
  </si>
  <si>
    <t>9900001010</t>
  </si>
  <si>
    <t>9900013060</t>
  </si>
  <si>
    <t>03</t>
  </si>
  <si>
    <t>8281100000</t>
  </si>
  <si>
    <t>8281106030</t>
  </si>
  <si>
    <t>200</t>
  </si>
  <si>
    <t>8281200000</t>
  </si>
  <si>
    <t>8281206030</t>
  </si>
  <si>
    <t>9900003010</t>
  </si>
  <si>
    <t>9900006010</t>
  </si>
  <si>
    <t>04</t>
  </si>
  <si>
    <t>7000000000</t>
  </si>
  <si>
    <t>7030000000</t>
  </si>
  <si>
    <t>7031100000</t>
  </si>
  <si>
    <t>7031106010</t>
  </si>
  <si>
    <t>7031200000</t>
  </si>
  <si>
    <t>7031206010</t>
  </si>
  <si>
    <t>7031213060</t>
  </si>
  <si>
    <t>7034300000</t>
  </si>
  <si>
    <t>7034306010</t>
  </si>
  <si>
    <t>7034306030</t>
  </si>
  <si>
    <t>7034313060</t>
  </si>
  <si>
    <t>7034400000</t>
  </si>
  <si>
    <t>7034406010</t>
  </si>
  <si>
    <t>7034406030</t>
  </si>
  <si>
    <t>7034413060</t>
  </si>
  <si>
    <t>8100000000</t>
  </si>
  <si>
    <t>8110000000</t>
  </si>
  <si>
    <t>8111100000</t>
  </si>
  <si>
    <t>8111106010</t>
  </si>
  <si>
    <t>8111113060</t>
  </si>
  <si>
    <t>8210000000</t>
  </si>
  <si>
    <t>8211100000</t>
  </si>
  <si>
    <t>8211104010</t>
  </si>
  <si>
    <t>8211106010</t>
  </si>
  <si>
    <t>300</t>
  </si>
  <si>
    <t>8211106030</t>
  </si>
  <si>
    <t>8211108210</t>
  </si>
  <si>
    <t>8211113060</t>
  </si>
  <si>
    <t>8220000000</t>
  </si>
  <si>
    <t>8221100000</t>
  </si>
  <si>
    <t>8221106010</t>
  </si>
  <si>
    <t>8221106030</t>
  </si>
  <si>
    <t>8221113060</t>
  </si>
  <si>
    <t>8230000000</t>
  </si>
  <si>
    <t>8231100000</t>
  </si>
  <si>
    <t>8231106010</t>
  </si>
  <si>
    <t>8231113060</t>
  </si>
  <si>
    <t>06</t>
  </si>
  <si>
    <t>9900005010</t>
  </si>
  <si>
    <t>9900008210</t>
  </si>
  <si>
    <t>11</t>
  </si>
  <si>
    <t>9900020220</t>
  </si>
  <si>
    <t>800</t>
  </si>
  <si>
    <t>13</t>
  </si>
  <si>
    <t>7100000000</t>
  </si>
  <si>
    <t>7101700000</t>
  </si>
  <si>
    <t>7101760040</t>
  </si>
  <si>
    <t>600</t>
  </si>
  <si>
    <t>7500000000</t>
  </si>
  <si>
    <t>7510000000</t>
  </si>
  <si>
    <t>7511100000</t>
  </si>
  <si>
    <t>7511120110</t>
  </si>
  <si>
    <t>7511200000</t>
  </si>
  <si>
    <t>7511229990</t>
  </si>
  <si>
    <t>7540000000</t>
  </si>
  <si>
    <t>7541300000</t>
  </si>
  <si>
    <t>7541329990</t>
  </si>
  <si>
    <t>7800000000</t>
  </si>
  <si>
    <t>7801400000</t>
  </si>
  <si>
    <t>7801429990</t>
  </si>
  <si>
    <t>7900000000</t>
  </si>
  <si>
    <t>7902300000</t>
  </si>
  <si>
    <t>7902329990</t>
  </si>
  <si>
    <t>7902400000</t>
  </si>
  <si>
    <t>7902429990</t>
  </si>
  <si>
    <t>7903100000</t>
  </si>
  <si>
    <t>7903129990</t>
  </si>
  <si>
    <t>8000000000</t>
  </si>
  <si>
    <t>8020000000</t>
  </si>
  <si>
    <t>8022200000</t>
  </si>
  <si>
    <t>8022229990</t>
  </si>
  <si>
    <t>8022300000</t>
  </si>
  <si>
    <t>8022329990</t>
  </si>
  <si>
    <t>8022370570</t>
  </si>
  <si>
    <t>80223S0570</t>
  </si>
  <si>
    <t>8022500000</t>
  </si>
  <si>
    <t>8022529990</t>
  </si>
  <si>
    <t>8023100000</t>
  </si>
  <si>
    <t>8023129990</t>
  </si>
  <si>
    <t>8024100000</t>
  </si>
  <si>
    <t>8024129990</t>
  </si>
  <si>
    <t>8024200000</t>
  </si>
  <si>
    <t>8024229990</t>
  </si>
  <si>
    <t>8040000000</t>
  </si>
  <si>
    <t>8041100000</t>
  </si>
  <si>
    <t>8041100020</t>
  </si>
  <si>
    <t>8041113060</t>
  </si>
  <si>
    <t>8211300000</t>
  </si>
  <si>
    <t>8211375540</t>
  </si>
  <si>
    <t>8211375550</t>
  </si>
  <si>
    <t>8221300000</t>
  </si>
  <si>
    <t>8221320140</t>
  </si>
  <si>
    <t>8240000000</t>
  </si>
  <si>
    <t>8241100000</t>
  </si>
  <si>
    <t>8241100020</t>
  </si>
  <si>
    <t>8241113060</t>
  </si>
  <si>
    <t>8250000000</t>
  </si>
  <si>
    <t>8251100000</t>
  </si>
  <si>
    <t>8251100020</t>
  </si>
  <si>
    <t>8251113060</t>
  </si>
  <si>
    <t>8251200000</t>
  </si>
  <si>
    <t>8251200020</t>
  </si>
  <si>
    <t>8252100000</t>
  </si>
  <si>
    <t>8252100020</t>
  </si>
  <si>
    <t>8252200000</t>
  </si>
  <si>
    <t>8252229990</t>
  </si>
  <si>
    <t>8253100000</t>
  </si>
  <si>
    <t>8253100020</t>
  </si>
  <si>
    <t>8260000000</t>
  </si>
  <si>
    <t>8261100000</t>
  </si>
  <si>
    <t>8261100020</t>
  </si>
  <si>
    <t>8261113060</t>
  </si>
  <si>
    <t>8262100000</t>
  </si>
  <si>
    <t>8262100020</t>
  </si>
  <si>
    <t>8262113060</t>
  </si>
  <si>
    <t>8262200000</t>
  </si>
  <si>
    <t>8262200020</t>
  </si>
  <si>
    <t>8262229990</t>
  </si>
  <si>
    <t>9900020130</t>
  </si>
  <si>
    <t>9900099990</t>
  </si>
  <si>
    <t>400</t>
  </si>
  <si>
    <t>8211200000</t>
  </si>
  <si>
    <t>8211259300</t>
  </si>
  <si>
    <t>09</t>
  </si>
  <si>
    <t>7511600000</t>
  </si>
  <si>
    <t>7511629990</t>
  </si>
  <si>
    <t>7530000000</t>
  </si>
  <si>
    <t>7531100000</t>
  </si>
  <si>
    <t>7531129990</t>
  </si>
  <si>
    <t>7531400000</t>
  </si>
  <si>
    <t>7531400020</t>
  </si>
  <si>
    <t>7531413060</t>
  </si>
  <si>
    <t>7531600000</t>
  </si>
  <si>
    <t>7531629990</t>
  </si>
  <si>
    <t>7531700000</t>
  </si>
  <si>
    <t>7531729990</t>
  </si>
  <si>
    <t>05</t>
  </si>
  <si>
    <t>7400000000</t>
  </si>
  <si>
    <t>7440000000</t>
  </si>
  <si>
    <t>7442200000</t>
  </si>
  <si>
    <t>7442275590</t>
  </si>
  <si>
    <t>7442275600</t>
  </si>
  <si>
    <t>08</t>
  </si>
  <si>
    <t>7460000000</t>
  </si>
  <si>
    <t>7461100000</t>
  </si>
  <si>
    <t>7461160010</t>
  </si>
  <si>
    <t>7462100000</t>
  </si>
  <si>
    <t>7462176600</t>
  </si>
  <si>
    <t>7463100000</t>
  </si>
  <si>
    <t>7463129990</t>
  </si>
  <si>
    <t>7520000000</t>
  </si>
  <si>
    <t>7521300000</t>
  </si>
  <si>
    <t>7521329990</t>
  </si>
  <si>
    <t>7521400000</t>
  </si>
  <si>
    <t>7521429990</t>
  </si>
  <si>
    <t>7700000000</t>
  </si>
  <si>
    <t>7701100000</t>
  </si>
  <si>
    <t>7701120040</t>
  </si>
  <si>
    <t>7702100000</t>
  </si>
  <si>
    <t>7702120050</t>
  </si>
  <si>
    <t>7702120090</t>
  </si>
  <si>
    <t>7702129990</t>
  </si>
  <si>
    <t>7702200000</t>
  </si>
  <si>
    <t>7702229990</t>
  </si>
  <si>
    <t>10</t>
  </si>
  <si>
    <t>8010000000</t>
  </si>
  <si>
    <t>8011100000</t>
  </si>
  <si>
    <t>8011100020</t>
  </si>
  <si>
    <t>8011113060</t>
  </si>
  <si>
    <t>12</t>
  </si>
  <si>
    <t>8211600000</t>
  </si>
  <si>
    <t>8211675510</t>
  </si>
  <si>
    <t>8221200000</t>
  </si>
  <si>
    <t>8221220150</t>
  </si>
  <si>
    <t>8270000000</t>
  </si>
  <si>
    <t>8271100000</t>
  </si>
  <si>
    <t>8271100020</t>
  </si>
  <si>
    <t>8271200000</t>
  </si>
  <si>
    <t>8271200020</t>
  </si>
  <si>
    <t>8271213060</t>
  </si>
  <si>
    <t>8271300000</t>
  </si>
  <si>
    <t>8271300020</t>
  </si>
  <si>
    <t>7410000000</t>
  </si>
  <si>
    <t>7412300000</t>
  </si>
  <si>
    <t>7412320090</t>
  </si>
  <si>
    <t>7413100000</t>
  </si>
  <si>
    <t>7413200000</t>
  </si>
  <si>
    <t>7413220950</t>
  </si>
  <si>
    <t>7420000000</t>
  </si>
  <si>
    <t>7421200000</t>
  </si>
  <si>
    <t>7421220100</t>
  </si>
  <si>
    <t>7421400000</t>
  </si>
  <si>
    <t>7421420100</t>
  </si>
  <si>
    <t>7430000000</t>
  </si>
  <si>
    <t>7432100000</t>
  </si>
  <si>
    <t>7432160030</t>
  </si>
  <si>
    <t>7432200000</t>
  </si>
  <si>
    <t>7432229990</t>
  </si>
  <si>
    <t>7441100000</t>
  </si>
  <si>
    <t>7441120060</t>
  </si>
  <si>
    <t>7441200000</t>
  </si>
  <si>
    <t>7441220070</t>
  </si>
  <si>
    <t>7441300000</t>
  </si>
  <si>
    <t>7441320090</t>
  </si>
  <si>
    <t>7441400000</t>
  </si>
  <si>
    <t>7441429990</t>
  </si>
  <si>
    <t>7441440010</t>
  </si>
  <si>
    <t>7442100000</t>
  </si>
  <si>
    <t>7442129990</t>
  </si>
  <si>
    <t>7442300000</t>
  </si>
  <si>
    <t>7442329990</t>
  </si>
  <si>
    <t>7450000000</t>
  </si>
  <si>
    <t>7451100000</t>
  </si>
  <si>
    <t>7451100020</t>
  </si>
  <si>
    <t>7451129990</t>
  </si>
  <si>
    <t>9900000020</t>
  </si>
  <si>
    <t>07</t>
  </si>
  <si>
    <t>7010000000</t>
  </si>
  <si>
    <t>7011100000</t>
  </si>
  <si>
    <t>7011171100</t>
  </si>
  <si>
    <t>7011175380</t>
  </si>
  <si>
    <t>70111S1100</t>
  </si>
  <si>
    <t>7011200000</t>
  </si>
  <si>
    <t>7011200020</t>
  </si>
  <si>
    <t>7011400000</t>
  </si>
  <si>
    <t>7011413060</t>
  </si>
  <si>
    <t>7080000000</t>
  </si>
  <si>
    <t>7081100000</t>
  </si>
  <si>
    <t>7081174000</t>
  </si>
  <si>
    <t>7082100000</t>
  </si>
  <si>
    <t>7082129990</t>
  </si>
  <si>
    <t>7082400000</t>
  </si>
  <si>
    <t>7082429990</t>
  </si>
  <si>
    <t>7020000000</t>
  </si>
  <si>
    <t>7021100000</t>
  </si>
  <si>
    <t>7021171100</t>
  </si>
  <si>
    <t>7021175310</t>
  </si>
  <si>
    <t>70211S1100</t>
  </si>
  <si>
    <t>7021200000</t>
  </si>
  <si>
    <t>7021271100</t>
  </si>
  <si>
    <t>7021275310</t>
  </si>
  <si>
    <t>70212S1100</t>
  </si>
  <si>
    <t>7021300000</t>
  </si>
  <si>
    <t>7021375310</t>
  </si>
  <si>
    <t>7021700000</t>
  </si>
  <si>
    <t>7021700020</t>
  </si>
  <si>
    <t>7021900000</t>
  </si>
  <si>
    <t>7021913060</t>
  </si>
  <si>
    <t>7082300000</t>
  </si>
  <si>
    <t>7082329990</t>
  </si>
  <si>
    <t>7022100000</t>
  </si>
  <si>
    <t>7022100020</t>
  </si>
  <si>
    <t>7022171100</t>
  </si>
  <si>
    <t>70221S1100</t>
  </si>
  <si>
    <t>7022300000</t>
  </si>
  <si>
    <t>7022313060</t>
  </si>
  <si>
    <t>7300000000</t>
  </si>
  <si>
    <t>7310000000</t>
  </si>
  <si>
    <t>7312300000</t>
  </si>
  <si>
    <t>7312300020</t>
  </si>
  <si>
    <t>7312371100</t>
  </si>
  <si>
    <t>73123S1100</t>
  </si>
  <si>
    <t>7312400000</t>
  </si>
  <si>
    <t>7312400020</t>
  </si>
  <si>
    <t>7312471100</t>
  </si>
  <si>
    <t>73124S1100</t>
  </si>
  <si>
    <t>7312500000</t>
  </si>
  <si>
    <t>7312513060</t>
  </si>
  <si>
    <t>7070000000</t>
  </si>
  <si>
    <t>7071100000</t>
  </si>
  <si>
    <t>7071129990</t>
  </si>
  <si>
    <t>7071200000</t>
  </si>
  <si>
    <t>7071271070</t>
  </si>
  <si>
    <t>70712S1070</t>
  </si>
  <si>
    <t>7200000000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</si>
  <si>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</si>
  <si>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</si>
  <si>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</si>
  <si>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</si>
  <si>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</si>
  <si>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</si>
  <si>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</si>
  <si>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</si>
  <si>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7222120010</t>
  </si>
  <si>
    <t>7230000000</t>
  </si>
  <si>
    <t>7231200000</t>
  </si>
  <si>
    <t>7231200020</t>
  </si>
  <si>
    <t>7231400000</t>
  </si>
  <si>
    <t>7231400020</t>
  </si>
  <si>
    <t>7231500000</t>
  </si>
  <si>
    <t>7231513060</t>
  </si>
  <si>
    <t>7040000000</t>
  </si>
  <si>
    <t>7041100000</t>
  </si>
  <si>
    <t>7041100020</t>
  </si>
  <si>
    <t>7041300000</t>
  </si>
  <si>
    <t>7041313060</t>
  </si>
  <si>
    <t>7050000000</t>
  </si>
  <si>
    <t>7051100000</t>
  </si>
  <si>
    <t>7051100020</t>
  </si>
  <si>
    <t>7051300000</t>
  </si>
  <si>
    <t>7051313060</t>
  </si>
  <si>
    <t>7060000000</t>
  </si>
  <si>
    <t>7061100000</t>
  </si>
  <si>
    <t>7061171040</t>
  </si>
  <si>
    <t>70611S1040</t>
  </si>
  <si>
    <t>7061200000</t>
  </si>
  <si>
    <t>7061275320</t>
  </si>
  <si>
    <t>7061500000</t>
  </si>
  <si>
    <t>7061513060</t>
  </si>
  <si>
    <t>7101200000</t>
  </si>
  <si>
    <t>7101220090</t>
  </si>
  <si>
    <t>7101229990</t>
  </si>
  <si>
    <t>7311100000</t>
  </si>
  <si>
    <t>7311129990</t>
  </si>
  <si>
    <t>7313100000</t>
  </si>
  <si>
    <t>7313100020</t>
  </si>
  <si>
    <t>7313171100</t>
  </si>
  <si>
    <t>73131S1100</t>
  </si>
  <si>
    <t>7313300000</t>
  </si>
  <si>
    <t>7313313060</t>
  </si>
  <si>
    <t>7320000000</t>
  </si>
  <si>
    <t>7321100000</t>
  </si>
  <si>
    <t>7321100020</t>
  </si>
  <si>
    <t>7321171100</t>
  </si>
  <si>
    <t>73211S1100</t>
  </si>
  <si>
    <t>7321200000</t>
  </si>
  <si>
    <t>7321213060</t>
  </si>
  <si>
    <t>7322300000</t>
  </si>
  <si>
    <t>7322300020</t>
  </si>
  <si>
    <t>7322400000</t>
  </si>
  <si>
    <t>7322400020</t>
  </si>
  <si>
    <t>7323100000</t>
  </si>
  <si>
    <t>7323100020</t>
  </si>
  <si>
    <t>7330000000</t>
  </si>
  <si>
    <t>7331300000</t>
  </si>
  <si>
    <t>7331300020</t>
  </si>
  <si>
    <t>7332200000</t>
  </si>
  <si>
    <t>7332200020</t>
  </si>
  <si>
    <t>7332271100</t>
  </si>
  <si>
    <t>73322S1100</t>
  </si>
  <si>
    <t>7332300000</t>
  </si>
  <si>
    <t>7332300020</t>
  </si>
  <si>
    <t>7332371100</t>
  </si>
  <si>
    <t>73323S1100</t>
  </si>
  <si>
    <t>7332400000</t>
  </si>
  <si>
    <t>7332413060</t>
  </si>
  <si>
    <t>7350000000</t>
  </si>
  <si>
    <t>7351200000</t>
  </si>
  <si>
    <t>7351220090</t>
  </si>
  <si>
    <t>9900080010</t>
  </si>
  <si>
    <t>7011475100</t>
  </si>
  <si>
    <t>7011475110</t>
  </si>
  <si>
    <t>7021975100</t>
  </si>
  <si>
    <t>7021975110</t>
  </si>
  <si>
    <t>7032200000</t>
  </si>
  <si>
    <t>7032275240</t>
  </si>
  <si>
    <t>7032300000</t>
  </si>
  <si>
    <t>7032375200</t>
  </si>
  <si>
    <t>7032375210</t>
  </si>
  <si>
    <t>7032400000</t>
  </si>
  <si>
    <t>7032475250</t>
  </si>
  <si>
    <t>7313375100</t>
  </si>
  <si>
    <t>7313375110</t>
  </si>
  <si>
    <t>7321275100</t>
  </si>
  <si>
    <t>7321275110</t>
  </si>
  <si>
    <t>7011500000</t>
  </si>
  <si>
    <t>7011575360</t>
  </si>
  <si>
    <t>7011600000</t>
  </si>
  <si>
    <t>7011675370</t>
  </si>
  <si>
    <t>7032100000</t>
  </si>
  <si>
    <t>7032175520</t>
  </si>
  <si>
    <t>7032500000</t>
  </si>
  <si>
    <t>7032575350</t>
  </si>
  <si>
    <t>7032600000</t>
  </si>
  <si>
    <t>7032675340</t>
  </si>
  <si>
    <t>8211400000</t>
  </si>
  <si>
    <t>8211475560</t>
  </si>
  <si>
    <t>8211500000</t>
  </si>
  <si>
    <t>8211575530</t>
  </si>
  <si>
    <t>7210000000</t>
  </si>
  <si>
    <t>7211100000</t>
  </si>
  <si>
    <t>7211129990</t>
  </si>
  <si>
    <t>7212100000</t>
  </si>
  <si>
    <t>7212129990</t>
  </si>
  <si>
    <t>8030000000</t>
  </si>
  <si>
    <t>8031200000</t>
  </si>
  <si>
    <t>8031229990</t>
  </si>
  <si>
    <t>8120000000</t>
  </si>
  <si>
    <t>8122100000</t>
  </si>
  <si>
    <t>8122120120</t>
  </si>
  <si>
    <t>700</t>
  </si>
  <si>
    <t>Всего расходов:</t>
  </si>
  <si>
    <t>7082200000</t>
  </si>
  <si>
    <t>7082420090</t>
  </si>
  <si>
    <t>Сумма на 2019 год</t>
  </si>
  <si>
    <t>Сумма на 2018 год</t>
  </si>
  <si>
    <t>в том числе за счет средств бюджетов других уровней бюджетной системы Российской Федерации</t>
  </si>
  <si>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</si>
  <si>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</si>
  <si>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</si>
  <si>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</si>
  <si>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</si>
  <si>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</si>
  <si>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</si>
  <si>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</si>
  <si>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</si>
  <si>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Процентные платежи по муниципальному долгу</t>
  </si>
  <si>
    <t>Расходы на обеспечение функций работников органов местного самоуправления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</si>
  <si>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</si>
  <si>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</si>
  <si>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</si>
  <si>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</si>
  <si>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по оплате труда главы местной администрации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</si>
  <si>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</si>
  <si>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Расходы на выплаты по оплате труда руководителя контрольно-счетной палаты муниципального образования и его заместителей</t>
  </si>
  <si>
    <t>Резервный фонд администрации ЗАТО Александровск</t>
  </si>
  <si>
    <t>Предоставление субсидий социально-ориентированным некоммерческим организациям</t>
  </si>
  <si>
    <t>Мероприятия по развитию и обслуживанию системы АПК "Безопасный город"</t>
  </si>
  <si>
    <t>Прочие направления расходов муниципальной программы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</si>
  <si>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</si>
  <si>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</si>
  <si>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</si>
  <si>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</si>
  <si>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</si>
  <si>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администрации ЗАТО Александровск</t>
  </si>
  <si>
    <t>Выплаты по решениям судов и оплата государственной пошлины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</si>
  <si>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</si>
  <si>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</si>
  <si>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</si>
  <si>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Возмещение затрат в связи с осуществлением регулярных пассажирских перевозок на социально-значимых маршрутах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</si>
  <si>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</si>
  <si>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</si>
  <si>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значения, за исключением капитального ремонта и ремонта</t>
  </si>
  <si>
    <t>Капитальный и текущий ремонт объектов муниципальной собственности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</si>
  <si>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</si>
  <si>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Мероприятия по землеустройству и землепользованию</t>
  </si>
  <si>
    <t>Взносы на проведение капитального ремонта общего имущества многоквартирных домов</t>
  </si>
  <si>
    <t>Капитальный и текущий ремонт объектов жилищно-коммунального хозяйства</t>
  </si>
  <si>
    <t>Возмещение убытков по жилищно-коммунальному хозяйству</t>
  </si>
  <si>
    <t>Организация наружного освещения улиц и дворовых территорий муниципального образования</t>
  </si>
  <si>
    <t>Обеспечение сохранности, технического обслуживания и содержания прочих объектов благоустройства</t>
  </si>
  <si>
    <t>Мероприятия, связанные со строительством (реконструкцией) объектов муниципальной собственности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</si>
  <si>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</si>
  <si>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</si>
  <si>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Субсидия на софинансирование капитальных вложений в объекты муниципальной собственности (включая остатки прошлых лет)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</si>
  <si>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</si>
  <si>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Стипендии и премии главы администрации ЗАТО Александровск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</si>
  <si>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</si>
  <si>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Субвенция на обеспечение бесплатным питанием отдельных категорий обучающихся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</si>
  <si>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</si>
  <si>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</si>
  <si>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</si>
  <si>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</si>
  <si>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</si>
  <si>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</si>
  <si>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</si>
  <si>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</si>
  <si>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</si>
  <si>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</si>
  <si>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</si>
  <si>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</si>
  <si>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</si>
  <si>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</si>
  <si>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</si>
  <si>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Обеспечение выполнения служебного поручения муниципальными служащими вне места постоянной работы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</si>
  <si>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</si>
  <si>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Обеспечение безопасных условий труда</t>
  </si>
  <si>
    <t>Непрограммная деятельность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</si>
  <si>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</si>
  <si>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</si>
  <si>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</si>
  <si>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</si>
  <si>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</si>
  <si>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</si>
  <si>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Реализация функций в сфере управления муниципальным имуществом</t>
  </si>
  <si>
    <t>Обеспечение исполнения мероприятий в рамках муниципальных программ управления культуры, спорта и молодежной политики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</si>
  <si>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</si>
  <si>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Содержание и эксплуатация установленного оборудования АПК "Безопасный город"</t>
  </si>
  <si>
    <t>Разработка проектно-сметной документации на создание АПК "Безопасный город"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</si>
  <si>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</si>
  <si>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</si>
  <si>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Проведение оценки рыночной стоимости нежилых помещений, арендуемых субъектами МСП</t>
  </si>
  <si>
    <t>Изготовление технической документации на объекты недвижимого имущества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</si>
  <si>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</si>
  <si>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Обеспечение доступа к информации о деятельности органов местного самоуправления с помощью интернет-сайта</t>
  </si>
  <si>
    <t>Развитие информационно-технологической инфраструктуры органов местного самоуправления</t>
  </si>
  <si>
    <t>Приобретение средств (ЭЦП, VipNet) для подключения к системе межведомственного электронного взаимодействия</t>
  </si>
  <si>
    <t>Развитие информационно- технологической инфраструктуры муниципальных учреждений</t>
  </si>
  <si>
    <t>Защита информационных систем и ресурсов</t>
  </si>
  <si>
    <t>Мероприятия по технической защите информации</t>
  </si>
  <si>
    <t>Организация предоставления государственных и муниципальных услуг по принципу "одного окна"</t>
  </si>
  <si>
    <t>Реализация Закона Мурманской области "Об административных комиссиях"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</si>
  <si>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</si>
  <si>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Обеспечение сохранности, комплектования, учета и использования архивных документов</t>
  </si>
  <si>
    <t>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</si>
  <si>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Проведение мероприятий по подготовке аукционов, конкурсов, тендеров и т.д. в целях получения дополнительных доходов в местный бюджет</t>
  </si>
  <si>
    <t>Своевременное распределение муниципальных жилых помещений гражданам в ЗАТО Александровск</t>
  </si>
  <si>
    <t>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</si>
  <si>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</si>
  <si>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Автотранспортная перевозка пассажиров и грузов и сопутствующие ей работы</t>
  </si>
  <si>
    <t>Содержание муниципального имущества ЗАТО Александровск, закрепленного за МКУ "ЦАХиТО"на праве оперативного управления</t>
  </si>
  <si>
    <t>Материально-техническое обеспечение органов местного самоуправления ЗАТО Александровск</t>
  </si>
  <si>
    <t>Осуществление переданных федеральных полномочий по государственной регистрации актов гражданского состояния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</si>
  <si>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</si>
  <si>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Обслуживание автоматической системы контроля за радиационной обстановкой г. Гаджиево, г. Снежногорск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</si>
  <si>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</si>
  <si>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Обслуживание МАСЦО ЗАТО Александровск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</si>
  <si>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</si>
  <si>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Организация регулирования численности безнадзорных животных</t>
  </si>
  <si>
    <t>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</si>
  <si>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</si>
  <si>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Приобретение автобусов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</si>
  <si>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</si>
  <si>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</si>
  <si>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Ремонт автомобильных дорог общего пользования и междомовых проездов ЗАТО Александровск</t>
  </si>
  <si>
    <t>Содержание автомобильных дорог общего пользования на территории ЗАТО Александровск в соответствии с требованием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</si>
  <si>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</si>
  <si>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</si>
  <si>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</si>
  <si>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</si>
  <si>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</si>
  <si>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</si>
  <si>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</si>
  <si>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Ремонт квартир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</si>
  <si>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</si>
  <si>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</si>
  <si>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Капитальный ремонт сетей водоотведения</t>
  </si>
  <si>
    <t>Капитальный ремонт сетей теплоснабжения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</si>
  <si>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</si>
  <si>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</si>
  <si>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Улучшение качества освещения улиц на территории муниципального образования ЗАТО Александровск</t>
  </si>
  <si>
    <t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</si>
  <si>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</si>
  <si>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Организация ритуальных услуг и содержание мест захоронения</t>
  </si>
  <si>
    <t>Создание условий и организация обустройства мест массового отдыха населения</t>
  </si>
  <si>
    <t>Организация ограничения доступа в законсервированные дома на территории ЗАТО Александровск</t>
  </si>
  <si>
    <t>Обеспечение эффективной работы объектов жилищно-коммунальной инфраструктуры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</si>
  <si>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</si>
  <si>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>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</si>
  <si>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социальных гарантий работникам</t>
  </si>
  <si>
    <t>Строительство детского сада на 300 мест в г.Гаджиево</t>
  </si>
  <si>
    <t>Обеспечение пожарной и электрической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</si>
  <si>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</si>
  <si>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</si>
  <si>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</si>
  <si>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</si>
  <si>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</si>
  <si>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Обеспечение благоустройства территории ОУ</t>
  </si>
  <si>
    <t>Предоставление дополнительного образования детям в учреждениях дополнительного образования детей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</si>
  <si>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</si>
  <si>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</si>
  <si>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Организация отдыха и оздоровления детей в возрасте от 6 до 18 лет</t>
  </si>
  <si>
    <t>Предоставление питания детям, находящимся в оздоровительном лагере дневного пребывания в МОУ</t>
  </si>
  <si>
    <t>Организация и проведение мероприятий, направленных на совершенствование культурно-досуговой сферы молодежной среды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</si>
  <si>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</si>
  <si>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Обеспечение функционирования молодежного сайта ЗАТО Александровск "ZatoRozetka"</t>
  </si>
  <si>
    <t>Выплата премий и стипендий главы администрации ЗАТО Александровск одаренным детям и учащейся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</si>
  <si>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</si>
  <si>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</si>
  <si>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Информационно-методическое сопровождение образовательного процесса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</si>
  <si>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</si>
  <si>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</si>
  <si>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</si>
  <si>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Предоставление социальных гарантий работникам МАУО "КШП"</t>
  </si>
  <si>
    <t>Обеспечение выполнения требований СанПиН и технической безопасности учреждений системы образования</t>
  </si>
  <si>
    <t>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</si>
  <si>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Организация и проведение культурно-массовых мероприятий в соответствии с годовым планом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</si>
  <si>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</si>
  <si>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</si>
  <si>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</si>
  <si>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Библиографическая обработка документов и создание каталогов</t>
  </si>
  <si>
    <t>Организация и проведение культурно-массовых мероприятий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</si>
  <si>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</si>
  <si>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</si>
  <si>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</si>
  <si>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</si>
  <si>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</si>
  <si>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</si>
  <si>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</si>
  <si>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</si>
  <si>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</si>
  <si>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Реализация переданных государственных полномочий по опеке и попечительству в отношении несовершеннолетних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</si>
  <si>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</si>
  <si>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</si>
  <si>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</si>
  <si>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</si>
  <si>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Организация проведения официальных физкультурно-оздоровительных и спортивных мероприятий ЗАТО Александровск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</si>
  <si>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</si>
  <si>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</si>
  <si>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Исполнение принятых обязательств по погашению и обслуживанию долговых обязательств ЗАТО Александровск</t>
  </si>
  <si>
    <t>Подпрограмма 8 "Развитие муниципальной службы ЗАТО Александровск"</t>
  </si>
  <si>
    <t>Подпрограмма 3 "Развитие системы образования через эффективное выполнение муниципальных функций"</t>
  </si>
  <si>
    <t>Подпрограмма 1 "Совершенствование финансовой и бюджетной политики"</t>
  </si>
  <si>
    <t>Подпрограмма 1 "Обеспечение деятельности администрации ЗАТО Александровск"</t>
  </si>
  <si>
    <t>Подпрограмма 2 "Обеспечение деятельности управления муниципальной собственностью администрации ЗАТО Александровск"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</si>
  <si>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</si>
  <si>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Муниципальная программа "Повышение качества жизни отдельных категорий граждан ЗАТО Александровск"на 2014 - 2020 годы</t>
  </si>
  <si>
    <t>Подпрограмма 1 "Профилактика правонарушений, обеспечение безопасности населения ЗАТО Александровск"</t>
  </si>
  <si>
    <t>Подпрограмма 4 "Профилактика экстремизма и терроризма в ЗАТО Александровск"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</si>
  <si>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</si>
  <si>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</si>
  <si>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Подпрограмма 2 "Развитие информационного общества и формирование электронного правительства"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</si>
  <si>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</si>
  <si>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Подпрограмма 4 "Архивное дело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</si>
  <si>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</si>
  <si>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Подпрограмма 6 "Обслуживание деятельности органов местного самоуправления"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</si>
  <si>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</si>
  <si>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Подпрограмма 4 "Благоустройство территории муниципального образования ЗАТО Александровск"</t>
  </si>
  <si>
    <t>Подпрограмма 6 "Транспортное обслуживание населения ЗАТО Александровск"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</si>
  <si>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</si>
  <si>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Муниципальная программа "Развитие транспортной системы ЗАТО Александровск" на 2014 - 2020 годы</t>
  </si>
  <si>
    <t>Подпрограмма 1 "Управление развитием информационного общества и формированием электронного правительства"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</si>
  <si>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</si>
  <si>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Подпрограмма 1 "Капитальный ремонт многоквартирных домов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</si>
  <si>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</si>
  <si>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</si>
  <si>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</si>
  <si>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1 "Качественное и доступное дошкольное образование"</t>
  </si>
  <si>
    <t>Подпрограмма 8 "Развитие современной инфраструктуры системы образования ЗАТО Александровск"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</si>
  <si>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</si>
  <si>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1 "Развитие творческого потенциала и организация досуга населения ЗАТО Александровск"</t>
  </si>
  <si>
    <t>Подпрограмма 7 "Организация отдыха, оздоровления и занятости детей и молодежи ЗАТО Александровск"</t>
  </si>
  <si>
    <t>Подпрограмма 2 "Молодежь ЗАТО Александровск"</t>
  </si>
  <si>
    <t>Подпрограмма 3 "Патриотическое воспитание граждан"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</si>
  <si>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</si>
  <si>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</si>
  <si>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</si>
  <si>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2 "Библиотечное дело ЗАТО Александровск"</t>
  </si>
  <si>
    <t>Подпрограмма 3 "Музейное дело ЗАТО Александровск"</t>
  </si>
  <si>
    <t>Подпрограмма 5 "Модернизация учреждений культуры и дополнительного образования в сфере культуры ЗАТО Александровск"</t>
  </si>
  <si>
    <t>Подпрограмма 1 "Развитие физической культуры и спорта"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</si>
  <si>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</si>
  <si>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Подпрограмма 2 "Эффективное управление муниципальным долгом"</t>
  </si>
  <si>
    <t>Муниципальная программа ЗАТО Александровск "Эффективное муниципальное управление"на 2014 - 2020 годы</t>
  </si>
  <si>
    <t>Муниципальная программа ЗАТО Александровск "Развитие образования"на 2014 - 2020 годы</t>
  </si>
  <si>
    <t>Муниципальная программа "Обеспечение комплексной безопасности населения ЗАТО Александровск"на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</si>
  <si>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</si>
  <si>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</si>
  <si>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Муниципальная программа ЗАТО Александровск "Развитие культуры и сохранение культурного наследия"на 2014 - 2020 годы</t>
  </si>
  <si>
    <t>Муниципальная программа ЗАТО Александровск "Развитие физической культуры, спорта и молодежной политики"на 2014 - 2020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</si>
  <si>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</si>
  <si>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</si>
  <si>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</si>
  <si>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</si>
  <si>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</si>
  <si>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</si>
  <si>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</si>
  <si>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</si>
  <si>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</si>
  <si>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</si>
  <si>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</si>
  <si>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</si>
  <si>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</si>
  <si>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</si>
  <si>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</si>
  <si>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</si>
  <si>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</si>
  <si>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</si>
  <si>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</si>
  <si>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</si>
  <si>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</si>
  <si>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</si>
  <si>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</si>
  <si>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</si>
  <si>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</si>
  <si>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</si>
  <si>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</si>
  <si>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</si>
  <si>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</si>
  <si>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</si>
  <si>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</si>
  <si>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</si>
  <si>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</si>
  <si>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</si>
  <si>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</si>
  <si>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</si>
  <si>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</si>
  <si>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</si>
  <si>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Субсидия на организацию отдыха детейМурманской области вмуниципальных образовательных организациях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</si>
  <si>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</si>
  <si>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</si>
  <si>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</si>
  <si>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</si>
  <si>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</si>
  <si>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</si>
  <si>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</si>
  <si>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1</t>
  </si>
  <si>
    <t xml:space="preserve">                 к решению Совета депутатов ЗАТО Александровск</t>
  </si>
  <si>
    <t>от "27"декабря 2016 года № 98</t>
  </si>
  <si>
    <t>в редакции решения Совета депутатов ЗАТО Александровск</t>
  </si>
  <si>
    <t xml:space="preserve">Перечень главных администраторов доходов местного бюджета ЗАТО Александровск - органов местного самоуправления и органов администрации ЗАТО Александровск с правами юридических лиц </t>
  </si>
  <si>
    <t>Код бюджетной классификации Российской Федерации</t>
  </si>
  <si>
    <t>Наименование главного администратора (администратора) доходов местного бюджета</t>
  </si>
  <si>
    <t>код главного администратора</t>
  </si>
  <si>
    <t>код дохода</t>
  </si>
  <si>
    <t>913</t>
  </si>
  <si>
    <t>Совет депутатов ЗАТО Александровск</t>
  </si>
  <si>
    <t>1 17 05040 04 0000 180</t>
  </si>
  <si>
    <t>914</t>
  </si>
  <si>
    <t>Администрация ЗАТО Александровск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</si>
  <si>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</si>
  <si>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</si>
  <si>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</si>
  <si>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</si>
  <si>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</si>
  <si>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</si>
  <si>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</si>
  <si>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</si>
  <si>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2 19 25064 04 0000 151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</si>
  <si>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</si>
  <si>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915</t>
  </si>
  <si>
    <t>Управление муниципальной собственностью администрации ЗАТО Александровск</t>
  </si>
  <si>
    <t>1 08 07150 01 0000 110</t>
  </si>
  <si>
    <t>Государственная пошлина за выдачу разрешения на установку рекламной конструкции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</si>
  <si>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</si>
  <si>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</si>
  <si>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</si>
  <si>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</si>
  <si>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</si>
  <si>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</si>
  <si>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</si>
  <si>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</si>
  <si>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</si>
  <si>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</si>
  <si>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</si>
  <si>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</si>
  <si>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</si>
  <si>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</si>
  <si>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916</t>
  </si>
  <si>
    <t>Управление финансов администрации ЗАТО Александровск</t>
  </si>
  <si>
    <t>2 02 15001 04 0000 151</t>
  </si>
  <si>
    <t>Дотации бюджетам городских округов на выравнивание бюджетной обеспеченности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</si>
  <si>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</si>
  <si>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</si>
  <si>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</si>
  <si>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</si>
  <si>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918</t>
  </si>
  <si>
    <t>Управление образования администрации ЗАТО Александровск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</si>
  <si>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</si>
  <si>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</si>
  <si>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</si>
  <si>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</si>
  <si>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919</t>
  </si>
  <si>
    <t>Управление культуры, спорта и молодежной политики администрации                                                                                                                                                                             ЗАТО Александровск</t>
  </si>
  <si>
    <t>2 19 25027 04 0000 151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</si>
  <si>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</si>
  <si>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2 19 45144 04 0000 151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</si>
  <si>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</si>
  <si>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2 19 45148 04 0000 151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</si>
  <si>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городских округов</t>
  </si>
  <si>
    <t>924</t>
  </si>
  <si>
    <t>Контрольно-счетная палата ЗАТО Александровск</t>
  </si>
  <si>
    <t xml:space="preserve">Иные доходы местного бюджета, администрирование которых может осуществляться главными администраторами доходов - органами местного самоуправления или органами администрации ЗАТО Александровск с правами юридических лиц, в пределах их компетенции </t>
  </si>
  <si>
    <t xml:space="preserve"> 1 13 02994 04 0000 130</t>
  </si>
  <si>
    <t>Прочие доходы от компенсации затрат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</si>
  <si>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</si>
  <si>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</si>
  <si>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</si>
  <si>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</si>
  <si>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2 02 29999 04 0000 151</t>
  </si>
  <si>
    <t>Прочие субсидии бюджетам городских округов</t>
  </si>
  <si>
    <t>2 02 39999 04 0000 151</t>
  </si>
  <si>
    <t>Прочие субвенции бюджетам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</si>
  <si>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</si>
  <si>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</si>
  <si>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</si>
  <si>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</si>
  <si>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</si>
  <si>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</si>
  <si>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Приложение № 4</t>
  </si>
  <si>
    <t>Объем поступлений доходов местного бюджета ЗАТО Александровск                                                                                                                                                                            на 2017 год</t>
  </si>
  <si>
    <t>Коды бюджетной классификации Российской Федерации</t>
  </si>
  <si>
    <t>Наименование доходов</t>
  </si>
  <si>
    <t>Сумма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</si>
  <si>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</si>
  <si>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</si>
  <si>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</si>
  <si>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</si>
  <si>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</si>
  <si>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</si>
  <si>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</si>
  <si>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</si>
  <si>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</si>
  <si>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</si>
  <si>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</si>
  <si>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</si>
  <si>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</si>
  <si>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</si>
  <si>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</si>
  <si>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</si>
  <si>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</si>
  <si>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</si>
  <si>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</si>
  <si>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</si>
  <si>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</si>
  <si>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</si>
  <si>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</si>
  <si>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</si>
  <si>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</si>
  <si>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</si>
  <si>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</si>
  <si>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</si>
  <si>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</si>
  <si>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</si>
  <si>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</si>
  <si>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</si>
  <si>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</si>
  <si>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</si>
  <si>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</si>
  <si>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</si>
  <si>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</si>
  <si>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</si>
  <si>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</si>
  <si>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</si>
  <si>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</si>
  <si>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</si>
  <si>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</si>
  <si>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</si>
  <si>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</si>
  <si>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</si>
  <si>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</si>
  <si>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</si>
  <si>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</si>
  <si>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</si>
  <si>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</si>
  <si>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</si>
  <si>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</si>
  <si>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</si>
  <si>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</si>
  <si>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</si>
  <si>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</si>
  <si>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</si>
  <si>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</si>
  <si>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</si>
  <si>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</si>
  <si>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</si>
  <si>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</si>
  <si>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</si>
  <si>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</si>
  <si>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</si>
  <si>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</si>
  <si>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</si>
  <si>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</si>
  <si>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</si>
  <si>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</si>
  <si>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</si>
  <si>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</si>
  <si>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</si>
  <si>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</si>
  <si>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</si>
  <si>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</si>
  <si>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</si>
  <si>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</si>
  <si>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</si>
  <si>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</si>
  <si>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</si>
  <si>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</si>
  <si>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</si>
  <si>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</si>
  <si>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</si>
  <si>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</si>
  <si>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</si>
  <si>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</si>
  <si>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</si>
  <si>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</si>
  <si>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</si>
  <si>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</si>
  <si>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</si>
  <si>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</si>
  <si>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</si>
  <si>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</si>
  <si>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</si>
  <si>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</si>
  <si>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</si>
  <si>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</si>
  <si>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</si>
  <si>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</si>
  <si>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</si>
  <si>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</si>
  <si>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</si>
  <si>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</si>
  <si>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</si>
  <si>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</si>
  <si>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</si>
  <si>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</si>
  <si>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</si>
  <si>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</si>
  <si>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</si>
  <si>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</si>
  <si>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</si>
  <si>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</si>
  <si>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</si>
  <si>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</si>
  <si>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</si>
  <si>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</si>
  <si>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</si>
  <si>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</si>
  <si>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</si>
  <si>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</si>
  <si>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</si>
  <si>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</si>
  <si>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</si>
  <si>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</si>
  <si>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</si>
  <si>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</si>
  <si>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</si>
  <si>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</si>
  <si>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</si>
  <si>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</si>
  <si>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</si>
  <si>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</si>
  <si>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</si>
  <si>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</si>
  <si>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</si>
  <si>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</si>
  <si>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</si>
  <si>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</si>
  <si>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</si>
  <si>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</si>
  <si>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</si>
  <si>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</si>
  <si>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</si>
  <si>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</si>
  <si>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</si>
  <si>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</si>
  <si>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</si>
  <si>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</si>
  <si>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</si>
  <si>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</si>
  <si>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</si>
  <si>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</si>
  <si>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</si>
  <si>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</si>
  <si>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</si>
  <si>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хозяйства</t>
  </si>
  <si>
    <t>000 1 16 30030 01 0000 140</t>
  </si>
  <si>
    <t>Прочие денежные взыскания (штрафы) за правонарушения в области дорожного хозяйства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</si>
  <si>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</si>
  <si>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</si>
  <si>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</si>
  <si>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</si>
  <si>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</si>
  <si>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</si>
  <si>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</si>
  <si>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</si>
  <si>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</si>
  <si>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</si>
  <si>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</si>
  <si>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</si>
  <si>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</si>
  <si>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</si>
  <si>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</si>
  <si>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</si>
  <si>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обеспеченнности</t>
  </si>
  <si>
    <t>000 2 02 15001 04 0000 151</t>
  </si>
  <si>
    <t>Дотации бюджетам городских округов на выравнивание бюджетной обеспеченнности</t>
  </si>
  <si>
    <t>000 2 02 15010 00 0000 151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</si>
  <si>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</si>
  <si>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</si>
  <si>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</si>
  <si>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</si>
  <si>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</si>
  <si>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</si>
  <si>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000 2 02 29999 04 0000 151</t>
  </si>
  <si>
    <t>000 2 02 30000 00 0000 151</t>
  </si>
  <si>
    <t>Субвенции бюджетам бюджетной системы Российской Федерации</t>
  </si>
  <si>
    <t>000 2 02 30027 00 0000 151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</si>
  <si>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</si>
  <si>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</si>
  <si>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</si>
  <si>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</si>
  <si>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</si>
  <si>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000 2 02 35930 00 0000 151</t>
  </si>
  <si>
    <t>Субвенции бюджетам на государственную регистрацию актов гражданского состояния</t>
  </si>
  <si>
    <t>000 2 02 35930 04 0000 151</t>
  </si>
  <si>
    <t>000 2 02 39999 00 0000 151</t>
  </si>
  <si>
    <t>Прочие субвенции</t>
  </si>
  <si>
    <t>000 2 02 39999 04 0000 151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</si>
  <si>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</si>
  <si>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</si>
  <si>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</si>
  <si>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</si>
  <si>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</si>
  <si>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</si>
  <si>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</si>
  <si>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</si>
  <si>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</si>
  <si>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2017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</si>
  <si>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</si>
  <si>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</si>
  <si>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</si>
  <si>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</si>
  <si>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Кредиты кредитных организаций в валюте Российской Федерации</t>
  </si>
  <si>
    <t>0000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</si>
  <si>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</si>
  <si>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</si>
  <si>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</si>
  <si>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</si>
  <si>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</si>
  <si>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</si>
  <si>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</si>
  <si>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</si>
  <si>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</si>
  <si>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</si>
  <si>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</si>
  <si>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</si>
  <si>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</si>
  <si>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</si>
  <si>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</si>
  <si>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</si>
  <si>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</si>
  <si>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</si>
  <si>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</si>
  <si>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</si>
  <si>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</si>
  <si>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</si>
  <si>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</si>
  <si>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</si>
  <si>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</si>
  <si>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</si>
  <si>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</si>
  <si>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</si>
  <si>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</si>
  <si>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</si>
  <si>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</si>
  <si>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</si>
  <si>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</si>
  <si>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</si>
  <si>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</si>
  <si>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</si>
  <si>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</si>
  <si>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</si>
  <si>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</si>
  <si>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</si>
  <si>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</si>
  <si>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</si>
  <si>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ИСТОЧНИКИ ВНУТРЕННЕГО ФИНАНСИРОВАНИЯ ДЕФИЦИТОВ БЮДЖЕТОВ</t>
  </si>
  <si>
    <t>от 27 декабря 2016 года № 98</t>
  </si>
  <si>
    <t>Код ведом-ства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</si>
  <si>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</si>
  <si>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</si>
  <si>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</si>
  <si>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</si>
  <si>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Развитие информационно-технологической инфраструктуры органов местного самоуправления</t>
  </si>
  <si>
    <t xml:space="preserve"> Материально-техническое обеспечение органов местного самоуправления 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</si>
  <si>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</si>
  <si>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</si>
  <si>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</si>
  <si>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</si>
  <si>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</si>
  <si>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</si>
  <si>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</si>
  <si>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Защита информационных систем и ресурсов</t>
  </si>
  <si>
    <t xml:space="preserve"> Мероприятия по технической защите информации</t>
  </si>
  <si>
    <t xml:space="preserve"> Организация предоставления государственных и муниципальных услуг по принципу "одного окна"</t>
  </si>
  <si>
    <t xml:space="preserve"> Реализация Закона Мурманской области "Об административных комиссиях"</t>
  </si>
  <si>
    <t xml:space="preserve"> Обеспечение сохранности, комплектования, учета и использования архивных документов</t>
  </si>
  <si>
    <t xml:space="preserve"> Автотранспортная перевозка пассажиров и грузов и сопутствующие ей работы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</si>
  <si>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</si>
  <si>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</si>
  <si>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</si>
  <si>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</si>
  <si>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</si>
  <si>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</si>
  <si>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</si>
  <si>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</si>
  <si>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</si>
  <si>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</si>
  <si>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</si>
  <si>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</si>
  <si>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Реализация функций в сфере управления муниципальным имуществом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</si>
  <si>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</si>
  <si>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</si>
  <si>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</si>
  <si>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</si>
  <si>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</si>
  <si>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</si>
  <si>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 xml:space="preserve"> Своевременное распределение муниципальных жилых помещений гражданам в ЗАТО Александровск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</si>
  <si>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</si>
  <si>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</si>
  <si>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 xml:space="preserve"> Организация регулирования численности безнадзорных животных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</si>
  <si>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</si>
  <si>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</si>
  <si>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</si>
  <si>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</si>
  <si>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</si>
  <si>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 xml:space="preserve"> Ремонт квартир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</si>
  <si>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</si>
  <si>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</si>
  <si>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 xml:space="preserve"> Оплата за содержание, текущий ремонт и коммунальные услуги по пустующему муниципальному жилищному фонду</t>
  </si>
  <si>
    <t xml:space="preserve"> Улучшение качества освещения улиц на территории муниципального образования ЗАТО Александровск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</si>
  <si>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</si>
  <si>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</si>
  <si>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 xml:space="preserve"> Организация ритуальных услуг и содержание мест захоронения</t>
  </si>
  <si>
    <t xml:space="preserve"> Создание условий и организация обустройства мест массового отдыха населения</t>
  </si>
  <si>
    <t xml:space="preserve"> Организация ограничения доступа в законсервированные дома на территории ЗАТО Александровск</t>
  </si>
  <si>
    <t xml:space="preserve"> Обеспечение эффективной работы объектов жилищно-коммунальной инфраструктуры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</si>
  <si>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</si>
  <si>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</si>
  <si>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</si>
  <si>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</si>
  <si>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</si>
  <si>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</si>
  <si>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 xml:space="preserve">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</si>
  <si>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</si>
  <si>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 xml:space="preserve"> Предоставление социальных гарантий работникам</t>
  </si>
  <si>
    <t xml:space="preserve"> Обеспечение антитеррористической и противокриминальной безопасности учреждений системы образования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</si>
  <si>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</si>
  <si>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</si>
  <si>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</si>
  <si>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</si>
  <si>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</si>
  <si>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Обеспечение пожарной и электрической безопасности учреждений системы образования</t>
  </si>
  <si>
    <t xml:space="preserve"> Организация отдыха и оздоровления детей в возрасте от 6 до 18 лет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</si>
  <si>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</si>
  <si>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</si>
  <si>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бесплатного молока обучающимся в 1-4 классах МОУ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</si>
  <si>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</si>
  <si>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</si>
  <si>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</si>
  <si>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</si>
  <si>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</si>
  <si>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Организация мер по предоставлению и выплате компенсации части родительской платы за присмотр и уход за ребенком в ДОУ</t>
  </si>
  <si>
    <t xml:space="preserve"> Выплата компенсации части родительской платы за присмотр и уход за ребенком в ДОУ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</si>
  <si>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</si>
  <si>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</si>
  <si>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</si>
  <si>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Управление культуры, спорта и молодежной политики администрации ЗАТО Александровск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</si>
  <si>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</si>
  <si>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</si>
  <si>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</si>
  <si>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</si>
  <si>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</si>
  <si>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"ZatoRozetka"</t>
  </si>
  <si>
    <t xml:space="preserve"> Выплата премий и стипендий главы администрации ЗАТО Александровск одаренным детям и учащейся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</si>
  <si>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</si>
  <si>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</si>
  <si>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и проведение культурно-массовых мероприятий в соответствии с годовым планом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</si>
  <si>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</si>
  <si>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Библиотечное, библиографическое и информационное обслуживание пользователей библиотеки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</si>
  <si>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</si>
  <si>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</si>
  <si>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</si>
  <si>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</si>
  <si>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Публичный показ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</si>
  <si>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</si>
  <si>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</si>
  <si>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</si>
  <si>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</si>
  <si>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контрольно-счетная палата муниципального образования ЗАТО Александровск Мурманской области</t>
  </si>
  <si>
    <t xml:space="preserve">                                             Приложение № 7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</si>
  <si>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</si>
  <si>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 xml:space="preserve">Раздел </t>
  </si>
  <si>
    <t>Под-раздел</t>
  </si>
  <si>
    <t>Вид расхо-дов</t>
  </si>
  <si>
    <t xml:space="preserve"> Содержание и эксплуатация установленного оборудования АПК "Безопасный город"</t>
  </si>
  <si>
    <t xml:space="preserve"> Разработка проектно-сметной документации на создание АПК "Безопасный город"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</si>
  <si>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</si>
  <si>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</si>
  <si>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 xml:space="preserve"> Приобретение автобусов</t>
  </si>
  <si>
    <t>Капитальные вложения в объекты государственной (муниципальной) собственности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</si>
  <si>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</si>
  <si>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</si>
  <si>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 xml:space="preserve"> Ремонт автомобильных дорог общего пользования и междомовых проездов ЗАТО Александровск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</si>
  <si>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</si>
  <si>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 Капитальный ремонт сетей водоотведения</t>
  </si>
  <si>
    <t xml:space="preserve"> Капитальный ремонт сетей теплоснабжения</t>
  </si>
  <si>
    <t xml:space="preserve"> Строительство детского сада на 300 мест в г.Гаджиево</t>
  </si>
  <si>
    <t xml:space="preserve"> Обеспечение благоустройства территории ОУ</t>
  </si>
  <si>
    <t>Субсидия на организацию отдыха детей Мурманской области в муниципальных образовательных организациях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</si>
  <si>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</si>
  <si>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рубли</t>
  </si>
  <si>
    <t xml:space="preserve">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</si>
  <si>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Приложение № 9</t>
  </si>
  <si>
    <t>Распределение бюджетных ассигнований местного бюджета ЗАТО Александровск на реализацию муниципальных  программ ЗАТО Александровск на 2017 год и на плановый период 2018 и 2019 годов</t>
  </si>
  <si>
    <t>Код ведомства</t>
  </si>
  <si>
    <t>целевые</t>
  </si>
  <si>
    <t>нецелевые</t>
  </si>
  <si>
    <t xml:space="preserve"> 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</si>
  <si>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</si>
  <si>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</si>
  <si>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</si>
  <si>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</si>
  <si>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"Обеспечение комплексной безопасности населения ЗАТО Александровск"на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</si>
  <si>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</si>
  <si>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</si>
  <si>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"Повышение качества жизни отдельных категорий граждан ЗАТО Александровск"на 2014 - 2020 годы</t>
  </si>
  <si>
    <t>Субсидия на организацию отдыха детей  Мурманской области в  муниципальных образовательных организациях</t>
  </si>
  <si>
    <t>Вид расхода</t>
  </si>
  <si>
    <t>Приложение № 8</t>
  </si>
  <si>
    <t>Капитальные вложения в объекты  государственной (муниципальной) собственности</t>
  </si>
  <si>
    <t xml:space="preserve">  Непрограммная деятельность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</si>
  <si>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</si>
  <si>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Муниципальная программа ЗАТО Александровск "Энергоэффективность и развитие энергетики" на 2014 - 2020 годы</t>
  </si>
  <si>
    <t xml:space="preserve">  Муниципальная программа "Развитие транспортной системы ЗАТО Александровск" на 2014 - 2020 годы</t>
  </si>
  <si>
    <t xml:space="preserve">  Муниципальная программа ЗАТО Александровск "Развитие образования"на 2014 - 2020 годы</t>
  </si>
  <si>
    <t xml:space="preserve">Сумма 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</si>
  <si>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2017 год</t>
  </si>
  <si>
    <t>от 14.12.2016 № 98</t>
  </si>
  <si>
    <t xml:space="preserve">Выплаты по решениям судов и оплата государственной пошлины </t>
  </si>
  <si>
    <t>70711S1070</t>
  </si>
  <si>
    <t>7071171070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</si>
  <si>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</si>
  <si>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</si>
  <si>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</si>
  <si>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</si>
  <si>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</si>
  <si>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</si>
  <si>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</si>
  <si>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</si>
  <si>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</si>
  <si>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Оплата административных штрафов</t>
  </si>
  <si>
    <t>9900020160</t>
  </si>
  <si>
    <t>Прочие неналоговые доходы бюджетов городских округов</t>
  </si>
  <si>
    <t>7082220090</t>
  </si>
  <si>
    <t>8111106030</t>
  </si>
  <si>
    <t>Обеспечение проведения выборов и референдумов</t>
  </si>
  <si>
    <t>Проведение выборов в представительный орган местного самоуправления</t>
  </si>
  <si>
    <t>9900005100</t>
  </si>
  <si>
    <t>Установка индивидуальных приборов учета коммунальных услуг в муниципальном жилищном фонде</t>
  </si>
  <si>
    <t>7802100000</t>
  </si>
  <si>
    <t>7802129990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</si>
  <si>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</si>
  <si>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7802200000</t>
  </si>
  <si>
    <t>7802229990</t>
  </si>
  <si>
    <t>Формирование современной городской среды ЗАТО Александровск</t>
  </si>
  <si>
    <t>7441500000</t>
  </si>
  <si>
    <t>7441520090</t>
  </si>
  <si>
    <t>7441529990</t>
  </si>
  <si>
    <t>Создание условий безопасной среды для проживания в ЗАТО Александровск</t>
  </si>
  <si>
    <t>7442400000</t>
  </si>
  <si>
    <t>7442429990</t>
  </si>
  <si>
    <t xml:space="preserve"> в редакции решения Совета депутатов ЗАТО Александровск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</si>
  <si>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</si>
  <si>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73223L5190</t>
  </si>
  <si>
    <t>73223R5190</t>
  </si>
  <si>
    <t>Приобретение, монтаж и сопряжение с МАСЦО ЗАТО Александровск блоков перехвата теле-радио вещания</t>
  </si>
  <si>
    <t>7531800000</t>
  </si>
  <si>
    <t>7531829990</t>
  </si>
  <si>
    <t>Субсидии на поддержку муниципальных программ формирования современной городской среды</t>
  </si>
  <si>
    <t>74415R5550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</si>
  <si>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</si>
  <si>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7701170930</t>
  </si>
  <si>
    <t>77011S0930</t>
  </si>
  <si>
    <t>74131S0850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</si>
  <si>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</si>
  <si>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7413170850</t>
  </si>
  <si>
    <t>Приобретение, установка, поверка, ремонт и замена приборов учета тепла, воды и электроэнергии</t>
  </si>
  <si>
    <t>7801500000</t>
  </si>
  <si>
    <t>7801529990</t>
  </si>
  <si>
    <t>Оплата за содержание и коммунальные услуги по жилому и нежилому муниципальному  фонду</t>
  </si>
  <si>
    <t>7432300000</t>
  </si>
  <si>
    <t>7432329990</t>
  </si>
  <si>
    <t>74415L5550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</si>
  <si>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</si>
  <si>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</si>
  <si>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</si>
  <si>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</si>
  <si>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2 02 25519 04 0000 151</t>
  </si>
  <si>
    <t>Субсидия бюджетам городских округов на поддержку отрасли культуры</t>
  </si>
  <si>
    <t>2 02 20041 00 0000 151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</si>
  <si>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</si>
  <si>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</si>
  <si>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2 02 25519 00 0000 151</t>
  </si>
  <si>
    <t>Субсидия бюджетам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</si>
  <si>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</si>
  <si>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</si>
  <si>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8262213060</t>
  </si>
  <si>
    <t>Выполнение работ по разработке проекта внесения изменений в Правила землепользования и застройки  муниципального образования ЗАТО Александровск Мурманской области</t>
  </si>
  <si>
    <t>8221800000</t>
  </si>
  <si>
    <t>8221820150</t>
  </si>
  <si>
    <t>Охрана окружающей среды</t>
  </si>
  <si>
    <t>Охрана объектов растительного и животного мира и среды их обитания</t>
  </si>
  <si>
    <t>Организация сбора твердых бытовых отходов и крупногабаритного мусора с территорий несанкционированных свалок</t>
  </si>
  <si>
    <t>Муниципальная программа ЗАТО Александровск "Охрана окружающей среды" на 2014 - 2020 годы</t>
  </si>
  <si>
    <t>7600000000</t>
  </si>
  <si>
    <t>7601200000</t>
  </si>
  <si>
    <t>7601229990</t>
  </si>
  <si>
    <t xml:space="preserve">Социальное обеспечение и иные выплаты населению
</t>
  </si>
  <si>
    <t>Субсидия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</si>
  <si>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73131R5190</t>
  </si>
  <si>
    <t xml:space="preserve">                                             Приложение № 10</t>
  </si>
  <si>
    <t>Программа</t>
  </si>
  <si>
    <t>муниципальных внутренних заимствований</t>
  </si>
  <si>
    <t>ЗАТО Александровск на 2017 год</t>
  </si>
  <si>
    <t>Виды заимствований</t>
  </si>
  <si>
    <t>Всего заимствований</t>
  </si>
  <si>
    <t>Внутренние заимствования (привлечение/погашение)</t>
  </si>
  <si>
    <t>программная</t>
  </si>
  <si>
    <t>Резервные фонды</t>
  </si>
  <si>
    <t>Расходы на обеспечение функций главы муниципального образования</t>
  </si>
  <si>
    <t>9900001030</t>
  </si>
  <si>
    <t xml:space="preserve">от                    2017 года №       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</si>
  <si>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</si>
  <si>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</si>
  <si>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 xml:space="preserve">от                         2017 года №      </t>
  </si>
  <si>
    <t>000 1 17 00000 00 0000 000</t>
  </si>
  <si>
    <t>Прочие неналоговые доходы</t>
  </si>
  <si>
    <t>000 1 17 05000 00 0000 180</t>
  </si>
  <si>
    <t>000 1 17 05040 04 0000 180</t>
  </si>
  <si>
    <t>000 2 02 15002 00 0000 151</t>
  </si>
  <si>
    <t>Дотации бюджетам на поддержку мер по обеспечению сбалансированности бюджетов</t>
  </si>
  <si>
    <t>000 2 02 15002 04 0000 151</t>
  </si>
  <si>
    <t>7082229990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</si>
</sst>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0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7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7" borderId="0" applyNumberFormat="0" applyBorder="0" applyAlignment="0" applyProtection="0"/>
    <xf numFmtId="0" fontId="52" fillId="27" borderId="0" applyNumberFormat="0" applyBorder="0" applyAlignment="0" applyProtection="0"/>
    <xf numFmtId="0" fontId="7" fillId="19" borderId="0" applyNumberFormat="0" applyBorder="0" applyAlignment="0" applyProtection="0"/>
    <xf numFmtId="0" fontId="52" fillId="28" borderId="0" applyNumberFormat="0" applyBorder="0" applyAlignment="0" applyProtection="0"/>
    <xf numFmtId="0" fontId="7" fillId="29" borderId="0" applyNumberFormat="0" applyBorder="0" applyAlignment="0" applyProtection="0"/>
    <xf numFmtId="0" fontId="52" fillId="30" borderId="0" applyNumberFormat="0" applyBorder="0" applyAlignment="0" applyProtection="0"/>
    <xf numFmtId="0" fontId="7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4" borderId="0">
      <alignment/>
      <protection/>
    </xf>
    <xf numFmtId="0" fontId="54" fillId="0" borderId="0">
      <alignment horizontal="center"/>
      <protection/>
    </xf>
    <xf numFmtId="0" fontId="53" fillId="0" borderId="0">
      <alignment horizontal="right"/>
      <protection/>
    </xf>
    <xf numFmtId="0" fontId="53" fillId="34" borderId="1">
      <alignment/>
      <protection/>
    </xf>
    <xf numFmtId="0" fontId="53" fillId="0" borderId="2">
      <alignment horizontal="center" vertical="center" wrapText="1"/>
      <protection/>
    </xf>
    <xf numFmtId="0" fontId="53" fillId="34" borderId="3">
      <alignment/>
      <protection/>
    </xf>
    <xf numFmtId="0" fontId="53" fillId="34" borderId="0">
      <alignment shrinkToFit="1"/>
      <protection/>
    </xf>
    <xf numFmtId="0" fontId="55" fillId="0" borderId="3">
      <alignment horizontal="right"/>
      <protection/>
    </xf>
    <xf numFmtId="4" fontId="55" fillId="35" borderId="3">
      <alignment horizontal="right" vertical="top" shrinkToFit="1"/>
      <protection/>
    </xf>
    <xf numFmtId="4" fontId="55" fillId="36" borderId="3">
      <alignment horizontal="right" vertical="top" shrinkToFit="1"/>
      <protection/>
    </xf>
    <xf numFmtId="0" fontId="53" fillId="0" borderId="0">
      <alignment/>
      <protection/>
    </xf>
    <xf numFmtId="0" fontId="53" fillId="0" borderId="0">
      <alignment horizontal="left" wrapText="1"/>
      <protection/>
    </xf>
    <xf numFmtId="0" fontId="55" fillId="0" borderId="2">
      <alignment vertical="top" wrapText="1"/>
      <protection/>
    </xf>
    <xf numFmtId="49" fontId="53" fillId="0" borderId="2">
      <alignment horizontal="center" vertical="top" shrinkToFit="1"/>
      <protection/>
    </xf>
    <xf numFmtId="4" fontId="55" fillId="35" borderId="2">
      <alignment horizontal="right" vertical="top" shrinkToFit="1"/>
      <protection/>
    </xf>
    <xf numFmtId="4" fontId="55" fillId="36" borderId="2">
      <alignment horizontal="right" vertical="top" shrinkToFit="1"/>
      <protection/>
    </xf>
    <xf numFmtId="0" fontId="53" fillId="34" borderId="4">
      <alignment/>
      <protection/>
    </xf>
    <xf numFmtId="0" fontId="53" fillId="34" borderId="4">
      <alignment horizontal="center"/>
      <protection/>
    </xf>
    <xf numFmtId="4" fontId="55" fillId="0" borderId="2">
      <alignment horizontal="right" vertical="top" shrinkToFit="1"/>
      <protection/>
    </xf>
    <xf numFmtId="49" fontId="53" fillId="0" borderId="2">
      <alignment vertical="top" wrapText="1"/>
      <protection/>
    </xf>
    <xf numFmtId="4" fontId="53" fillId="0" borderId="2">
      <alignment horizontal="right" vertical="top" shrinkToFit="1"/>
      <protection/>
    </xf>
    <xf numFmtId="0" fontId="53" fillId="34" borderId="4">
      <alignment shrinkToFit="1"/>
      <protection/>
    </xf>
    <xf numFmtId="0" fontId="53" fillId="34" borderId="3">
      <alignment horizontal="center"/>
      <protection/>
    </xf>
    <xf numFmtId="0" fontId="53" fillId="34" borderId="3">
      <alignment horizontal="center"/>
      <protection/>
    </xf>
    <xf numFmtId="0" fontId="52" fillId="37" borderId="0" applyNumberFormat="0" applyBorder="0" applyAlignment="0" applyProtection="0"/>
    <xf numFmtId="0" fontId="7" fillId="38" borderId="0" applyNumberFormat="0" applyBorder="0" applyAlignment="0" applyProtection="0"/>
    <xf numFmtId="0" fontId="52" fillId="39" borderId="0" applyNumberFormat="0" applyBorder="0" applyAlignment="0" applyProtection="0"/>
    <xf numFmtId="0" fontId="7" fillId="40" borderId="0" applyNumberFormat="0" applyBorder="0" applyAlignment="0" applyProtection="0"/>
    <xf numFmtId="0" fontId="52" fillId="41" borderId="0" applyNumberFormat="0" applyBorder="0" applyAlignment="0" applyProtection="0"/>
    <xf numFmtId="0" fontId="7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29" borderId="0" applyNumberFormat="0" applyBorder="0" applyAlignment="0" applyProtection="0"/>
    <xf numFmtId="0" fontId="52" fillId="44" borderId="0" applyNumberFormat="0" applyBorder="0" applyAlignment="0" applyProtection="0"/>
    <xf numFmtId="0" fontId="7" fillId="31" borderId="0" applyNumberFormat="0" applyBorder="0" applyAlignment="0" applyProtection="0"/>
    <xf numFmtId="0" fontId="52" fillId="45" borderId="0" applyNumberFormat="0" applyBorder="0" applyAlignment="0" applyProtection="0"/>
    <xf numFmtId="0" fontId="7" fillId="46" borderId="0" applyNumberFormat="0" applyBorder="0" applyAlignment="0" applyProtection="0"/>
    <xf numFmtId="0" fontId="56" fillId="47" borderId="5" applyNumberFormat="0" applyAlignment="0" applyProtection="0"/>
    <xf numFmtId="0" fontId="8" fillId="13" borderId="6" applyNumberFormat="0" applyAlignment="0" applyProtection="0"/>
    <xf numFmtId="0" fontId="57" fillId="48" borderId="7" applyNumberFormat="0" applyAlignment="0" applyProtection="0"/>
    <xf numFmtId="0" fontId="9" fillId="49" borderId="8" applyNumberFormat="0" applyAlignment="0" applyProtection="0"/>
    <xf numFmtId="0" fontId="58" fillId="48" borderId="5" applyNumberFormat="0" applyAlignment="0" applyProtection="0"/>
    <xf numFmtId="0" fontId="10" fillId="49" borderId="6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1" fillId="0" borderId="10" applyNumberFormat="0" applyFill="0" applyAlignment="0" applyProtection="0"/>
    <xf numFmtId="0" fontId="61" fillId="0" borderId="11" applyNumberFormat="0" applyFill="0" applyAlignment="0" applyProtection="0"/>
    <xf numFmtId="0" fontId="12" fillId="0" borderId="12" applyNumberFormat="0" applyFill="0" applyAlignment="0" applyProtection="0"/>
    <xf numFmtId="0" fontId="62" fillId="0" borderId="13" applyNumberFormat="0" applyFill="0" applyAlignment="0" applyProtection="0"/>
    <xf numFmtId="0" fontId="1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14" fillId="0" borderId="16" applyNumberFormat="0" applyFill="0" applyAlignment="0" applyProtection="0"/>
    <xf numFmtId="0" fontId="64" fillId="50" borderId="17" applyNumberFormat="0" applyAlignment="0" applyProtection="0"/>
    <xf numFmtId="0" fontId="15" fillId="51" borderId="18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18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70" fillId="0" borderId="21" applyNumberFormat="0" applyFill="0" applyAlignment="0" applyProtection="0"/>
    <xf numFmtId="0" fontId="2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57" borderId="0" applyNumberFormat="0" applyBorder="0" applyAlignment="0" applyProtection="0"/>
    <xf numFmtId="0" fontId="22" fillId="7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4" fontId="73" fillId="0" borderId="2" xfId="71" applyNumberFormat="1" applyFont="1" applyFill="1" applyProtection="1">
      <alignment horizontal="right" vertical="top" shrinkToFit="1"/>
      <protection/>
    </xf>
    <xf numFmtId="4" fontId="74" fillId="0" borderId="2" xfId="71" applyNumberFormat="1" applyFont="1" applyFill="1" applyProtection="1">
      <alignment horizontal="right" vertical="top" shrinkToFit="1"/>
      <protection/>
    </xf>
    <xf numFmtId="4" fontId="73" fillId="0" borderId="23" xfId="66" applyNumberFormat="1" applyFont="1" applyFill="1" applyBorder="1" applyAlignment="1" applyProtection="1">
      <alignment horizontal="right" shrinkToFit="1"/>
      <protection/>
    </xf>
    <xf numFmtId="0" fontId="3" fillId="0" borderId="0" xfId="117" applyFont="1" applyFill="1" applyProtection="1">
      <alignment/>
      <protection locked="0"/>
    </xf>
    <xf numFmtId="0" fontId="74" fillId="0" borderId="2" xfId="62" applyNumberFormat="1" applyFont="1" applyFill="1" applyBorder="1" applyAlignment="1" applyProtection="1">
      <alignment horizontal="center" vertical="center" wrapText="1"/>
      <protection/>
    </xf>
    <xf numFmtId="0" fontId="74" fillId="0" borderId="2" xfId="60" applyNumberFormat="1" applyFont="1" applyProtection="1">
      <alignment horizontal="center" vertical="center" wrapText="1"/>
      <protection/>
    </xf>
    <xf numFmtId="49" fontId="74" fillId="0" borderId="2" xfId="69" applyNumberFormat="1" applyFont="1" applyProtection="1">
      <alignment horizontal="center" vertical="top" shrinkToFit="1"/>
      <protection/>
    </xf>
    <xf numFmtId="0" fontId="74" fillId="0" borderId="0" xfId="66" applyNumberFormat="1" applyFont="1" applyProtection="1">
      <alignment/>
      <protection/>
    </xf>
    <xf numFmtId="0" fontId="74" fillId="0" borderId="2" xfId="68" applyNumberFormat="1" applyFont="1" applyProtection="1">
      <alignment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74" fillId="0" borderId="2" xfId="60" applyNumberFormat="1" applyFont="1" applyFill="1" applyProtection="1">
      <alignment horizontal="center" vertical="center" wrapText="1"/>
      <protection/>
    </xf>
    <xf numFmtId="4" fontId="73" fillId="0" borderId="2" xfId="70" applyNumberFormat="1" applyFont="1" applyFill="1" applyProtection="1">
      <alignment horizontal="right" vertical="top" shrinkToFit="1"/>
      <protection/>
    </xf>
    <xf numFmtId="4" fontId="74" fillId="0" borderId="2" xfId="70" applyNumberFormat="1" applyFont="1" applyFill="1" applyProtection="1">
      <alignment horizontal="right" vertical="top" shrinkToFit="1"/>
      <protection/>
    </xf>
    <xf numFmtId="0" fontId="74" fillId="0" borderId="0" xfId="66" applyNumberFormat="1" applyFont="1" applyFill="1" applyProtection="1">
      <alignment/>
      <protection/>
    </xf>
    <xf numFmtId="4" fontId="74" fillId="0" borderId="24" xfId="70" applyNumberFormat="1" applyFont="1" applyFill="1" applyBorder="1" applyProtection="1">
      <alignment horizontal="right" vertical="top" shrinkToFit="1"/>
      <protection/>
    </xf>
    <xf numFmtId="4" fontId="74" fillId="0" borderId="25" xfId="70" applyNumberFormat="1" applyFont="1" applyFill="1" applyBorder="1" applyProtection="1">
      <alignment horizontal="right" vertical="top" shrinkToFit="1"/>
      <protection/>
    </xf>
    <xf numFmtId="0" fontId="3" fillId="0" borderId="23" xfId="117" applyFont="1" applyFill="1" applyBorder="1" applyProtection="1">
      <alignment/>
      <protection locked="0"/>
    </xf>
    <xf numFmtId="4" fontId="74" fillId="0" borderId="23" xfId="70" applyNumberFormat="1" applyFont="1" applyFill="1" applyBorder="1" applyProtection="1">
      <alignment horizontal="right" vertical="top" shrinkToFit="1"/>
      <protection/>
    </xf>
    <xf numFmtId="0" fontId="74" fillId="0" borderId="2" xfId="68" applyNumberFormat="1" applyFont="1" applyFill="1" applyProtection="1">
      <alignment vertical="top" wrapText="1"/>
      <protection/>
    </xf>
    <xf numFmtId="49" fontId="74" fillId="0" borderId="2" xfId="69" applyNumberFormat="1" applyFont="1" applyFill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" fillId="0" borderId="0" xfId="118" applyFont="1" applyFill="1" applyAlignment="1">
      <alignment/>
      <protection/>
    </xf>
    <xf numFmtId="0" fontId="3" fillId="0" borderId="0" xfId="118" applyFont="1" applyFill="1" applyAlignment="1">
      <alignment horizontal="right"/>
      <protection/>
    </xf>
    <xf numFmtId="0" fontId="2" fillId="0" borderId="0" xfId="118" applyFill="1" applyAlignment="1">
      <alignment horizontal="right"/>
      <protection/>
    </xf>
    <xf numFmtId="0" fontId="74" fillId="0" borderId="0" xfId="60" applyNumberFormat="1" applyFont="1" applyFill="1" applyBorder="1" applyAlignment="1" applyProtection="1">
      <alignment horizontal="right" wrapText="1"/>
      <protection/>
    </xf>
    <xf numFmtId="0" fontId="74" fillId="0" borderId="0" xfId="60" applyFont="1" applyFill="1" applyBorder="1" applyAlignment="1">
      <alignment wrapText="1"/>
      <protection/>
    </xf>
    <xf numFmtId="0" fontId="74" fillId="0" borderId="0" xfId="60" applyFont="1" applyFill="1" applyBorder="1" applyAlignment="1">
      <alignment horizontal="right" wrapText="1"/>
      <protection/>
    </xf>
    <xf numFmtId="0" fontId="25" fillId="0" borderId="0" xfId="118" applyFont="1">
      <alignment/>
      <protection/>
    </xf>
    <xf numFmtId="4" fontId="25" fillId="0" borderId="0" xfId="118" applyNumberFormat="1" applyFont="1">
      <alignment/>
      <protection/>
    </xf>
    <xf numFmtId="0" fontId="25" fillId="0" borderId="0" xfId="118" applyFont="1" applyAlignment="1">
      <alignment horizontal="right"/>
      <protection/>
    </xf>
    <xf numFmtId="0" fontId="25" fillId="0" borderId="0" xfId="118" applyFont="1" applyAlignment="1">
      <alignment horizontal="right"/>
      <protection/>
    </xf>
    <xf numFmtId="49" fontId="25" fillId="0" borderId="0" xfId="118" applyNumberFormat="1" applyFont="1" applyAlignment="1">
      <alignment vertical="top"/>
      <protection/>
    </xf>
    <xf numFmtId="0" fontId="25" fillId="0" borderId="0" xfId="118" applyFont="1" applyAlignment="1">
      <alignment horizontal="left" vertical="top" wrapText="1"/>
      <protection/>
    </xf>
    <xf numFmtId="49" fontId="25" fillId="0" borderId="0" xfId="118" applyNumberFormat="1" applyFont="1" applyAlignment="1">
      <alignment horizontal="center"/>
      <protection/>
    </xf>
    <xf numFmtId="0" fontId="33" fillId="0" borderId="0" xfId="118" applyFont="1" applyBorder="1" applyAlignment="1">
      <alignment horizontal="center" vertical="center" wrapText="1"/>
      <protection/>
    </xf>
    <xf numFmtId="0" fontId="34" fillId="0" borderId="0" xfId="118" applyFont="1" applyBorder="1" applyAlignment="1">
      <alignment horizontal="left" vertical="center" wrapText="1"/>
      <protection/>
    </xf>
    <xf numFmtId="49" fontId="34" fillId="0" borderId="0" xfId="118" applyNumberFormat="1" applyFont="1" applyBorder="1" applyAlignment="1">
      <alignment horizontal="center" vertical="center" wrapText="1"/>
      <protection/>
    </xf>
    <xf numFmtId="172" fontId="34" fillId="0" borderId="0" xfId="118" applyNumberFormat="1" applyFont="1" applyBorder="1" applyAlignment="1">
      <alignment horizontal="right" vertical="center" wrapText="1"/>
      <protection/>
    </xf>
    <xf numFmtId="49" fontId="25" fillId="0" borderId="0" xfId="118" applyNumberFormat="1" applyFont="1" applyBorder="1" applyAlignment="1">
      <alignment horizontal="center" vertical="center"/>
      <protection/>
    </xf>
    <xf numFmtId="0" fontId="25" fillId="0" borderId="0" xfId="118" applyFont="1" applyBorder="1" applyAlignment="1">
      <alignment horizontal="left" vertical="center" wrapText="1"/>
      <protection/>
    </xf>
    <xf numFmtId="49" fontId="25" fillId="0" borderId="0" xfId="118" applyNumberFormat="1" applyFont="1" applyBorder="1" applyAlignment="1">
      <alignment horizontal="center" vertical="center" wrapText="1"/>
      <protection/>
    </xf>
    <xf numFmtId="172" fontId="25" fillId="0" borderId="0" xfId="118" applyNumberFormat="1" applyFont="1" applyBorder="1" applyAlignment="1">
      <alignment horizontal="right" vertical="center" wrapText="1"/>
      <protection/>
    </xf>
    <xf numFmtId="0" fontId="32" fillId="0" borderId="0" xfId="118" applyFont="1" applyBorder="1" applyAlignment="1">
      <alignment horizontal="center" vertical="center" wrapText="1"/>
      <protection/>
    </xf>
    <xf numFmtId="172" fontId="25" fillId="0" borderId="0" xfId="118" applyNumberFormat="1" applyFont="1" applyFill="1" applyBorder="1" applyAlignment="1">
      <alignment horizontal="right" vertical="center" wrapText="1"/>
      <protection/>
    </xf>
    <xf numFmtId="4" fontId="75" fillId="0" borderId="0" xfId="118" applyNumberFormat="1" applyFont="1">
      <alignment/>
      <protection/>
    </xf>
    <xf numFmtId="172" fontId="34" fillId="0" borderId="0" xfId="118" applyNumberFormat="1" applyFont="1" applyFill="1" applyBorder="1" applyAlignment="1">
      <alignment horizontal="right" vertical="center" wrapText="1"/>
      <protection/>
    </xf>
    <xf numFmtId="49" fontId="34" fillId="0" borderId="0" xfId="118" applyNumberFormat="1" applyFont="1" applyBorder="1" applyAlignment="1">
      <alignment horizontal="center" vertical="center"/>
      <protection/>
    </xf>
    <xf numFmtId="4" fontId="25" fillId="0" borderId="0" xfId="118" applyNumberFormat="1" applyFont="1">
      <alignment/>
      <protection/>
    </xf>
    <xf numFmtId="0" fontId="25" fillId="0" borderId="0" xfId="118" applyFont="1">
      <alignment/>
      <protection/>
    </xf>
    <xf numFmtId="49" fontId="32" fillId="0" borderId="0" xfId="118" applyNumberFormat="1" applyFont="1" applyBorder="1" applyAlignment="1">
      <alignment horizontal="center" vertical="center" wrapText="1"/>
      <protection/>
    </xf>
    <xf numFmtId="0" fontId="34" fillId="0" borderId="0" xfId="118" applyFont="1" applyBorder="1" applyAlignment="1">
      <alignment horizontal="left" vertical="center" wrapText="1"/>
      <protection/>
    </xf>
    <xf numFmtId="49" fontId="34" fillId="0" borderId="0" xfId="118" applyNumberFormat="1" applyFont="1" applyBorder="1" applyAlignment="1">
      <alignment horizontal="center" vertical="center"/>
      <protection/>
    </xf>
    <xf numFmtId="4" fontId="34" fillId="0" borderId="0" xfId="118" applyNumberFormat="1" applyFont="1" applyBorder="1" applyAlignment="1">
      <alignment horizontal="right" vertical="center"/>
      <protection/>
    </xf>
    <xf numFmtId="4" fontId="25" fillId="0" borderId="0" xfId="118" applyNumberFormat="1" applyFont="1" applyAlignment="1">
      <alignment vertical="center"/>
      <protection/>
    </xf>
    <xf numFmtId="4" fontId="76" fillId="0" borderId="0" xfId="118" applyNumberFormat="1" applyFont="1" applyBorder="1" applyAlignment="1">
      <alignment horizontal="right" vertical="center"/>
      <protection/>
    </xf>
    <xf numFmtId="0" fontId="25" fillId="0" borderId="0" xfId="118" applyFont="1" applyAlignment="1">
      <alignment vertical="center"/>
      <protection/>
    </xf>
    <xf numFmtId="0" fontId="25" fillId="0" borderId="0" xfId="118" applyFont="1" applyBorder="1" applyAlignment="1">
      <alignment horizontal="left" vertical="center" wrapText="1"/>
      <protection/>
    </xf>
    <xf numFmtId="4" fontId="25" fillId="0" borderId="0" xfId="118" applyNumberFormat="1" applyFont="1" applyBorder="1" applyAlignment="1">
      <alignment horizontal="right" vertical="center"/>
      <protection/>
    </xf>
    <xf numFmtId="4" fontId="34" fillId="0" borderId="0" xfId="118" applyNumberFormat="1" applyFont="1" applyFill="1" applyBorder="1" applyAlignment="1">
      <alignment horizontal="right" vertical="center"/>
      <protection/>
    </xf>
    <xf numFmtId="4" fontId="25" fillId="0" borderId="0" xfId="118" applyNumberFormat="1" applyFont="1" applyFill="1" applyBorder="1" applyAlignment="1">
      <alignment horizontal="right" vertical="center"/>
      <protection/>
    </xf>
    <xf numFmtId="4" fontId="34" fillId="0" borderId="0" xfId="118" applyNumberFormat="1" applyFont="1" applyBorder="1" applyAlignment="1">
      <alignment horizontal="right" vertical="center"/>
      <protection/>
    </xf>
    <xf numFmtId="4" fontId="34" fillId="0" borderId="0" xfId="118" applyNumberFormat="1" applyFont="1" applyAlignment="1">
      <alignment vertical="center"/>
      <protection/>
    </xf>
    <xf numFmtId="0" fontId="34" fillId="0" borderId="0" xfId="118" applyFont="1" applyAlignment="1">
      <alignment vertical="center"/>
      <protection/>
    </xf>
    <xf numFmtId="172" fontId="34" fillId="0" borderId="0" xfId="118" applyNumberFormat="1" applyFont="1" applyBorder="1" applyAlignment="1">
      <alignment horizontal="right" vertical="center"/>
      <protection/>
    </xf>
    <xf numFmtId="172" fontId="25" fillId="0" borderId="0" xfId="118" applyNumberFormat="1" applyFont="1" applyBorder="1" applyAlignment="1">
      <alignment horizontal="right" vertical="center"/>
      <protection/>
    </xf>
    <xf numFmtId="172" fontId="25" fillId="0" borderId="0" xfId="118" applyNumberFormat="1" applyFont="1" applyFill="1" applyBorder="1" applyAlignment="1">
      <alignment horizontal="right" vertical="center"/>
      <protection/>
    </xf>
    <xf numFmtId="0" fontId="33" fillId="0" borderId="0" xfId="118" applyFont="1" applyBorder="1" applyAlignment="1">
      <alignment vertical="center" wrapText="1"/>
      <protection/>
    </xf>
    <xf numFmtId="0" fontId="3" fillId="0" borderId="0" xfId="117" applyFont="1" applyFill="1" applyAlignment="1" applyProtection="1">
      <alignment wrapText="1"/>
      <protection locked="0"/>
    </xf>
    <xf numFmtId="0" fontId="74" fillId="0" borderId="1" xfId="58" applyNumberFormat="1" applyFont="1" applyFill="1" applyBorder="1" applyAlignment="1" applyProtection="1">
      <alignment wrapText="1"/>
      <protection/>
    </xf>
    <xf numFmtId="0" fontId="74" fillId="0" borderId="1" xfId="58" applyFont="1" applyFill="1" applyBorder="1" applyAlignment="1" applyProtection="1">
      <alignment wrapText="1"/>
      <protection locked="0"/>
    </xf>
    <xf numFmtId="0" fontId="3" fillId="0" borderId="2" xfId="62" applyNumberFormat="1" applyFont="1" applyFill="1" applyBorder="1" applyAlignment="1" applyProtection="1">
      <alignment horizontal="center" vertical="center" wrapText="1"/>
      <protection/>
    </xf>
    <xf numFmtId="0" fontId="73" fillId="0" borderId="2" xfId="68" applyNumberFormat="1" applyFont="1" applyFill="1" applyAlignment="1" applyProtection="1">
      <alignment vertical="top" wrapText="1"/>
      <protection/>
    </xf>
    <xf numFmtId="49" fontId="73" fillId="0" borderId="2" xfId="69" applyNumberFormat="1" applyFont="1" applyFill="1" applyAlignment="1" applyProtection="1">
      <alignment horizontal="center" vertical="top" wrapText="1" shrinkToFit="1"/>
      <protection/>
    </xf>
    <xf numFmtId="4" fontId="73" fillId="0" borderId="2" xfId="70" applyNumberFormat="1" applyFont="1" applyFill="1" applyAlignment="1" applyProtection="1">
      <alignment horizontal="right" vertical="top" wrapText="1" shrinkToFit="1"/>
      <protection/>
    </xf>
    <xf numFmtId="0" fontId="4" fillId="0" borderId="0" xfId="117" applyFont="1" applyFill="1" applyAlignment="1" applyProtection="1">
      <alignment wrapText="1"/>
      <protection locked="0"/>
    </xf>
    <xf numFmtId="0" fontId="74" fillId="0" borderId="2" xfId="68" applyNumberFormat="1" applyFont="1" applyFill="1" applyAlignment="1" applyProtection="1">
      <alignment vertical="top" wrapText="1"/>
      <protection/>
    </xf>
    <xf numFmtId="49" fontId="74" fillId="0" borderId="2" xfId="69" applyNumberFormat="1" applyFont="1" applyFill="1" applyAlignment="1" applyProtection="1">
      <alignment horizontal="center" vertical="top" wrapText="1" shrinkToFit="1"/>
      <protection/>
    </xf>
    <xf numFmtId="4" fontId="74" fillId="0" borderId="2" xfId="70" applyNumberFormat="1" applyFont="1" applyFill="1" applyAlignment="1" applyProtection="1">
      <alignment horizontal="right" vertical="top" wrapText="1" shrinkToFit="1"/>
      <protection/>
    </xf>
    <xf numFmtId="0" fontId="74" fillId="0" borderId="0" xfId="66" applyNumberFormat="1" applyFont="1" applyFill="1" applyAlignment="1" applyProtection="1">
      <alignment wrapText="1"/>
      <protection/>
    </xf>
    <xf numFmtId="4" fontId="3" fillId="0" borderId="0" xfId="117" applyNumberFormat="1" applyFont="1" applyFill="1" applyAlignment="1" applyProtection="1">
      <alignment wrapText="1"/>
      <protection locked="0"/>
    </xf>
    <xf numFmtId="0" fontId="74" fillId="0" borderId="1" xfId="58" applyFont="1" applyFill="1" applyBorder="1" applyAlignment="1" applyProtection="1">
      <alignment horizontal="right" wrapText="1"/>
      <protection locked="0"/>
    </xf>
    <xf numFmtId="0" fontId="73" fillId="0" borderId="2" xfId="68" applyNumberFormat="1" applyFont="1" applyFill="1" applyProtection="1">
      <alignment vertical="top" wrapText="1"/>
      <protection/>
    </xf>
    <xf numFmtId="49" fontId="73" fillId="0" borderId="2" xfId="69" applyNumberFormat="1" applyFont="1" applyFill="1" applyProtection="1">
      <alignment horizontal="center" vertical="top" shrinkToFit="1"/>
      <protection/>
    </xf>
    <xf numFmtId="0" fontId="2" fillId="0" borderId="0" xfId="122">
      <alignment/>
      <protection/>
    </xf>
    <xf numFmtId="0" fontId="0" fillId="0" borderId="0" xfId="123" applyFont="1" applyProtection="1">
      <alignment/>
      <protection locked="0"/>
    </xf>
    <xf numFmtId="0" fontId="74" fillId="0" borderId="0" xfId="57" applyFont="1" applyFill="1" applyBorder="1" applyAlignment="1">
      <alignment wrapText="1"/>
      <protection/>
    </xf>
    <xf numFmtId="0" fontId="74" fillId="0" borderId="0" xfId="59" applyFont="1" applyFill="1" applyBorder="1" applyAlignment="1">
      <alignment wrapText="1"/>
      <protection/>
    </xf>
    <xf numFmtId="0" fontId="74" fillId="0" borderId="0" xfId="59" applyNumberFormat="1" applyFont="1" applyFill="1" applyBorder="1" applyAlignment="1" applyProtection="1">
      <alignment wrapText="1"/>
      <protection/>
    </xf>
    <xf numFmtId="0" fontId="74" fillId="0" borderId="1" xfId="60" applyFont="1" applyFill="1" applyBorder="1" applyAlignment="1">
      <alignment wrapText="1"/>
      <protection/>
    </xf>
    <xf numFmtId="0" fontId="74" fillId="0" borderId="1" xfId="60" applyNumberFormat="1" applyFont="1" applyFill="1" applyBorder="1" applyAlignment="1" applyProtection="1">
      <alignment wrapText="1"/>
      <protection/>
    </xf>
    <xf numFmtId="0" fontId="74" fillId="0" borderId="1" xfId="60" applyFont="1" applyFill="1" applyBorder="1" applyAlignment="1">
      <alignment horizontal="right" wrapText="1"/>
      <protection/>
    </xf>
    <xf numFmtId="0" fontId="46" fillId="0" borderId="0" xfId="123" applyFont="1" applyProtection="1">
      <alignment/>
      <protection locked="0"/>
    </xf>
    <xf numFmtId="4" fontId="73" fillId="0" borderId="23" xfId="66" applyNumberFormat="1" applyFont="1" applyFill="1" applyBorder="1" applyAlignment="1" applyProtection="1">
      <alignment horizontal="right" vertical="top" shrinkToFit="1"/>
      <protection/>
    </xf>
    <xf numFmtId="0" fontId="3" fillId="0" borderId="0" xfId="123" applyFont="1" applyProtection="1">
      <alignment/>
      <protection locked="0"/>
    </xf>
    <xf numFmtId="0" fontId="3" fillId="0" borderId="0" xfId="123" applyFont="1" applyFill="1" applyProtection="1">
      <alignment/>
      <protection locked="0"/>
    </xf>
    <xf numFmtId="4" fontId="3" fillId="0" borderId="0" xfId="123" applyNumberFormat="1" applyFont="1" applyFill="1" applyProtection="1">
      <alignment/>
      <protection locked="0"/>
    </xf>
    <xf numFmtId="4" fontId="75" fillId="0" borderId="0" xfId="118" applyNumberFormat="1" applyFont="1" applyAlignment="1">
      <alignment horizontal="right" vertical="center"/>
      <protection/>
    </xf>
    <xf numFmtId="4" fontId="76" fillId="0" borderId="0" xfId="118" applyNumberFormat="1" applyFont="1">
      <alignment/>
      <protection/>
    </xf>
    <xf numFmtId="4" fontId="3" fillId="0" borderId="0" xfId="0" applyNumberFormat="1" applyFont="1" applyFill="1" applyAlignment="1" applyProtection="1">
      <alignment/>
      <protection locked="0"/>
    </xf>
    <xf numFmtId="4" fontId="34" fillId="0" borderId="0" xfId="118" applyNumberFormat="1" applyFont="1" applyBorder="1" applyAlignment="1">
      <alignment horizontal="right" vertical="center" wrapText="1"/>
      <protection/>
    </xf>
    <xf numFmtId="4" fontId="25" fillId="0" borderId="0" xfId="118" applyNumberFormat="1" applyFont="1" applyBorder="1" applyAlignment="1">
      <alignment horizontal="right" vertical="center" wrapText="1"/>
      <protection/>
    </xf>
    <xf numFmtId="4" fontId="25" fillId="0" borderId="0" xfId="118" applyNumberFormat="1" applyFont="1" applyFill="1" applyBorder="1" applyAlignment="1">
      <alignment horizontal="right" vertical="center" wrapText="1"/>
      <protection/>
    </xf>
    <xf numFmtId="4" fontId="0" fillId="0" borderId="0" xfId="123" applyNumberFormat="1" applyFont="1" applyProtection="1">
      <alignment/>
      <protection locked="0"/>
    </xf>
    <xf numFmtId="4" fontId="46" fillId="0" borderId="0" xfId="123" applyNumberFormat="1" applyFont="1" applyProtection="1">
      <alignment/>
      <protection locked="0"/>
    </xf>
    <xf numFmtId="4" fontId="0" fillId="0" borderId="0" xfId="123" applyNumberFormat="1" applyFont="1" applyProtection="1">
      <alignment/>
      <protection locked="0"/>
    </xf>
    <xf numFmtId="0" fontId="3" fillId="0" borderId="23" xfId="118" applyFont="1" applyFill="1" applyBorder="1" applyAlignment="1">
      <alignment horizontal="center" vertical="center" wrapText="1"/>
      <protection/>
    </xf>
    <xf numFmtId="0" fontId="3" fillId="0" borderId="0" xfId="118" applyFont="1" applyFill="1" applyAlignment="1">
      <alignment horizontal="right" wrapText="1"/>
      <protection/>
    </xf>
    <xf numFmtId="0" fontId="3" fillId="0" borderId="2" xfId="68" applyNumberFormat="1" applyFont="1" applyFill="1" applyProtection="1">
      <alignment vertical="top" wrapText="1"/>
      <protection/>
    </xf>
    <xf numFmtId="49" fontId="3" fillId="0" borderId="2" xfId="69" applyNumberFormat="1" applyFont="1" applyFill="1" applyProtection="1">
      <alignment horizontal="center" vertical="top" shrinkToFit="1"/>
      <protection/>
    </xf>
    <xf numFmtId="4" fontId="3" fillId="0" borderId="2" xfId="70" applyNumberFormat="1" applyFont="1" applyFill="1" applyProtection="1">
      <alignment horizontal="right" vertical="top" shrinkToFit="1"/>
      <protection/>
    </xf>
    <xf numFmtId="4" fontId="3" fillId="0" borderId="2" xfId="71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4" fontId="46" fillId="0" borderId="0" xfId="0" applyNumberFormat="1" applyFont="1" applyFill="1" applyAlignment="1" applyProtection="1">
      <alignment/>
      <protection locked="0"/>
    </xf>
    <xf numFmtId="0" fontId="4" fillId="0" borderId="2" xfId="68" applyNumberFormat="1" applyFont="1" applyFill="1" applyProtection="1">
      <alignment vertical="top" wrapText="1"/>
      <protection/>
    </xf>
    <xf numFmtId="49" fontId="4" fillId="0" borderId="2" xfId="69" applyNumberFormat="1" applyFont="1" applyFill="1" applyProtection="1">
      <alignment horizontal="center" vertical="top" shrinkToFit="1"/>
      <protection/>
    </xf>
    <xf numFmtId="4" fontId="4" fillId="0" borderId="2" xfId="70" applyNumberFormat="1" applyFont="1" applyFill="1" applyProtection="1">
      <alignment horizontal="right" vertical="top" shrinkToFit="1"/>
      <protection/>
    </xf>
    <xf numFmtId="4" fontId="4" fillId="0" borderId="2" xfId="71" applyNumberFormat="1" applyFont="1" applyFill="1" applyProtection="1">
      <alignment horizontal="right" vertical="top" shrinkToFit="1"/>
      <protection/>
    </xf>
    <xf numFmtId="4" fontId="73" fillId="0" borderId="24" xfId="70" applyNumberFormat="1" applyFont="1" applyFill="1" applyBorder="1" applyProtection="1">
      <alignment horizontal="right" vertical="top" shrinkToFit="1"/>
      <protection/>
    </xf>
    <xf numFmtId="0" fontId="4" fillId="0" borderId="23" xfId="117" applyFont="1" applyFill="1" applyBorder="1" applyProtection="1">
      <alignment/>
      <protection locked="0"/>
    </xf>
    <xf numFmtId="0" fontId="0" fillId="0" borderId="0" xfId="117" applyFont="1" applyFill="1" applyProtection="1">
      <alignment/>
      <protection locked="0"/>
    </xf>
    <xf numFmtId="0" fontId="3" fillId="0" borderId="26" xfId="118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4" fontId="3" fillId="0" borderId="0" xfId="117" applyNumberFormat="1" applyFont="1" applyFill="1" applyProtection="1">
      <alignment/>
      <protection locked="0"/>
    </xf>
    <xf numFmtId="4" fontId="0" fillId="0" borderId="0" xfId="117" applyNumberFormat="1" applyFont="1" applyFill="1" applyProtection="1">
      <alignment/>
      <protection locked="0"/>
    </xf>
    <xf numFmtId="0" fontId="3" fillId="0" borderId="2" xfId="60" applyNumberFormat="1" applyFont="1" applyFill="1" applyProtection="1">
      <alignment horizontal="center" vertical="center" wrapText="1"/>
      <protection/>
    </xf>
    <xf numFmtId="0" fontId="3" fillId="0" borderId="25" xfId="68" applyNumberFormat="1" applyFont="1" applyFill="1" applyBorder="1" applyProtection="1">
      <alignment vertical="top" wrapText="1"/>
      <protection/>
    </xf>
    <xf numFmtId="49" fontId="3" fillId="0" borderId="25" xfId="69" applyNumberFormat="1" applyFont="1" applyFill="1" applyBorder="1" applyProtection="1">
      <alignment horizontal="center" vertical="top" shrinkToFit="1"/>
      <protection/>
    </xf>
    <xf numFmtId="4" fontId="3" fillId="0" borderId="25" xfId="70" applyNumberFormat="1" applyFont="1" applyFill="1" applyBorder="1" applyProtection="1">
      <alignment horizontal="right" vertical="top" shrinkToFit="1"/>
      <protection/>
    </xf>
    <xf numFmtId="4" fontId="4" fillId="0" borderId="23" xfId="64" applyNumberFormat="1" applyFont="1" applyFill="1" applyBorder="1" applyProtection="1">
      <alignment horizontal="right" vertical="top" shrinkToFit="1"/>
      <protection/>
    </xf>
    <xf numFmtId="0" fontId="3" fillId="0" borderId="0" xfId="67" applyNumberFormat="1" applyFont="1" applyFill="1" applyBorder="1" applyAlignment="1" applyProtection="1">
      <alignment wrapText="1"/>
      <protection/>
    </xf>
    <xf numFmtId="0" fontId="3" fillId="0" borderId="0" xfId="67" applyFont="1" applyFill="1" applyBorder="1" applyAlignment="1" applyProtection="1">
      <alignment wrapText="1"/>
      <protection locked="0"/>
    </xf>
    <xf numFmtId="4" fontId="3" fillId="0" borderId="0" xfId="67" applyNumberFormat="1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3" fillId="0" borderId="2" xfId="68" applyNumberFormat="1" applyFont="1" applyFill="1" applyAlignment="1" applyProtection="1">
      <alignment vertical="top" wrapText="1"/>
      <protection/>
    </xf>
    <xf numFmtId="49" fontId="3" fillId="0" borderId="2" xfId="69" applyNumberFormat="1" applyFont="1" applyFill="1" applyAlignment="1" applyProtection="1">
      <alignment horizontal="center" vertical="top" wrapText="1" shrinkToFit="1"/>
      <protection/>
    </xf>
    <xf numFmtId="4" fontId="3" fillId="0" borderId="2" xfId="70" applyNumberFormat="1" applyFont="1" applyFill="1" applyAlignment="1" applyProtection="1">
      <alignment horizontal="right" vertical="top" wrapText="1" shrinkToFi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/>
    </xf>
    <xf numFmtId="49" fontId="3" fillId="58" borderId="23" xfId="0" applyNumberFormat="1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/>
    </xf>
    <xf numFmtId="0" fontId="3" fillId="58" borderId="23" xfId="0" applyFont="1" applyFill="1" applyBorder="1" applyAlignment="1">
      <alignment horizontal="justify" vertical="center" wrapText="1"/>
    </xf>
    <xf numFmtId="0" fontId="2" fillId="58" borderId="0" xfId="0" applyFont="1" applyFill="1" applyBorder="1" applyAlignment="1">
      <alignment/>
    </xf>
    <xf numFmtId="49" fontId="3" fillId="58" borderId="23" xfId="0" applyNumberFormat="1" applyFont="1" applyFill="1" applyBorder="1" applyAlignment="1">
      <alignment horizontal="center" vertical="center"/>
    </xf>
    <xf numFmtId="0" fontId="3" fillId="58" borderId="23" xfId="0" applyFont="1" applyFill="1" applyBorder="1" applyAlignment="1">
      <alignment horizontal="left" vertical="center" wrapText="1"/>
    </xf>
    <xf numFmtId="0" fontId="3" fillId="58" borderId="32" xfId="0" applyFont="1" applyFill="1" applyBorder="1" applyAlignment="1">
      <alignment horizontal="left" vertical="center" wrapText="1"/>
    </xf>
    <xf numFmtId="49" fontId="4" fillId="58" borderId="23" xfId="0" applyNumberFormat="1" applyFont="1" applyFill="1" applyBorder="1" applyAlignment="1">
      <alignment horizontal="center" vertical="center"/>
    </xf>
    <xf numFmtId="2" fontId="3" fillId="58" borderId="23" xfId="0" applyNumberFormat="1" applyFont="1" applyFill="1" applyBorder="1" applyAlignment="1">
      <alignment horizontal="left" vertical="center" wrapText="1"/>
    </xf>
    <xf numFmtId="0" fontId="2" fillId="58" borderId="0" xfId="0" applyFont="1" applyFill="1" applyBorder="1" applyAlignment="1">
      <alignment vertical="center"/>
    </xf>
    <xf numFmtId="0" fontId="3" fillId="58" borderId="23" xfId="0" applyFont="1" applyFill="1" applyBorder="1" applyAlignment="1">
      <alignment horizontal="left" vertical="top" wrapText="1"/>
    </xf>
    <xf numFmtId="2" fontId="3" fillId="58" borderId="23" xfId="0" applyNumberFormat="1" applyFont="1" applyFill="1" applyBorder="1" applyAlignment="1">
      <alignment horizontal="justify" vertical="center" wrapText="1"/>
    </xf>
    <xf numFmtId="49" fontId="3" fillId="58" borderId="23" xfId="0" applyNumberFormat="1" applyFont="1" applyFill="1" applyBorder="1" applyAlignment="1">
      <alignment horizontal="left" vertical="center" wrapText="1"/>
    </xf>
    <xf numFmtId="0" fontId="3" fillId="58" borderId="23" xfId="0" applyFont="1" applyFill="1" applyBorder="1" applyAlignment="1">
      <alignment vertical="center" wrapText="1"/>
    </xf>
    <xf numFmtId="0" fontId="6" fillId="58" borderId="23" xfId="0" applyFont="1" applyFill="1" applyBorder="1" applyAlignment="1">
      <alignment horizontal="justify" vertical="center" wrapText="1"/>
    </xf>
    <xf numFmtId="0" fontId="6" fillId="58" borderId="23" xfId="0" applyFont="1" applyFill="1" applyBorder="1" applyAlignment="1">
      <alignment vertical="center" wrapText="1"/>
    </xf>
    <xf numFmtId="0" fontId="3" fillId="5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23" fillId="59" borderId="23" xfId="0" applyFont="1" applyFill="1" applyBorder="1" applyAlignment="1">
      <alignment vertical="center" wrapText="1"/>
    </xf>
    <xf numFmtId="0" fontId="4" fillId="59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/>
    </xf>
    <xf numFmtId="0" fontId="23" fillId="58" borderId="2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3" fillId="59" borderId="23" xfId="0" applyFont="1" applyFill="1" applyBorder="1" applyAlignment="1">
      <alignment horizontal="justify" vertical="center" wrapText="1"/>
    </xf>
    <xf numFmtId="49" fontId="23" fillId="59" borderId="23" xfId="0" applyNumberFormat="1" applyFont="1" applyFill="1" applyBorder="1" applyAlignment="1">
      <alignment vertical="center" wrapText="1"/>
    </xf>
    <xf numFmtId="0" fontId="30" fillId="59" borderId="23" xfId="0" applyFont="1" applyFill="1" applyBorder="1" applyAlignment="1">
      <alignment vertical="center" wrapText="1"/>
    </xf>
    <xf numFmtId="0" fontId="26" fillId="59" borderId="23" xfId="0" applyFont="1" applyFill="1" applyBorder="1" applyAlignment="1">
      <alignment horizontal="justify" vertical="center" wrapText="1"/>
    </xf>
    <xf numFmtId="0" fontId="4" fillId="59" borderId="23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justify" vertical="center" wrapText="1"/>
    </xf>
    <xf numFmtId="2" fontId="27" fillId="59" borderId="23" xfId="0" applyNumberFormat="1" applyFont="1" applyFill="1" applyBorder="1" applyAlignment="1">
      <alignment horizontal="justify" vertical="center" wrapText="1"/>
    </xf>
    <xf numFmtId="2" fontId="23" fillId="59" borderId="23" xfId="0" applyNumberFormat="1" applyFont="1" applyFill="1" applyBorder="1" applyAlignment="1">
      <alignment horizontal="left" vertical="center" wrapText="1"/>
    </xf>
    <xf numFmtId="0" fontId="23" fillId="59" borderId="23" xfId="0" applyFont="1" applyFill="1" applyBorder="1" applyAlignment="1">
      <alignment horizontal="left" vertical="center" wrapText="1"/>
    </xf>
    <xf numFmtId="0" fontId="4" fillId="59" borderId="23" xfId="0" applyFont="1" applyFill="1" applyBorder="1" applyAlignment="1">
      <alignment horizontal="left" vertical="center" wrapText="1"/>
    </xf>
    <xf numFmtId="0" fontId="27" fillId="59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0" xfId="0" applyNumberFormat="1" applyFont="1" applyBorder="1" applyAlignment="1">
      <alignment wrapText="1"/>
    </xf>
    <xf numFmtId="0" fontId="23" fillId="0" borderId="23" xfId="0" applyFont="1" applyFill="1" applyBorder="1" applyAlignment="1">
      <alignment vertical="center" wrapText="1"/>
    </xf>
    <xf numFmtId="0" fontId="27" fillId="58" borderId="23" xfId="0" applyFont="1" applyFill="1" applyBorder="1" applyAlignment="1">
      <alignment vertical="center" wrapText="1"/>
    </xf>
    <xf numFmtId="0" fontId="5" fillId="59" borderId="0" xfId="0" applyFont="1" applyFill="1" applyBorder="1" applyAlignment="1">
      <alignment/>
    </xf>
    <xf numFmtId="0" fontId="27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4" fontId="4" fillId="0" borderId="0" xfId="117" applyNumberFormat="1" applyFont="1" applyFill="1" applyAlignment="1" applyProtection="1">
      <alignment wrapText="1"/>
      <protection locked="0"/>
    </xf>
    <xf numFmtId="0" fontId="3" fillId="0" borderId="0" xfId="118" applyFont="1" applyFill="1" applyBorder="1" applyAlignment="1">
      <alignment horizontal="center" vertical="center" wrapText="1"/>
      <protection/>
    </xf>
    <xf numFmtId="0" fontId="74" fillId="0" borderId="25" xfId="68" applyNumberFormat="1" applyFont="1" applyFill="1" applyBorder="1" applyAlignment="1" applyProtection="1">
      <alignment vertical="top" wrapText="1"/>
      <protection/>
    </xf>
    <xf numFmtId="49" fontId="74" fillId="0" borderId="25" xfId="69" applyNumberFormat="1" applyFont="1" applyFill="1" applyBorder="1" applyAlignment="1" applyProtection="1">
      <alignment horizontal="center" vertical="top" wrapText="1" shrinkToFit="1"/>
      <protection/>
    </xf>
    <xf numFmtId="4" fontId="74" fillId="0" borderId="25" xfId="70" applyNumberFormat="1" applyFont="1" applyFill="1" applyBorder="1" applyAlignment="1" applyProtection="1">
      <alignment horizontal="right" vertical="top" wrapText="1" shrinkToFit="1"/>
      <protection/>
    </xf>
    <xf numFmtId="4" fontId="77" fillId="0" borderId="33" xfId="70" applyNumberFormat="1" applyFont="1" applyFill="1" applyBorder="1" applyAlignment="1" applyProtection="1">
      <alignment horizontal="right" vertical="top" wrapText="1" shrinkToFit="1"/>
      <protection/>
    </xf>
    <xf numFmtId="4" fontId="77" fillId="0" borderId="2" xfId="70" applyNumberFormat="1" applyFont="1" applyFill="1" applyProtection="1">
      <alignment horizontal="right" vertical="top" shrinkToFit="1"/>
      <protection/>
    </xf>
    <xf numFmtId="4" fontId="77" fillId="0" borderId="2" xfId="71" applyNumberFormat="1" applyFont="1" applyFill="1" applyProtection="1">
      <alignment horizontal="right" vertical="top" shrinkToFit="1"/>
      <protection/>
    </xf>
    <xf numFmtId="49" fontId="4" fillId="0" borderId="2" xfId="69" applyNumberFormat="1" applyFont="1" applyFill="1" applyAlignment="1" applyProtection="1">
      <alignment horizontal="center" vertical="center" wrapText="1" shrinkToFit="1"/>
      <protection/>
    </xf>
    <xf numFmtId="4" fontId="4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4" fillId="0" borderId="2" xfId="68" applyNumberFormat="1" applyFont="1" applyFill="1" applyAlignment="1" applyProtection="1">
      <alignment vertical="top" wrapText="1"/>
      <protection/>
    </xf>
    <xf numFmtId="49" fontId="4" fillId="0" borderId="2" xfId="69" applyNumberFormat="1" applyFont="1" applyFill="1" applyAlignment="1" applyProtection="1">
      <alignment horizontal="center" vertical="top" wrapText="1" shrinkToFit="1"/>
      <protection/>
    </xf>
    <xf numFmtId="4" fontId="4" fillId="0" borderId="2" xfId="70" applyNumberFormat="1" applyFont="1" applyFill="1" applyAlignment="1" applyProtection="1">
      <alignment horizontal="right" vertical="top" wrapText="1" shrinkToFit="1"/>
      <protection/>
    </xf>
    <xf numFmtId="49" fontId="3" fillId="0" borderId="2" xfId="69" applyNumberFormat="1" applyFont="1" applyFill="1" applyAlignment="1" applyProtection="1">
      <alignment horizontal="center" vertical="center" shrinkToFit="1"/>
      <protection/>
    </xf>
    <xf numFmtId="4" fontId="3" fillId="0" borderId="2" xfId="70" applyNumberFormat="1" applyFont="1" applyFill="1" applyAlignment="1" applyProtection="1">
      <alignment horizontal="right" vertical="center" shrinkToFit="1"/>
      <protection/>
    </xf>
    <xf numFmtId="4" fontId="74" fillId="0" borderId="34" xfId="70" applyNumberFormat="1" applyFont="1" applyFill="1" applyBorder="1" applyProtection="1">
      <alignment horizontal="right" vertical="top" shrinkToFit="1"/>
      <protection/>
    </xf>
    <xf numFmtId="4" fontId="74" fillId="0" borderId="35" xfId="70" applyNumberFormat="1" applyFont="1" applyFill="1" applyBorder="1" applyProtection="1">
      <alignment horizontal="right" vertical="top" shrinkToFit="1"/>
      <protection/>
    </xf>
    <xf numFmtId="0" fontId="78" fillId="0" borderId="0" xfId="117" applyFont="1" applyFill="1" applyAlignment="1" applyProtection="1">
      <alignment wrapText="1"/>
      <protection locked="0"/>
    </xf>
    <xf numFmtId="4" fontId="78" fillId="0" borderId="0" xfId="117" applyNumberFormat="1" applyFont="1" applyFill="1" applyAlignment="1" applyProtection="1">
      <alignment wrapText="1"/>
      <protection locked="0"/>
    </xf>
    <xf numFmtId="4" fontId="3" fillId="0" borderId="2" xfId="70" applyNumberFormat="1" applyFont="1" applyFill="1" applyAlignment="1" applyProtection="1">
      <alignment horizontal="right" vertical="center" wrapText="1" shrinkToFit="1"/>
      <protection/>
    </xf>
    <xf numFmtId="49" fontId="3" fillId="58" borderId="32" xfId="0" applyNumberFormat="1" applyFont="1" applyFill="1" applyBorder="1" applyAlignment="1">
      <alignment horizontal="left" vertical="center" wrapText="1"/>
    </xf>
    <xf numFmtId="0" fontId="27" fillId="58" borderId="23" xfId="0" applyFont="1" applyFill="1" applyBorder="1" applyAlignment="1">
      <alignment horizontal="left" vertical="center" wrapText="1"/>
    </xf>
    <xf numFmtId="0" fontId="23" fillId="58" borderId="32" xfId="0" applyFont="1" applyFill="1" applyBorder="1" applyAlignment="1">
      <alignment horizontal="left" vertical="center" wrapText="1"/>
    </xf>
    <xf numFmtId="0" fontId="27" fillId="58" borderId="32" xfId="0" applyFont="1" applyFill="1" applyBorder="1" applyAlignment="1">
      <alignment horizontal="left" vertical="center" wrapText="1"/>
    </xf>
    <xf numFmtId="49" fontId="23" fillId="58" borderId="32" xfId="0" applyNumberFormat="1" applyFont="1" applyFill="1" applyBorder="1" applyAlignment="1">
      <alignment horizontal="left" vertical="center" wrapText="1"/>
    </xf>
    <xf numFmtId="49" fontId="27" fillId="58" borderId="3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6" fillId="0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horizontal="center" vertical="center" wrapText="1"/>
    </xf>
    <xf numFmtId="0" fontId="23" fillId="59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58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30" fillId="59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7" fillId="58" borderId="23" xfId="0" applyFont="1" applyFill="1" applyBorder="1" applyAlignment="1">
      <alignment horizontal="center" vertical="center" wrapText="1"/>
    </xf>
    <xf numFmtId="0" fontId="5" fillId="59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26" fillId="0" borderId="23" xfId="0" applyNumberFormat="1" applyFont="1" applyFill="1" applyBorder="1" applyAlignment="1">
      <alignment horizontal="right" vertical="center" wrapText="1"/>
    </xf>
    <xf numFmtId="4" fontId="4" fillId="59" borderId="23" xfId="0" applyNumberFormat="1" applyFont="1" applyFill="1" applyBorder="1" applyAlignment="1">
      <alignment horizontal="right" vertical="center" wrapText="1"/>
    </xf>
    <xf numFmtId="4" fontId="27" fillId="59" borderId="23" xfId="0" applyNumberFormat="1" applyFont="1" applyFill="1" applyBorder="1" applyAlignment="1">
      <alignment horizontal="right" vertical="center" wrapText="1"/>
    </xf>
    <xf numFmtId="4" fontId="3" fillId="59" borderId="23" xfId="0" applyNumberFormat="1" applyFont="1" applyFill="1" applyBorder="1" applyAlignment="1">
      <alignment horizontal="right" vertical="center" wrapText="1"/>
    </xf>
    <xf numFmtId="4" fontId="23" fillId="59" borderId="23" xfId="0" applyNumberFormat="1" applyFont="1" applyFill="1" applyBorder="1" applyAlignment="1">
      <alignment horizontal="right" vertical="center" wrapText="1"/>
    </xf>
    <xf numFmtId="4" fontId="23" fillId="58" borderId="23" xfId="0" applyNumberFormat="1" applyFont="1" applyFill="1" applyBorder="1" applyAlignment="1">
      <alignment horizontal="right" vertical="center" wrapText="1"/>
    </xf>
    <xf numFmtId="4" fontId="30" fillId="59" borderId="23" xfId="0" applyNumberFormat="1" applyFont="1" applyFill="1" applyBorder="1" applyAlignment="1">
      <alignment horizontal="right" vertical="center" wrapText="1"/>
    </xf>
    <xf numFmtId="4" fontId="26" fillId="59" borderId="23" xfId="0" applyNumberFormat="1" applyFont="1" applyFill="1" applyBorder="1" applyAlignment="1">
      <alignment horizontal="right" vertical="center" wrapText="1"/>
    </xf>
    <xf numFmtId="4" fontId="27" fillId="0" borderId="23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" fontId="27" fillId="58" borderId="23" xfId="0" applyNumberFormat="1" applyFont="1" applyFill="1" applyBorder="1" applyAlignment="1">
      <alignment horizontal="right" vertical="center" wrapText="1"/>
    </xf>
    <xf numFmtId="4" fontId="30" fillId="0" borderId="23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4" fontId="78" fillId="0" borderId="2" xfId="71" applyNumberFormat="1" applyFont="1" applyFill="1" applyProtection="1">
      <alignment horizontal="right" vertical="top" shrinkToFit="1"/>
      <protection/>
    </xf>
    <xf numFmtId="4" fontId="79" fillId="0" borderId="0" xfId="0" applyNumberFormat="1" applyFont="1" applyFill="1" applyAlignment="1" applyProtection="1">
      <alignment/>
      <protection locked="0"/>
    </xf>
    <xf numFmtId="4" fontId="78" fillId="0" borderId="2" xfId="70" applyNumberFormat="1" applyFont="1" applyFill="1" applyProtection="1">
      <alignment horizontal="right" vertical="top" shrinkToFi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2" fontId="35" fillId="0" borderId="23" xfId="118" applyNumberFormat="1" applyFont="1" applyFill="1" applyBorder="1" applyAlignment="1">
      <alignment horizontal="center" vertical="center" wrapText="1"/>
      <protection/>
    </xf>
    <xf numFmtId="49" fontId="25" fillId="0" borderId="0" xfId="118" applyNumberFormat="1" applyFont="1" applyAlignment="1">
      <alignment horizontal="left" vertical="top" wrapText="1"/>
      <protection/>
    </xf>
    <xf numFmtId="0" fontId="3" fillId="0" borderId="0" xfId="118" applyFont="1" applyAlignment="1">
      <alignment wrapText="1"/>
      <protection/>
    </xf>
    <xf numFmtId="0" fontId="25" fillId="0" borderId="0" xfId="118" applyFont="1" applyAlignment="1">
      <alignment wrapText="1"/>
      <protection/>
    </xf>
    <xf numFmtId="0" fontId="31" fillId="0" borderId="0" xfId="118" applyFont="1" applyAlignment="1">
      <alignment horizontal="center" wrapText="1"/>
      <protection/>
    </xf>
    <xf numFmtId="0" fontId="31" fillId="0" borderId="0" xfId="118" applyFont="1" applyFill="1" applyAlignment="1">
      <alignment horizontal="center" wrapText="1"/>
      <protection/>
    </xf>
    <xf numFmtId="0" fontId="35" fillId="0" borderId="0" xfId="118" applyFont="1" applyAlignment="1">
      <alignment wrapText="1"/>
      <protection/>
    </xf>
    <xf numFmtId="0" fontId="36" fillId="0" borderId="0" xfId="118" applyFont="1" applyAlignment="1">
      <alignment horizontal="right" wrapText="1"/>
      <protection/>
    </xf>
    <xf numFmtId="0" fontId="35" fillId="0" borderId="0" xfId="118" applyFont="1" applyFill="1" applyAlignment="1">
      <alignment horizontal="center" wrapText="1"/>
      <protection/>
    </xf>
    <xf numFmtId="0" fontId="34" fillId="0" borderId="0" xfId="118" applyFont="1" applyAlignment="1">
      <alignment wrapText="1"/>
      <protection/>
    </xf>
    <xf numFmtId="172" fontId="25" fillId="0" borderId="0" xfId="118" applyNumberFormat="1" applyFont="1" applyAlignment="1">
      <alignment wrapText="1"/>
      <protection/>
    </xf>
    <xf numFmtId="172" fontId="25" fillId="0" borderId="0" xfId="118" applyNumberFormat="1" applyFont="1" applyAlignment="1">
      <alignment horizontal="right" wrapText="1"/>
      <protection/>
    </xf>
    <xf numFmtId="0" fontId="25" fillId="0" borderId="0" xfId="118" applyFont="1" applyFill="1" applyAlignment="1">
      <alignment wrapText="1"/>
      <protection/>
    </xf>
    <xf numFmtId="172" fontId="25" fillId="0" borderId="0" xfId="118" applyNumberFormat="1" applyFont="1" applyAlignment="1">
      <alignment horizontal="right" vertical="top" wrapText="1"/>
      <protection/>
    </xf>
    <xf numFmtId="172" fontId="25" fillId="0" borderId="0" xfId="118" applyNumberFormat="1" applyFont="1" applyAlignment="1">
      <alignment horizontal="center" vertical="top" wrapText="1"/>
      <protection/>
    </xf>
    <xf numFmtId="3" fontId="25" fillId="0" borderId="0" xfId="118" applyNumberFormat="1" applyFont="1" applyAlignment="1">
      <alignment horizontal="center" vertical="top" wrapText="1"/>
      <protection/>
    </xf>
    <xf numFmtId="3" fontId="25" fillId="0" borderId="0" xfId="118" applyNumberFormat="1" applyFont="1" applyAlignment="1">
      <alignment wrapText="1"/>
      <protection/>
    </xf>
    <xf numFmtId="4" fontId="31" fillId="0" borderId="32" xfId="118" applyNumberFormat="1" applyFont="1" applyFill="1" applyBorder="1" applyAlignment="1">
      <alignment vertical="justify" wrapText="1"/>
      <protection/>
    </xf>
    <xf numFmtId="4" fontId="35" fillId="0" borderId="32" xfId="118" applyNumberFormat="1" applyFont="1" applyFill="1" applyBorder="1" applyAlignment="1">
      <alignment vertical="justify" wrapText="1"/>
      <protection/>
    </xf>
    <xf numFmtId="172" fontId="31" fillId="0" borderId="32" xfId="118" applyNumberFormat="1" applyFont="1" applyFill="1" applyBorder="1" applyAlignment="1">
      <alignment vertical="justify" wrapText="1"/>
      <protection/>
    </xf>
    <xf numFmtId="172" fontId="35" fillId="0" borderId="32" xfId="118" applyNumberFormat="1" applyFont="1" applyFill="1" applyBorder="1" applyAlignment="1">
      <alignment vertical="justify" wrapText="1"/>
      <protection/>
    </xf>
    <xf numFmtId="0" fontId="3" fillId="0" borderId="0" xfId="0" applyFont="1" applyFill="1" applyBorder="1" applyAlignment="1">
      <alignment wrapText="1"/>
    </xf>
    <xf numFmtId="4" fontId="27" fillId="0" borderId="2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5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4" fillId="58" borderId="36" xfId="0" applyNumberFormat="1" applyFont="1" applyFill="1" applyBorder="1" applyAlignment="1">
      <alignment horizontal="left" vertical="center" wrapText="1"/>
    </xf>
    <xf numFmtId="49" fontId="4" fillId="58" borderId="32" xfId="0" applyNumberFormat="1" applyFont="1" applyFill="1" applyBorder="1" applyAlignment="1">
      <alignment horizontal="left" vertical="center" wrapText="1"/>
    </xf>
    <xf numFmtId="49" fontId="4" fillId="58" borderId="36" xfId="0" applyNumberFormat="1" applyFont="1" applyFill="1" applyBorder="1" applyAlignment="1">
      <alignment horizontal="left" vertical="center"/>
    </xf>
    <xf numFmtId="49" fontId="4" fillId="58" borderId="32" xfId="0" applyNumberFormat="1" applyFont="1" applyFill="1" applyBorder="1" applyAlignment="1">
      <alignment horizontal="left" vertical="center"/>
    </xf>
    <xf numFmtId="0" fontId="4" fillId="58" borderId="36" xfId="0" applyFont="1" applyFill="1" applyBorder="1" applyAlignment="1">
      <alignment horizontal="left" vertical="center" wrapText="1"/>
    </xf>
    <xf numFmtId="0" fontId="4" fillId="58" borderId="3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32" fillId="0" borderId="37" xfId="118" applyFont="1" applyBorder="1" applyAlignment="1">
      <alignment horizontal="center" vertical="center" wrapText="1"/>
      <protection/>
    </xf>
    <xf numFmtId="0" fontId="32" fillId="0" borderId="38" xfId="118" applyFont="1" applyBorder="1" applyAlignment="1">
      <alignment horizontal="center" vertical="center" wrapText="1"/>
      <protection/>
    </xf>
    <xf numFmtId="0" fontId="32" fillId="0" borderId="39" xfId="118" applyFont="1" applyBorder="1" applyAlignment="1">
      <alignment horizontal="center" vertical="center"/>
      <protection/>
    </xf>
    <xf numFmtId="0" fontId="32" fillId="0" borderId="40" xfId="118" applyFont="1" applyBorder="1" applyAlignment="1">
      <alignment horizontal="center" vertical="center"/>
      <protection/>
    </xf>
    <xf numFmtId="0" fontId="32" fillId="0" borderId="41" xfId="118" applyFont="1" applyBorder="1" applyAlignment="1">
      <alignment horizontal="center" vertical="center"/>
      <protection/>
    </xf>
    <xf numFmtId="0" fontId="32" fillId="0" borderId="42" xfId="118" applyFont="1" applyBorder="1" applyAlignment="1">
      <alignment horizontal="center" vertical="center"/>
      <protection/>
    </xf>
    <xf numFmtId="0" fontId="32" fillId="0" borderId="43" xfId="118" applyFont="1" applyBorder="1" applyAlignment="1">
      <alignment horizontal="center" vertical="center"/>
      <protection/>
    </xf>
    <xf numFmtId="0" fontId="32" fillId="0" borderId="44" xfId="118" applyFont="1" applyBorder="1" applyAlignment="1">
      <alignment horizontal="center" vertical="center"/>
      <protection/>
    </xf>
    <xf numFmtId="0" fontId="31" fillId="0" borderId="0" xfId="118" applyFont="1" applyAlignment="1">
      <alignment horizontal="center"/>
      <protection/>
    </xf>
    <xf numFmtId="0" fontId="3" fillId="0" borderId="0" xfId="118" applyFont="1" applyFill="1" applyAlignment="1">
      <alignment horizontal="right"/>
      <protection/>
    </xf>
    <xf numFmtId="0" fontId="25" fillId="0" borderId="0" xfId="118" applyFont="1" applyAlignment="1">
      <alignment horizontal="right"/>
      <protection/>
    </xf>
    <xf numFmtId="0" fontId="3" fillId="0" borderId="0" xfId="118" applyFont="1" applyFill="1" applyAlignment="1">
      <alignment horizontal="right" wrapText="1"/>
      <protection/>
    </xf>
    <xf numFmtId="0" fontId="4" fillId="0" borderId="0" xfId="118" applyFont="1" applyFill="1" applyAlignment="1">
      <alignment horizontal="center" wrapText="1"/>
      <protection/>
    </xf>
    <xf numFmtId="0" fontId="53" fillId="0" borderId="0" xfId="67" applyNumberFormat="1" applyFill="1" applyBorder="1" applyProtection="1">
      <alignment horizontal="left" wrapText="1"/>
      <protection/>
    </xf>
    <xf numFmtId="0" fontId="53" fillId="0" borderId="0" xfId="67" applyFill="1" applyBorder="1" applyProtection="1">
      <alignment horizontal="left" wrapText="1"/>
      <protection locked="0"/>
    </xf>
    <xf numFmtId="0" fontId="73" fillId="0" borderId="23" xfId="65" applyNumberFormat="1" applyFont="1" applyFill="1" applyBorder="1" applyAlignment="1" applyProtection="1">
      <alignment horizontal="right"/>
      <protection/>
    </xf>
    <xf numFmtId="0" fontId="73" fillId="0" borderId="23" xfId="65" applyNumberFormat="1" applyFont="1" applyFill="1" applyBorder="1" applyAlignment="1">
      <alignment horizontal="right"/>
      <protection/>
    </xf>
    <xf numFmtId="0" fontId="73" fillId="0" borderId="24" xfId="68" applyNumberFormat="1" applyFont="1" applyFill="1" applyBorder="1" applyAlignment="1" applyProtection="1">
      <alignment horizontal="right" vertical="top" wrapText="1"/>
      <protection/>
    </xf>
    <xf numFmtId="0" fontId="73" fillId="0" borderId="4" xfId="68" applyNumberFormat="1" applyFont="1" applyFill="1" applyBorder="1" applyAlignment="1" applyProtection="1">
      <alignment horizontal="right" vertical="top" wrapText="1"/>
      <protection/>
    </xf>
    <xf numFmtId="0" fontId="73" fillId="0" borderId="33" xfId="68" applyNumberFormat="1" applyFont="1" applyFill="1" applyBorder="1" applyAlignment="1" applyProtection="1">
      <alignment horizontal="right" vertical="top" wrapText="1"/>
      <protection/>
    </xf>
    <xf numFmtId="4" fontId="74" fillId="0" borderId="0" xfId="67" applyNumberFormat="1" applyFont="1" applyFill="1" applyBorder="1" applyAlignment="1" applyProtection="1">
      <alignment horizontal="left" wrapText="1"/>
      <protection/>
    </xf>
    <xf numFmtId="4" fontId="74" fillId="0" borderId="0" xfId="67" applyNumberFormat="1" applyFont="1" applyFill="1" applyBorder="1" applyAlignment="1" applyProtection="1">
      <alignment horizontal="left" wrapText="1"/>
      <protection locked="0"/>
    </xf>
    <xf numFmtId="0" fontId="4" fillId="0" borderId="0" xfId="118" applyFont="1" applyFill="1" applyAlignment="1">
      <alignment horizontal="center" vertical="center" wrapText="1"/>
      <protection/>
    </xf>
    <xf numFmtId="0" fontId="4" fillId="0" borderId="36" xfId="63" applyNumberFormat="1" applyFont="1" applyFill="1" applyBorder="1" applyAlignment="1" applyProtection="1">
      <alignment horizontal="right"/>
      <protection/>
    </xf>
    <xf numFmtId="0" fontId="4" fillId="0" borderId="45" xfId="63" applyNumberFormat="1" applyFont="1" applyFill="1" applyBorder="1" applyAlignment="1" applyProtection="1">
      <alignment horizontal="right"/>
      <protection/>
    </xf>
    <xf numFmtId="0" fontId="4" fillId="0" borderId="32" xfId="63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" xfId="57" applyNumberFormat="1" applyFont="1" applyFill="1" applyBorder="1" applyAlignment="1" applyProtection="1">
      <alignment horizontal="right" vertical="center" wrapText="1"/>
      <protection/>
    </xf>
    <xf numFmtId="0" fontId="73" fillId="0" borderId="0" xfId="59" applyFont="1" applyFill="1" applyBorder="1" applyAlignment="1">
      <alignment horizontal="center" wrapText="1"/>
      <protection/>
    </xf>
    <xf numFmtId="49" fontId="73" fillId="0" borderId="24" xfId="69" applyNumberFormat="1" applyFont="1" applyBorder="1" applyAlignment="1" applyProtection="1">
      <alignment horizontal="left" vertical="top" wrapText="1" shrinkToFit="1"/>
      <protection/>
    </xf>
    <xf numFmtId="49" fontId="73" fillId="0" borderId="33" xfId="69" applyNumberFormat="1" applyFont="1" applyBorder="1" applyAlignment="1" applyProtection="1">
      <alignment horizontal="left" vertical="top" wrapText="1" shrinkToFit="1"/>
      <protection/>
    </xf>
    <xf numFmtId="49" fontId="73" fillId="0" borderId="24" xfId="69" applyNumberFormat="1" applyFont="1" applyBorder="1" applyAlignment="1" applyProtection="1">
      <alignment horizontal="left" vertical="top" wrapText="1"/>
      <protection/>
    </xf>
    <xf numFmtId="49" fontId="73" fillId="0" borderId="33" xfId="69" applyNumberFormat="1" applyFont="1" applyBorder="1" applyAlignment="1" applyProtection="1">
      <alignment horizontal="left" vertical="top" wrapText="1"/>
      <protection/>
    </xf>
    <xf numFmtId="4" fontId="73" fillId="0" borderId="46" xfId="66" applyNumberFormat="1" applyFont="1" applyFill="1" applyBorder="1" applyAlignment="1" applyProtection="1">
      <alignment horizontal="right" vertical="top" shrinkToFit="1"/>
      <protection/>
    </xf>
    <xf numFmtId="4" fontId="73" fillId="0" borderId="47" xfId="66" applyNumberFormat="1" applyFont="1" applyFill="1" applyBorder="1" applyAlignment="1" applyProtection="1">
      <alignment horizontal="right" vertical="top" shrinkToFit="1"/>
      <protection/>
    </xf>
    <xf numFmtId="0" fontId="74" fillId="0" borderId="0" xfId="67" applyNumberFormat="1" applyFont="1" applyBorder="1" applyProtection="1">
      <alignment horizontal="left" wrapText="1"/>
      <protection/>
    </xf>
    <xf numFmtId="0" fontId="74" fillId="0" borderId="0" xfId="67" applyFont="1" applyBorder="1" applyProtection="1">
      <alignment horizontal="left" wrapText="1"/>
      <protection locked="0"/>
    </xf>
    <xf numFmtId="0" fontId="35" fillId="0" borderId="36" xfId="118" applyFont="1" applyBorder="1" applyAlignment="1">
      <alignment vertical="justify" wrapText="1"/>
      <protection/>
    </xf>
    <xf numFmtId="0" fontId="35" fillId="0" borderId="45" xfId="118" applyFont="1" applyBorder="1" applyAlignment="1">
      <alignment vertical="justify" wrapText="1"/>
      <protection/>
    </xf>
    <xf numFmtId="0" fontId="35" fillId="0" borderId="32" xfId="118" applyFont="1" applyBorder="1" applyAlignment="1">
      <alignment vertical="justify" wrapText="1"/>
      <protection/>
    </xf>
    <xf numFmtId="0" fontId="31" fillId="0" borderId="36" xfId="118" applyFont="1" applyBorder="1" applyAlignment="1">
      <alignment vertical="justify" wrapText="1"/>
      <protection/>
    </xf>
    <xf numFmtId="0" fontId="31" fillId="0" borderId="45" xfId="118" applyFont="1" applyBorder="1" applyAlignment="1">
      <alignment vertical="justify" wrapText="1"/>
      <protection/>
    </xf>
    <xf numFmtId="0" fontId="31" fillId="0" borderId="32" xfId="118" applyFont="1" applyBorder="1" applyAlignment="1">
      <alignment vertical="justify" wrapText="1"/>
      <protection/>
    </xf>
    <xf numFmtId="0" fontId="31" fillId="0" borderId="0" xfId="118" applyFont="1" applyAlignment="1">
      <alignment horizontal="center" wrapText="1"/>
      <protection/>
    </xf>
    <xf numFmtId="0" fontId="35" fillId="0" borderId="23" xfId="118" applyFont="1" applyBorder="1" applyAlignment="1">
      <alignment horizontal="center" vertical="center" wrapText="1"/>
      <protection/>
    </xf>
    <xf numFmtId="0" fontId="25" fillId="0" borderId="0" xfId="118" applyFont="1" applyAlignment="1">
      <alignment horizontal="center" wrapText="1"/>
      <protection/>
    </xf>
  </cellXfs>
  <cellStyles count="1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Hyperlink" xfId="98"/>
    <cellStyle name="Currency" xfId="99"/>
    <cellStyle name="Currency [0]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Контрольная ячейка" xfId="111"/>
    <cellStyle name="Контрольная ячейка 2" xfId="112"/>
    <cellStyle name="Название" xfId="113"/>
    <cellStyle name="Название 2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Обычный 4" xfId="120"/>
    <cellStyle name="Обычный 5" xfId="121"/>
    <cellStyle name="Обычный 6" xfId="122"/>
    <cellStyle name="Обычный 7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Comma" xfId="136"/>
    <cellStyle name="Comma [0]" xfId="137"/>
    <cellStyle name="Хороший" xfId="138"/>
    <cellStyle name="Хороший 2" xfId="1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59"/>
  <sheetViews>
    <sheetView tabSelected="1" zoomScaleSheetLayoutView="47" workbookViewId="0" topLeftCell="A1">
      <selection activeCell="G1" sqref="G1:G16384"/>
    </sheetView>
  </sheetViews>
  <sheetFormatPr defaultColWidth="9.140625" defaultRowHeight="15"/>
  <cols>
    <col min="1" max="1" width="9.57421875" style="152" customWidth="1"/>
    <col min="2" max="2" width="27.00390625" style="152" customWidth="1"/>
    <col min="3" max="3" width="63.57421875" style="152" customWidth="1"/>
    <col min="4" max="16384" width="9.140625" style="152" customWidth="1"/>
  </cols>
  <sheetData>
    <row r="1" spans="1:3" ht="18.75">
      <c r="A1" s="151"/>
      <c r="B1" s="295" t="s">
        <v>709</v>
      </c>
      <c r="C1" s="295"/>
    </row>
    <row r="2" spans="1:3" ht="18.75">
      <c r="A2" s="151"/>
      <c r="B2" s="153"/>
      <c r="C2" s="153" t="s">
        <v>710</v>
      </c>
    </row>
    <row r="3" spans="1:3" ht="18.75">
      <c r="A3" s="151"/>
      <c r="B3" s="153"/>
      <c r="C3" s="153" t="s">
        <v>711</v>
      </c>
    </row>
    <row r="4" spans="1:3" ht="15.75">
      <c r="A4" s="295" t="s">
        <v>1255</v>
      </c>
      <c r="B4" s="296"/>
      <c r="C4" s="296"/>
    </row>
    <row r="5" spans="1:3" ht="18.75">
      <c r="A5" s="151"/>
      <c r="B5" s="153"/>
      <c r="C5" s="153" t="s">
        <v>1315</v>
      </c>
    </row>
    <row r="6" spans="1:3" ht="15.75">
      <c r="A6" s="154"/>
      <c r="B6" s="154"/>
      <c r="C6" s="154"/>
    </row>
    <row r="7" spans="1:3" ht="50.25" customHeight="1">
      <c r="A7" s="297" t="s">
        <v>713</v>
      </c>
      <c r="B7" s="297"/>
      <c r="C7" s="297"/>
    </row>
    <row r="8" spans="1:3" ht="15.75">
      <c r="A8" s="155"/>
      <c r="B8" s="155"/>
      <c r="C8" s="155"/>
    </row>
    <row r="9" spans="1:3" ht="15.75">
      <c r="A9" s="298" t="s">
        <v>714</v>
      </c>
      <c r="B9" s="298"/>
      <c r="C9" s="298" t="s">
        <v>715</v>
      </c>
    </row>
    <row r="10" spans="1:3" ht="63">
      <c r="A10" s="156" t="s">
        <v>716</v>
      </c>
      <c r="B10" s="156" t="s">
        <v>717</v>
      </c>
      <c r="C10" s="298"/>
    </row>
    <row r="11" spans="1:3" ht="15.75">
      <c r="A11" s="157" t="s">
        <v>718</v>
      </c>
      <c r="B11" s="293" t="s">
        <v>719</v>
      </c>
      <c r="C11" s="294"/>
    </row>
    <row r="12" spans="1:171" ht="15.75">
      <c r="A12" s="158" t="s">
        <v>718</v>
      </c>
      <c r="B12" s="159" t="s">
        <v>720</v>
      </c>
      <c r="C12" s="160" t="s">
        <v>1236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</row>
    <row r="13" spans="1:3" ht="15.75">
      <c r="A13" s="157" t="s">
        <v>721</v>
      </c>
      <c r="B13" s="293" t="s">
        <v>722</v>
      </c>
      <c r="C13" s="294"/>
    </row>
    <row r="14" spans="1:171" ht="63">
      <c r="A14" s="162" t="s">
        <v>721</v>
      </c>
      <c r="B14" s="159" t="s">
        <v>723</v>
      </c>
      <c r="C14" s="163" t="s">
        <v>724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</row>
    <row r="15" spans="1:171" ht="31.5">
      <c r="A15" s="162" t="s">
        <v>721</v>
      </c>
      <c r="B15" s="159" t="s">
        <v>747</v>
      </c>
      <c r="C15" s="163" t="s">
        <v>748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</row>
    <row r="16" spans="1:171" ht="47.25">
      <c r="A16" s="162" t="s">
        <v>721</v>
      </c>
      <c r="B16" s="159" t="s">
        <v>725</v>
      </c>
      <c r="C16" s="163" t="s">
        <v>726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</row>
    <row r="17" spans="1:171" ht="47.25">
      <c r="A17" s="162" t="s">
        <v>721</v>
      </c>
      <c r="B17" s="159" t="s">
        <v>727</v>
      </c>
      <c r="C17" s="163" t="s">
        <v>728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</row>
    <row r="18" spans="1:171" ht="31.5">
      <c r="A18" s="162" t="s">
        <v>721</v>
      </c>
      <c r="B18" s="159" t="s">
        <v>729</v>
      </c>
      <c r="C18" s="163" t="s">
        <v>730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</row>
    <row r="19" spans="1:171" ht="63">
      <c r="A19" s="162" t="s">
        <v>721</v>
      </c>
      <c r="B19" s="159" t="s">
        <v>731</v>
      </c>
      <c r="C19" s="164" t="s">
        <v>732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</row>
    <row r="20" spans="1:171" ht="15.75">
      <c r="A20" s="165" t="s">
        <v>733</v>
      </c>
      <c r="B20" s="299" t="s">
        <v>734</v>
      </c>
      <c r="C20" s="30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</row>
    <row r="21" spans="1:171" ht="31.5">
      <c r="A21" s="162" t="s">
        <v>733</v>
      </c>
      <c r="B21" s="162" t="s">
        <v>735</v>
      </c>
      <c r="C21" s="166" t="s">
        <v>736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</row>
    <row r="22" spans="1:171" ht="78.75">
      <c r="A22" s="162" t="s">
        <v>733</v>
      </c>
      <c r="B22" s="159" t="s">
        <v>737</v>
      </c>
      <c r="C22" s="166" t="s">
        <v>738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</row>
    <row r="23" spans="1:171" ht="78.75">
      <c r="A23" s="162" t="s">
        <v>733</v>
      </c>
      <c r="B23" s="159" t="s">
        <v>739</v>
      </c>
      <c r="C23" s="166" t="s">
        <v>740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</row>
    <row r="24" spans="1:171" ht="78.75">
      <c r="A24" s="162" t="s">
        <v>733</v>
      </c>
      <c r="B24" s="159" t="s">
        <v>741</v>
      </c>
      <c r="C24" s="166" t="s">
        <v>742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</row>
    <row r="25" spans="1:171" ht="31.5">
      <c r="A25" s="162" t="s">
        <v>733</v>
      </c>
      <c r="B25" s="159" t="s">
        <v>743</v>
      </c>
      <c r="C25" s="166" t="s">
        <v>744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</row>
    <row r="26" spans="1:171" ht="63">
      <c r="A26" s="162" t="s">
        <v>733</v>
      </c>
      <c r="B26" s="159" t="s">
        <v>723</v>
      </c>
      <c r="C26" s="163" t="s">
        <v>724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</row>
    <row r="27" spans="1:171" ht="78.75">
      <c r="A27" s="162" t="s">
        <v>733</v>
      </c>
      <c r="B27" s="159" t="s">
        <v>745</v>
      </c>
      <c r="C27" s="163" t="s">
        <v>746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</row>
    <row r="28" spans="1:171" ht="31.5">
      <c r="A28" s="162" t="s">
        <v>733</v>
      </c>
      <c r="B28" s="159" t="s">
        <v>747</v>
      </c>
      <c r="C28" s="163" t="s">
        <v>748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</row>
    <row r="29" spans="1:171" ht="47.25">
      <c r="A29" s="162" t="s">
        <v>733</v>
      </c>
      <c r="B29" s="159" t="s">
        <v>725</v>
      </c>
      <c r="C29" s="163" t="s">
        <v>726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</row>
    <row r="30" spans="1:171" ht="94.5">
      <c r="A30" s="162" t="s">
        <v>733</v>
      </c>
      <c r="B30" s="159" t="s">
        <v>749</v>
      </c>
      <c r="C30" s="163" t="s">
        <v>750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</row>
    <row r="31" spans="1:3" s="161" customFormat="1" ht="63">
      <c r="A31" s="162" t="s">
        <v>733</v>
      </c>
      <c r="B31" s="159" t="s">
        <v>1277</v>
      </c>
      <c r="C31" s="164" t="s">
        <v>1278</v>
      </c>
    </row>
    <row r="32" spans="1:3" s="161" customFormat="1" ht="63">
      <c r="A32" s="162" t="s">
        <v>733</v>
      </c>
      <c r="B32" s="159" t="s">
        <v>1279</v>
      </c>
      <c r="C32" s="164" t="s">
        <v>1280</v>
      </c>
    </row>
    <row r="33" spans="1:171" ht="15.75">
      <c r="A33" s="165" t="s">
        <v>751</v>
      </c>
      <c r="B33" s="299" t="s">
        <v>752</v>
      </c>
      <c r="C33" s="30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</row>
    <row r="34" spans="1:171" ht="31.5">
      <c r="A34" s="162" t="s">
        <v>751</v>
      </c>
      <c r="B34" s="159" t="s">
        <v>753</v>
      </c>
      <c r="C34" s="163" t="s">
        <v>754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</row>
    <row r="35" spans="1:171" ht="31.5">
      <c r="A35" s="162" t="s">
        <v>751</v>
      </c>
      <c r="B35" s="159" t="s">
        <v>1316</v>
      </c>
      <c r="C35" s="163" t="s">
        <v>1317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</row>
    <row r="36" spans="1:171" ht="47.25">
      <c r="A36" s="162" t="s">
        <v>751</v>
      </c>
      <c r="B36" s="159" t="s">
        <v>755</v>
      </c>
      <c r="C36" s="168" t="s">
        <v>756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</row>
    <row r="37" spans="1:171" ht="94.5">
      <c r="A37" s="162" t="s">
        <v>751</v>
      </c>
      <c r="B37" s="159" t="s">
        <v>757</v>
      </c>
      <c r="C37" s="163" t="s">
        <v>758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</row>
    <row r="38" spans="1:171" ht="15.75">
      <c r="A38" s="165" t="s">
        <v>759</v>
      </c>
      <c r="B38" s="301" t="s">
        <v>760</v>
      </c>
      <c r="C38" s="302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</row>
    <row r="39" spans="1:171" ht="47.25">
      <c r="A39" s="162" t="s">
        <v>759</v>
      </c>
      <c r="B39" s="159" t="s">
        <v>761</v>
      </c>
      <c r="C39" s="163" t="s">
        <v>762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</row>
    <row r="40" spans="1:171" ht="78.75">
      <c r="A40" s="162" t="s">
        <v>759</v>
      </c>
      <c r="B40" s="159" t="s">
        <v>763</v>
      </c>
      <c r="C40" s="163" t="s">
        <v>764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</row>
    <row r="41" spans="1:171" ht="15.75">
      <c r="A41" s="165" t="s">
        <v>765</v>
      </c>
      <c r="B41" s="299" t="s">
        <v>766</v>
      </c>
      <c r="C41" s="30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</row>
    <row r="42" spans="1:171" ht="31.5">
      <c r="A42" s="162" t="s">
        <v>765</v>
      </c>
      <c r="B42" s="159" t="s">
        <v>1281</v>
      </c>
      <c r="C42" s="227" t="s">
        <v>1282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</row>
    <row r="43" spans="1:171" ht="47.25">
      <c r="A43" s="162" t="s">
        <v>765</v>
      </c>
      <c r="B43" s="159" t="s">
        <v>767</v>
      </c>
      <c r="C43" s="169" t="s">
        <v>768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</row>
    <row r="44" spans="1:171" ht="63">
      <c r="A44" s="162" t="s">
        <v>765</v>
      </c>
      <c r="B44" s="159" t="s">
        <v>769</v>
      </c>
      <c r="C44" s="170" t="s">
        <v>770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</row>
    <row r="45" spans="1:171" ht="78.75">
      <c r="A45" s="162" t="s">
        <v>765</v>
      </c>
      <c r="B45" s="159" t="s">
        <v>771</v>
      </c>
      <c r="C45" s="170" t="s">
        <v>772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</row>
    <row r="46" spans="1:171" ht="15.75">
      <c r="A46" s="165" t="s">
        <v>773</v>
      </c>
      <c r="B46" s="299" t="s">
        <v>774</v>
      </c>
      <c r="C46" s="300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</row>
    <row r="47" spans="1:171" ht="15.75">
      <c r="A47" s="165" t="s">
        <v>1</v>
      </c>
      <c r="B47" s="303" t="s">
        <v>775</v>
      </c>
      <c r="C47" s="304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</row>
    <row r="48" spans="1:171" ht="31.5">
      <c r="A48" s="158" t="s">
        <v>1</v>
      </c>
      <c r="B48" s="159" t="s">
        <v>776</v>
      </c>
      <c r="C48" s="163" t="s">
        <v>777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</row>
    <row r="49" spans="1:171" ht="47.25">
      <c r="A49" s="158" t="s">
        <v>1</v>
      </c>
      <c r="B49" s="159" t="s">
        <v>778</v>
      </c>
      <c r="C49" s="171" t="s">
        <v>779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</row>
    <row r="50" spans="1:171" ht="31.5">
      <c r="A50" s="158" t="s">
        <v>1</v>
      </c>
      <c r="B50" s="159" t="s">
        <v>780</v>
      </c>
      <c r="C50" s="160" t="s">
        <v>781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</row>
    <row r="51" spans="1:171" ht="15.75">
      <c r="A51" s="162" t="s">
        <v>1</v>
      </c>
      <c r="B51" s="159" t="s">
        <v>782</v>
      </c>
      <c r="C51" s="160" t="s">
        <v>783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</row>
    <row r="52" spans="1:171" ht="15.75">
      <c r="A52" s="162" t="s">
        <v>1</v>
      </c>
      <c r="B52" s="159" t="s">
        <v>784</v>
      </c>
      <c r="C52" s="160" t="s">
        <v>785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</row>
    <row r="53" spans="1:171" ht="31.5">
      <c r="A53" s="158" t="s">
        <v>1</v>
      </c>
      <c r="B53" s="159" t="s">
        <v>786</v>
      </c>
      <c r="C53" s="172" t="s">
        <v>787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</row>
    <row r="54" spans="1:171" ht="31.5">
      <c r="A54" s="158" t="s">
        <v>1</v>
      </c>
      <c r="B54" s="159" t="s">
        <v>788</v>
      </c>
      <c r="C54" s="173" t="s">
        <v>789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</row>
    <row r="55" spans="1:171" ht="47.25">
      <c r="A55" s="162" t="s">
        <v>1</v>
      </c>
      <c r="B55" s="159" t="s">
        <v>790</v>
      </c>
      <c r="C55" s="169" t="s">
        <v>791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</row>
    <row r="56" spans="1:171" ht="12.7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</row>
    <row r="57" spans="1:171" ht="12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</row>
    <row r="58" spans="1:171" ht="15.75">
      <c r="A58" s="174"/>
      <c r="B58" s="174"/>
      <c r="C58" s="174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</row>
    <row r="59" spans="1:171" ht="15.75">
      <c r="A59" s="174"/>
      <c r="B59" s="174"/>
      <c r="C59" s="174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</row>
  </sheetData>
  <sheetProtection/>
  <mergeCells count="13">
    <mergeCell ref="B20:C20"/>
    <mergeCell ref="B33:C33"/>
    <mergeCell ref="B38:C38"/>
    <mergeCell ref="B41:C41"/>
    <mergeCell ref="B46:C46"/>
    <mergeCell ref="B47:C47"/>
    <mergeCell ref="B13:C13"/>
    <mergeCell ref="B1:C1"/>
    <mergeCell ref="A4:C4"/>
    <mergeCell ref="A7:C7"/>
    <mergeCell ref="A9:B9"/>
    <mergeCell ref="C9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7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zoomScaleSheetLayoutView="100" zoomScalePageLayoutView="0" workbookViewId="0" topLeftCell="A1">
      <selection activeCell="E12" sqref="E12"/>
    </sheetView>
  </sheetViews>
  <sheetFormatPr defaultColWidth="9.140625" defaultRowHeight="16.5" customHeight="1"/>
  <cols>
    <col min="1" max="1" width="27.57421875" style="151" customWidth="1"/>
    <col min="2" max="2" width="46.28125" style="154" customWidth="1"/>
    <col min="3" max="3" width="19.421875" style="176" customWidth="1"/>
    <col min="4" max="4" width="29.57421875" style="151" customWidth="1"/>
    <col min="5" max="16384" width="9.140625" style="151" customWidth="1"/>
  </cols>
  <sheetData>
    <row r="1" spans="2:3" ht="16.5" customHeight="1">
      <c r="B1" s="295" t="s">
        <v>792</v>
      </c>
      <c r="C1" s="295"/>
    </row>
    <row r="2" spans="1:3" ht="16.5" customHeight="1">
      <c r="A2" s="175"/>
      <c r="B2" s="295" t="s">
        <v>710</v>
      </c>
      <c r="C2" s="295"/>
    </row>
    <row r="3" spans="1:4" ht="16.5" customHeight="1">
      <c r="A3" s="175"/>
      <c r="B3" s="295" t="s">
        <v>711</v>
      </c>
      <c r="C3" s="295"/>
      <c r="D3" s="175"/>
    </row>
    <row r="4" spans="1:4" ht="16.5" customHeight="1">
      <c r="A4" s="295" t="s">
        <v>1255</v>
      </c>
      <c r="B4" s="307"/>
      <c r="C4" s="307"/>
      <c r="D4" s="175"/>
    </row>
    <row r="5" spans="2:3" ht="16.5" customHeight="1">
      <c r="B5" s="308" t="s">
        <v>1318</v>
      </c>
      <c r="C5" s="309"/>
    </row>
    <row r="6" ht="16.5" customHeight="1">
      <c r="B6" s="153"/>
    </row>
    <row r="7" spans="1:3" ht="36.75" customHeight="1">
      <c r="A7" s="306" t="s">
        <v>793</v>
      </c>
      <c r="B7" s="306"/>
      <c r="C7" s="306"/>
    </row>
    <row r="8" ht="16.5" customHeight="1">
      <c r="C8" s="177" t="s">
        <v>423</v>
      </c>
    </row>
    <row r="9" spans="1:3" ht="56.25" customHeight="1">
      <c r="A9" s="156" t="s">
        <v>794</v>
      </c>
      <c r="B9" s="178" t="s">
        <v>795</v>
      </c>
      <c r="C9" s="178" t="s">
        <v>796</v>
      </c>
    </row>
    <row r="10" spans="1:3" ht="18.75">
      <c r="A10" s="179">
        <v>1</v>
      </c>
      <c r="B10" s="179">
        <v>2</v>
      </c>
      <c r="C10" s="179">
        <v>3</v>
      </c>
    </row>
    <row r="11" spans="1:256" ht="31.5">
      <c r="A11" s="233" t="s">
        <v>797</v>
      </c>
      <c r="B11" s="145" t="s">
        <v>798</v>
      </c>
      <c r="C11" s="247">
        <f>C12+C52</f>
        <v>839954122.9399999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spans="1:256" ht="18.75">
      <c r="A12" s="233"/>
      <c r="B12" s="235" t="s">
        <v>799</v>
      </c>
      <c r="C12" s="248">
        <f>C14+C26+C39+C47+C20</f>
        <v>697786944.4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spans="1:256" ht="18.75">
      <c r="A13" s="233"/>
      <c r="B13" s="235" t="s">
        <v>800</v>
      </c>
      <c r="C13" s="247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ht="19.5" customHeight="1">
      <c r="A14" s="191" t="s">
        <v>801</v>
      </c>
      <c r="B14" s="181" t="s">
        <v>802</v>
      </c>
      <c r="C14" s="249">
        <f>C15</f>
        <v>623460998.4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ht="18.75" customHeight="1">
      <c r="A15" s="236" t="s">
        <v>803</v>
      </c>
      <c r="B15" s="182" t="s">
        <v>804</v>
      </c>
      <c r="C15" s="250">
        <f>C16+C17+C18+C19</f>
        <v>623460998.4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ht="98.25" customHeight="1">
      <c r="A16" s="237" t="s">
        <v>805</v>
      </c>
      <c r="B16" s="180" t="s">
        <v>806</v>
      </c>
      <c r="C16" s="251">
        <f>594178000+28077998.4</f>
        <v>622255998.4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ht="139.5" customHeight="1">
      <c r="A17" s="237" t="s">
        <v>807</v>
      </c>
      <c r="B17" s="180" t="s">
        <v>808</v>
      </c>
      <c r="C17" s="251">
        <v>302000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ht="68.25" customHeight="1">
      <c r="A18" s="237" t="s">
        <v>809</v>
      </c>
      <c r="B18" s="180" t="s">
        <v>810</v>
      </c>
      <c r="C18" s="251">
        <v>891000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ht="123.75" customHeight="1">
      <c r="A19" s="237" t="s">
        <v>811</v>
      </c>
      <c r="B19" s="180" t="s">
        <v>812</v>
      </c>
      <c r="C19" s="251">
        <v>12000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256" ht="50.25" customHeight="1">
      <c r="A20" s="191" t="s">
        <v>813</v>
      </c>
      <c r="B20" s="181" t="s">
        <v>814</v>
      </c>
      <c r="C20" s="249">
        <f>C21</f>
        <v>8983946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</row>
    <row r="21" spans="1:256" ht="47.25">
      <c r="A21" s="236" t="s">
        <v>815</v>
      </c>
      <c r="B21" s="182" t="s">
        <v>816</v>
      </c>
      <c r="C21" s="250">
        <f>C22+C23+C24+C25</f>
        <v>8983946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</row>
    <row r="22" spans="1:256" ht="90">
      <c r="A22" s="237" t="s">
        <v>817</v>
      </c>
      <c r="B22" s="180" t="s">
        <v>818</v>
      </c>
      <c r="C22" s="252">
        <v>3092777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ht="105">
      <c r="A23" s="237" t="s">
        <v>819</v>
      </c>
      <c r="B23" s="180" t="s">
        <v>820</v>
      </c>
      <c r="C23" s="252">
        <v>34576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</row>
    <row r="24" spans="1:256" ht="90">
      <c r="A24" s="237" t="s">
        <v>821</v>
      </c>
      <c r="B24" s="180" t="s">
        <v>822</v>
      </c>
      <c r="C24" s="252">
        <v>5856593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256" ht="90" customHeight="1" hidden="1">
      <c r="A25" s="237" t="s">
        <v>823</v>
      </c>
      <c r="B25" s="180" t="s">
        <v>824</v>
      </c>
      <c r="C25" s="252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256" ht="22.5" customHeight="1">
      <c r="A26" s="191" t="s">
        <v>825</v>
      </c>
      <c r="B26" s="181" t="s">
        <v>826</v>
      </c>
      <c r="C26" s="249">
        <f>C27+C34+C38</f>
        <v>44256000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4"/>
    </row>
    <row r="27" spans="1:256" ht="33.75" customHeight="1">
      <c r="A27" s="236" t="s">
        <v>827</v>
      </c>
      <c r="B27" s="183" t="s">
        <v>828</v>
      </c>
      <c r="C27" s="250">
        <f>C28+C31+C33</f>
        <v>27466000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  <c r="IV27" s="234"/>
    </row>
    <row r="28" spans="1:256" s="184" customFormat="1" ht="51.75" customHeight="1">
      <c r="A28" s="237" t="s">
        <v>829</v>
      </c>
      <c r="B28" s="180" t="s">
        <v>830</v>
      </c>
      <c r="C28" s="252">
        <f>C29+C30</f>
        <v>9820000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  <c r="IV28" s="238"/>
    </row>
    <row r="29" spans="1:256" s="184" customFormat="1" ht="51" customHeight="1">
      <c r="A29" s="237" t="s">
        <v>831</v>
      </c>
      <c r="B29" s="180" t="s">
        <v>830</v>
      </c>
      <c r="C29" s="252">
        <f>9820000-783-2573</f>
        <v>9816644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  <c r="IV29" s="238"/>
    </row>
    <row r="30" spans="1:256" s="184" customFormat="1" ht="64.5" customHeight="1">
      <c r="A30" s="237" t="s">
        <v>832</v>
      </c>
      <c r="B30" s="180" t="s">
        <v>833</v>
      </c>
      <c r="C30" s="252">
        <f>783+2573</f>
        <v>3356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  <c r="HU30" s="238"/>
      <c r="HV30" s="238"/>
      <c r="HW30" s="238"/>
      <c r="HX30" s="238"/>
      <c r="HY30" s="238"/>
      <c r="HZ30" s="238"/>
      <c r="IA30" s="238"/>
      <c r="IB30" s="238"/>
      <c r="IC30" s="238"/>
      <c r="ID30" s="238"/>
      <c r="IE30" s="238"/>
      <c r="IF30" s="238"/>
      <c r="IG30" s="238"/>
      <c r="IH30" s="238"/>
      <c r="II30" s="238"/>
      <c r="IJ30" s="238"/>
      <c r="IK30" s="238"/>
      <c r="IL30" s="238"/>
      <c r="IM30" s="238"/>
      <c r="IN30" s="238"/>
      <c r="IO30" s="238"/>
      <c r="IP30" s="238"/>
      <c r="IQ30" s="238"/>
      <c r="IR30" s="238"/>
      <c r="IS30" s="238"/>
      <c r="IT30" s="238"/>
      <c r="IU30" s="238"/>
      <c r="IV30" s="238"/>
    </row>
    <row r="31" spans="1:256" s="184" customFormat="1" ht="51" customHeight="1">
      <c r="A31" s="237" t="s">
        <v>834</v>
      </c>
      <c r="B31" s="180" t="s">
        <v>835</v>
      </c>
      <c r="C31" s="252">
        <f>C32</f>
        <v>17646000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  <c r="IV31" s="238"/>
    </row>
    <row r="32" spans="1:256" s="184" customFormat="1" ht="77.25" customHeight="1">
      <c r="A32" s="237" t="s">
        <v>836</v>
      </c>
      <c r="B32" s="180" t="s">
        <v>837</v>
      </c>
      <c r="C32" s="252">
        <f>14067000+3579000-41000+41000</f>
        <v>17646000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  <c r="IV32" s="238"/>
    </row>
    <row r="33" spans="1:256" s="184" customFormat="1" ht="48.75" customHeight="1" hidden="1">
      <c r="A33" s="239" t="s">
        <v>838</v>
      </c>
      <c r="B33" s="185" t="s">
        <v>839</v>
      </c>
      <c r="C33" s="253">
        <f>41000-41000</f>
        <v>0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  <c r="IV33" s="238"/>
    </row>
    <row r="34" spans="1:256" s="186" customFormat="1" ht="33.75" customHeight="1">
      <c r="A34" s="236" t="s">
        <v>840</v>
      </c>
      <c r="B34" s="183" t="s">
        <v>841</v>
      </c>
      <c r="C34" s="250">
        <f>C35+C36</f>
        <v>16377000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240"/>
      <c r="FF34" s="240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240"/>
      <c r="GA34" s="240"/>
      <c r="GB34" s="240"/>
      <c r="GC34" s="240"/>
      <c r="GD34" s="240"/>
      <c r="GE34" s="240"/>
      <c r="GF34" s="240"/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0"/>
      <c r="GU34" s="240"/>
      <c r="GV34" s="240"/>
      <c r="GW34" s="240"/>
      <c r="GX34" s="240"/>
      <c r="GY34" s="240"/>
      <c r="GZ34" s="240"/>
      <c r="HA34" s="240"/>
      <c r="HB34" s="240"/>
      <c r="HC34" s="240"/>
      <c r="HD34" s="240"/>
      <c r="HE34" s="240"/>
      <c r="HF34" s="240"/>
      <c r="HG34" s="240"/>
      <c r="HH34" s="240"/>
      <c r="HI34" s="240"/>
      <c r="HJ34" s="240"/>
      <c r="HK34" s="240"/>
      <c r="HL34" s="240"/>
      <c r="HM34" s="240"/>
      <c r="HN34" s="240"/>
      <c r="HO34" s="240"/>
      <c r="HP34" s="240"/>
      <c r="HQ34" s="240"/>
      <c r="HR34" s="240"/>
      <c r="HS34" s="240"/>
      <c r="HT34" s="240"/>
      <c r="HU34" s="240"/>
      <c r="HV34" s="240"/>
      <c r="HW34" s="240"/>
      <c r="HX34" s="240"/>
      <c r="HY34" s="240"/>
      <c r="HZ34" s="240"/>
      <c r="IA34" s="240"/>
      <c r="IB34" s="240"/>
      <c r="IC34" s="240"/>
      <c r="ID34" s="240"/>
      <c r="IE34" s="240"/>
      <c r="IF34" s="240"/>
      <c r="IG34" s="240"/>
      <c r="IH34" s="240"/>
      <c r="II34" s="240"/>
      <c r="IJ34" s="240"/>
      <c r="IK34" s="240"/>
      <c r="IL34" s="240"/>
      <c r="IM34" s="240"/>
      <c r="IN34" s="240"/>
      <c r="IO34" s="240"/>
      <c r="IP34" s="240"/>
      <c r="IQ34" s="240"/>
      <c r="IR34" s="240"/>
      <c r="IS34" s="240"/>
      <c r="IT34" s="240"/>
      <c r="IU34" s="240"/>
      <c r="IV34" s="240"/>
    </row>
    <row r="35" spans="1:256" s="186" customFormat="1" ht="43.5" customHeight="1">
      <c r="A35" s="237" t="s">
        <v>842</v>
      </c>
      <c r="B35" s="180" t="s">
        <v>843</v>
      </c>
      <c r="C35" s="252">
        <v>16373000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40"/>
      <c r="FP35" s="240"/>
      <c r="FQ35" s="240"/>
      <c r="FR35" s="240"/>
      <c r="FS35" s="240"/>
      <c r="FT35" s="240"/>
      <c r="FU35" s="240"/>
      <c r="FV35" s="240"/>
      <c r="FW35" s="240"/>
      <c r="FX35" s="240"/>
      <c r="FY35" s="240"/>
      <c r="FZ35" s="240"/>
      <c r="GA35" s="240"/>
      <c r="GB35" s="240"/>
      <c r="GC35" s="240"/>
      <c r="GD35" s="240"/>
      <c r="GE35" s="240"/>
      <c r="GF35" s="240"/>
      <c r="GG35" s="240"/>
      <c r="GH35" s="240"/>
      <c r="GI35" s="240"/>
      <c r="GJ35" s="240"/>
      <c r="GK35" s="240"/>
      <c r="GL35" s="240"/>
      <c r="GM35" s="240"/>
      <c r="GN35" s="240"/>
      <c r="GO35" s="240"/>
      <c r="GP35" s="240"/>
      <c r="GQ35" s="240"/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  <c r="HK35" s="240"/>
      <c r="HL35" s="240"/>
      <c r="HM35" s="240"/>
      <c r="HN35" s="240"/>
      <c r="HO35" s="240"/>
      <c r="HP35" s="240"/>
      <c r="HQ35" s="240"/>
      <c r="HR35" s="240"/>
      <c r="HS35" s="240"/>
      <c r="HT35" s="240"/>
      <c r="HU35" s="240"/>
      <c r="HV35" s="240"/>
      <c r="HW35" s="240"/>
      <c r="HX35" s="240"/>
      <c r="HY35" s="240"/>
      <c r="HZ35" s="240"/>
      <c r="IA35" s="240"/>
      <c r="IB35" s="240"/>
      <c r="IC35" s="240"/>
      <c r="ID35" s="240"/>
      <c r="IE35" s="240"/>
      <c r="IF35" s="240"/>
      <c r="IG35" s="240"/>
      <c r="IH35" s="240"/>
      <c r="II35" s="240"/>
      <c r="IJ35" s="240"/>
      <c r="IK35" s="240"/>
      <c r="IL35" s="240"/>
      <c r="IM35" s="240"/>
      <c r="IN35" s="240"/>
      <c r="IO35" s="240"/>
      <c r="IP35" s="240"/>
      <c r="IQ35" s="240"/>
      <c r="IR35" s="240"/>
      <c r="IS35" s="240"/>
      <c r="IT35" s="240"/>
      <c r="IU35" s="240"/>
      <c r="IV35" s="240"/>
    </row>
    <row r="36" spans="1:256" s="186" customFormat="1" ht="46.5" customHeight="1">
      <c r="A36" s="237" t="s">
        <v>844</v>
      </c>
      <c r="B36" s="180" t="s">
        <v>845</v>
      </c>
      <c r="C36" s="252">
        <v>4000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0"/>
      <c r="FK36" s="240"/>
      <c r="FL36" s="240"/>
      <c r="FM36" s="240"/>
      <c r="FN36" s="240"/>
      <c r="FO36" s="240"/>
      <c r="FP36" s="240"/>
      <c r="FQ36" s="240"/>
      <c r="FR36" s="240"/>
      <c r="FS36" s="240"/>
      <c r="FT36" s="240"/>
      <c r="FU36" s="240"/>
      <c r="FV36" s="240"/>
      <c r="FW36" s="240"/>
      <c r="FX36" s="240"/>
      <c r="FY36" s="240"/>
      <c r="FZ36" s="240"/>
      <c r="GA36" s="240"/>
      <c r="GB36" s="240"/>
      <c r="GC36" s="240"/>
      <c r="GD36" s="240"/>
      <c r="GE36" s="240"/>
      <c r="GF36" s="240"/>
      <c r="GG36" s="240"/>
      <c r="GH36" s="240"/>
      <c r="GI36" s="240"/>
      <c r="GJ36" s="240"/>
      <c r="GK36" s="240"/>
      <c r="GL36" s="240"/>
      <c r="GM36" s="240"/>
      <c r="GN36" s="240"/>
      <c r="GO36" s="240"/>
      <c r="GP36" s="240"/>
      <c r="GQ36" s="240"/>
      <c r="GR36" s="240"/>
      <c r="GS36" s="240"/>
      <c r="GT36" s="240"/>
      <c r="GU36" s="240"/>
      <c r="GV36" s="240"/>
      <c r="GW36" s="240"/>
      <c r="GX36" s="240"/>
      <c r="GY36" s="240"/>
      <c r="GZ36" s="240"/>
      <c r="HA36" s="240"/>
      <c r="HB36" s="240"/>
      <c r="HC36" s="240"/>
      <c r="HD36" s="240"/>
      <c r="HE36" s="240"/>
      <c r="HF36" s="240"/>
      <c r="HG36" s="240"/>
      <c r="HH36" s="240"/>
      <c r="HI36" s="240"/>
      <c r="HJ36" s="240"/>
      <c r="HK36" s="240"/>
      <c r="HL36" s="240"/>
      <c r="HM36" s="240"/>
      <c r="HN36" s="240"/>
      <c r="HO36" s="240"/>
      <c r="HP36" s="240"/>
      <c r="HQ36" s="240"/>
      <c r="HR36" s="240"/>
      <c r="HS36" s="240"/>
      <c r="HT36" s="240"/>
      <c r="HU36" s="240"/>
      <c r="HV36" s="240"/>
      <c r="HW36" s="240"/>
      <c r="HX36" s="240"/>
      <c r="HY36" s="240"/>
      <c r="HZ36" s="240"/>
      <c r="IA36" s="240"/>
      <c r="IB36" s="240"/>
      <c r="IC36" s="240"/>
      <c r="ID36" s="240"/>
      <c r="IE36" s="240"/>
      <c r="IF36" s="240"/>
      <c r="IG36" s="240"/>
      <c r="IH36" s="240"/>
      <c r="II36" s="240"/>
      <c r="IJ36" s="240"/>
      <c r="IK36" s="240"/>
      <c r="IL36" s="240"/>
      <c r="IM36" s="240"/>
      <c r="IN36" s="240"/>
      <c r="IO36" s="240"/>
      <c r="IP36" s="240"/>
      <c r="IQ36" s="240"/>
      <c r="IR36" s="240"/>
      <c r="IS36" s="240"/>
      <c r="IT36" s="240"/>
      <c r="IU36" s="240"/>
      <c r="IV36" s="240"/>
    </row>
    <row r="37" spans="1:256" s="186" customFormat="1" ht="37.5" customHeight="1">
      <c r="A37" s="236" t="s">
        <v>846</v>
      </c>
      <c r="B37" s="183" t="s">
        <v>847</v>
      </c>
      <c r="C37" s="250">
        <f>C38</f>
        <v>413000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0"/>
      <c r="FI37" s="240"/>
      <c r="FJ37" s="240"/>
      <c r="FK37" s="240"/>
      <c r="FL37" s="240"/>
      <c r="FM37" s="240"/>
      <c r="FN37" s="240"/>
      <c r="FO37" s="240"/>
      <c r="FP37" s="240"/>
      <c r="FQ37" s="240"/>
      <c r="FR37" s="240"/>
      <c r="FS37" s="240"/>
      <c r="FT37" s="240"/>
      <c r="FU37" s="240"/>
      <c r="FV37" s="240"/>
      <c r="FW37" s="240"/>
      <c r="FX37" s="240"/>
      <c r="FY37" s="240"/>
      <c r="FZ37" s="240"/>
      <c r="GA37" s="240"/>
      <c r="GB37" s="240"/>
      <c r="GC37" s="240"/>
      <c r="GD37" s="240"/>
      <c r="GE37" s="240"/>
      <c r="GF37" s="240"/>
      <c r="GG37" s="240"/>
      <c r="GH37" s="240"/>
      <c r="GI37" s="240"/>
      <c r="GJ37" s="240"/>
      <c r="GK37" s="240"/>
      <c r="GL37" s="240"/>
      <c r="GM37" s="240"/>
      <c r="GN37" s="240"/>
      <c r="GO37" s="240"/>
      <c r="GP37" s="240"/>
      <c r="GQ37" s="240"/>
      <c r="GR37" s="240"/>
      <c r="GS37" s="240"/>
      <c r="GT37" s="240"/>
      <c r="GU37" s="240"/>
      <c r="GV37" s="240"/>
      <c r="GW37" s="240"/>
      <c r="GX37" s="240"/>
      <c r="GY37" s="240"/>
      <c r="GZ37" s="240"/>
      <c r="HA37" s="240"/>
      <c r="HB37" s="240"/>
      <c r="HC37" s="240"/>
      <c r="HD37" s="240"/>
      <c r="HE37" s="240"/>
      <c r="HF37" s="240"/>
      <c r="HG37" s="240"/>
      <c r="HH37" s="240"/>
      <c r="HI37" s="240"/>
      <c r="HJ37" s="240"/>
      <c r="HK37" s="240"/>
      <c r="HL37" s="240"/>
      <c r="HM37" s="240"/>
      <c r="HN37" s="240"/>
      <c r="HO37" s="240"/>
      <c r="HP37" s="240"/>
      <c r="HQ37" s="240"/>
      <c r="HR37" s="240"/>
      <c r="HS37" s="240"/>
      <c r="HT37" s="240"/>
      <c r="HU37" s="240"/>
      <c r="HV37" s="240"/>
      <c r="HW37" s="240"/>
      <c r="HX37" s="240"/>
      <c r="HY37" s="240"/>
      <c r="HZ37" s="240"/>
      <c r="IA37" s="240"/>
      <c r="IB37" s="240"/>
      <c r="IC37" s="240"/>
      <c r="ID37" s="240"/>
      <c r="IE37" s="240"/>
      <c r="IF37" s="240"/>
      <c r="IG37" s="240"/>
      <c r="IH37" s="240"/>
      <c r="II37" s="240"/>
      <c r="IJ37" s="240"/>
      <c r="IK37" s="240"/>
      <c r="IL37" s="240"/>
      <c r="IM37" s="240"/>
      <c r="IN37" s="240"/>
      <c r="IO37" s="240"/>
      <c r="IP37" s="240"/>
      <c r="IQ37" s="240"/>
      <c r="IR37" s="240"/>
      <c r="IS37" s="240"/>
      <c r="IT37" s="240"/>
      <c r="IU37" s="240"/>
      <c r="IV37" s="240"/>
    </row>
    <row r="38" spans="1:256" ht="51.75" customHeight="1">
      <c r="A38" s="237" t="s">
        <v>848</v>
      </c>
      <c r="B38" s="187" t="s">
        <v>849</v>
      </c>
      <c r="C38" s="252">
        <v>413000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  <c r="IV38" s="234"/>
    </row>
    <row r="39" spans="1:256" ht="21" customHeight="1">
      <c r="A39" s="191" t="s">
        <v>850</v>
      </c>
      <c r="B39" s="181" t="s">
        <v>851</v>
      </c>
      <c r="C39" s="249">
        <f>C40+C42</f>
        <v>14489000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  <c r="IM39" s="234"/>
      <c r="IN39" s="234"/>
      <c r="IO39" s="234"/>
      <c r="IP39" s="234"/>
      <c r="IQ39" s="234"/>
      <c r="IR39" s="234"/>
      <c r="IS39" s="234"/>
      <c r="IT39" s="234"/>
      <c r="IU39" s="234"/>
      <c r="IV39" s="234"/>
    </row>
    <row r="40" spans="1:256" ht="24.75" customHeight="1">
      <c r="A40" s="236" t="s">
        <v>852</v>
      </c>
      <c r="B40" s="183" t="s">
        <v>853</v>
      </c>
      <c r="C40" s="250">
        <f>C41</f>
        <v>3720000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234"/>
      <c r="HA40" s="234"/>
      <c r="HB40" s="234"/>
      <c r="HC40" s="234"/>
      <c r="HD40" s="234"/>
      <c r="HE40" s="234"/>
      <c r="HF40" s="234"/>
      <c r="HG40" s="234"/>
      <c r="HH40" s="234"/>
      <c r="HI40" s="234"/>
      <c r="HJ40" s="234"/>
      <c r="HK40" s="234"/>
      <c r="HL40" s="234"/>
      <c r="HM40" s="234"/>
      <c r="HN40" s="234"/>
      <c r="HO40" s="234"/>
      <c r="HP40" s="234"/>
      <c r="HQ40" s="234"/>
      <c r="HR40" s="234"/>
      <c r="HS40" s="234"/>
      <c r="HT40" s="234"/>
      <c r="HU40" s="234"/>
      <c r="HV40" s="234"/>
      <c r="HW40" s="234"/>
      <c r="HX40" s="234"/>
      <c r="HY40" s="234"/>
      <c r="HZ40" s="234"/>
      <c r="IA40" s="234"/>
      <c r="IB40" s="234"/>
      <c r="IC40" s="234"/>
      <c r="ID40" s="234"/>
      <c r="IE40" s="234"/>
      <c r="IF40" s="234"/>
      <c r="IG40" s="234"/>
      <c r="IH40" s="234"/>
      <c r="II40" s="234"/>
      <c r="IJ40" s="234"/>
      <c r="IK40" s="234"/>
      <c r="IL40" s="234"/>
      <c r="IM40" s="234"/>
      <c r="IN40" s="234"/>
      <c r="IO40" s="234"/>
      <c r="IP40" s="234"/>
      <c r="IQ40" s="234"/>
      <c r="IR40" s="234"/>
      <c r="IS40" s="234"/>
      <c r="IT40" s="234"/>
      <c r="IU40" s="234"/>
      <c r="IV40" s="234"/>
    </row>
    <row r="41" spans="1:256" ht="61.5" customHeight="1">
      <c r="A41" s="237" t="s">
        <v>854</v>
      </c>
      <c r="B41" s="188" t="s">
        <v>855</v>
      </c>
      <c r="C41" s="252">
        <v>3720000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34"/>
      <c r="HX41" s="234"/>
      <c r="HY41" s="234"/>
      <c r="HZ41" s="234"/>
      <c r="IA41" s="234"/>
      <c r="IB41" s="234"/>
      <c r="IC41" s="234"/>
      <c r="ID41" s="234"/>
      <c r="IE41" s="234"/>
      <c r="IF41" s="234"/>
      <c r="IG41" s="234"/>
      <c r="IH41" s="234"/>
      <c r="II41" s="234"/>
      <c r="IJ41" s="234"/>
      <c r="IK41" s="234"/>
      <c r="IL41" s="234"/>
      <c r="IM41" s="234"/>
      <c r="IN41" s="234"/>
      <c r="IO41" s="234"/>
      <c r="IP41" s="234"/>
      <c r="IQ41" s="234"/>
      <c r="IR41" s="234"/>
      <c r="IS41" s="234"/>
      <c r="IT41" s="234"/>
      <c r="IU41" s="234"/>
      <c r="IV41" s="234"/>
    </row>
    <row r="42" spans="1:256" ht="22.5" customHeight="1">
      <c r="A42" s="236" t="s">
        <v>856</v>
      </c>
      <c r="B42" s="183" t="s">
        <v>857</v>
      </c>
      <c r="C42" s="250">
        <f>C43+C45</f>
        <v>10769000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234"/>
      <c r="HA42" s="234"/>
      <c r="HB42" s="234"/>
      <c r="HC42" s="234"/>
      <c r="HD42" s="234"/>
      <c r="HE42" s="234"/>
      <c r="HF42" s="234"/>
      <c r="HG42" s="234"/>
      <c r="HH42" s="234"/>
      <c r="HI42" s="234"/>
      <c r="HJ42" s="234"/>
      <c r="HK42" s="234"/>
      <c r="HL42" s="234"/>
      <c r="HM42" s="234"/>
      <c r="HN42" s="234"/>
      <c r="HO42" s="234"/>
      <c r="HP42" s="234"/>
      <c r="HQ42" s="234"/>
      <c r="HR42" s="234"/>
      <c r="HS42" s="234"/>
      <c r="HT42" s="234"/>
      <c r="HU42" s="234"/>
      <c r="HV42" s="234"/>
      <c r="HW42" s="234"/>
      <c r="HX42" s="234"/>
      <c r="HY42" s="234"/>
      <c r="HZ42" s="234"/>
      <c r="IA42" s="234"/>
      <c r="IB42" s="234"/>
      <c r="IC42" s="234"/>
      <c r="ID42" s="234"/>
      <c r="IE42" s="234"/>
      <c r="IF42" s="234"/>
      <c r="IG42" s="234"/>
      <c r="IH42" s="234"/>
      <c r="II42" s="234"/>
      <c r="IJ42" s="234"/>
      <c r="IK42" s="234"/>
      <c r="IL42" s="234"/>
      <c r="IM42" s="234"/>
      <c r="IN42" s="234"/>
      <c r="IO42" s="234"/>
      <c r="IP42" s="234"/>
      <c r="IQ42" s="234"/>
      <c r="IR42" s="234"/>
      <c r="IS42" s="234"/>
      <c r="IT42" s="234"/>
      <c r="IU42" s="234"/>
      <c r="IV42" s="234"/>
    </row>
    <row r="43" spans="1:256" ht="18.75">
      <c r="A43" s="237" t="s">
        <v>858</v>
      </c>
      <c r="B43" s="180" t="s">
        <v>859</v>
      </c>
      <c r="C43" s="252">
        <f>C44</f>
        <v>10583000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234"/>
      <c r="HA43" s="234"/>
      <c r="HB43" s="234"/>
      <c r="HC43" s="234"/>
      <c r="HD43" s="234"/>
      <c r="HE43" s="234"/>
      <c r="HF43" s="234"/>
      <c r="HG43" s="234"/>
      <c r="HH43" s="234"/>
      <c r="HI43" s="234"/>
      <c r="HJ43" s="234"/>
      <c r="HK43" s="234"/>
      <c r="HL43" s="234"/>
      <c r="HM43" s="234"/>
      <c r="HN43" s="234"/>
      <c r="HO43" s="234"/>
      <c r="HP43" s="234"/>
      <c r="HQ43" s="234"/>
      <c r="HR43" s="234"/>
      <c r="HS43" s="234"/>
      <c r="HT43" s="234"/>
      <c r="HU43" s="234"/>
      <c r="HV43" s="234"/>
      <c r="HW43" s="234"/>
      <c r="HX43" s="234"/>
      <c r="HY43" s="234"/>
      <c r="HZ43" s="234"/>
      <c r="IA43" s="234"/>
      <c r="IB43" s="234"/>
      <c r="IC43" s="234"/>
      <c r="ID43" s="234"/>
      <c r="IE43" s="234"/>
      <c r="IF43" s="234"/>
      <c r="IG43" s="234"/>
      <c r="IH43" s="234"/>
      <c r="II43" s="234"/>
      <c r="IJ43" s="234"/>
      <c r="IK43" s="234"/>
      <c r="IL43" s="234"/>
      <c r="IM43" s="234"/>
      <c r="IN43" s="234"/>
      <c r="IO43" s="234"/>
      <c r="IP43" s="234"/>
      <c r="IQ43" s="234"/>
      <c r="IR43" s="234"/>
      <c r="IS43" s="234"/>
      <c r="IT43" s="234"/>
      <c r="IU43" s="234"/>
      <c r="IV43" s="234"/>
    </row>
    <row r="44" spans="1:256" ht="45">
      <c r="A44" s="237" t="s">
        <v>860</v>
      </c>
      <c r="B44" s="180" t="s">
        <v>861</v>
      </c>
      <c r="C44" s="252">
        <v>10583000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234"/>
      <c r="HA44" s="234"/>
      <c r="HB44" s="234"/>
      <c r="HC44" s="234"/>
      <c r="HD44" s="234"/>
      <c r="HE44" s="234"/>
      <c r="HF44" s="234"/>
      <c r="HG44" s="234"/>
      <c r="HH44" s="234"/>
      <c r="HI44" s="234"/>
      <c r="HJ44" s="234"/>
      <c r="HK44" s="234"/>
      <c r="HL44" s="234"/>
      <c r="HM44" s="234"/>
      <c r="HN44" s="234"/>
      <c r="HO44" s="234"/>
      <c r="HP44" s="234"/>
      <c r="HQ44" s="234"/>
      <c r="HR44" s="234"/>
      <c r="HS44" s="234"/>
      <c r="HT44" s="234"/>
      <c r="HU44" s="234"/>
      <c r="HV44" s="234"/>
      <c r="HW44" s="234"/>
      <c r="HX44" s="234"/>
      <c r="HY44" s="234"/>
      <c r="HZ44" s="234"/>
      <c r="IA44" s="234"/>
      <c r="IB44" s="234"/>
      <c r="IC44" s="234"/>
      <c r="ID44" s="234"/>
      <c r="IE44" s="234"/>
      <c r="IF44" s="234"/>
      <c r="IG44" s="234"/>
      <c r="IH44" s="234"/>
      <c r="II44" s="234"/>
      <c r="IJ44" s="234"/>
      <c r="IK44" s="234"/>
      <c r="IL44" s="234"/>
      <c r="IM44" s="234"/>
      <c r="IN44" s="234"/>
      <c r="IO44" s="234"/>
      <c r="IP44" s="234"/>
      <c r="IQ44" s="234"/>
      <c r="IR44" s="234"/>
      <c r="IS44" s="234"/>
      <c r="IT44" s="234"/>
      <c r="IU44" s="234"/>
      <c r="IV44" s="234"/>
    </row>
    <row r="45" spans="1:256" ht="18.75">
      <c r="A45" s="237" t="s">
        <v>862</v>
      </c>
      <c r="B45" s="180" t="s">
        <v>863</v>
      </c>
      <c r="C45" s="252">
        <f>C46</f>
        <v>186000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234"/>
      <c r="HA45" s="234"/>
      <c r="HB45" s="234"/>
      <c r="HC45" s="234"/>
      <c r="HD45" s="234"/>
      <c r="HE45" s="234"/>
      <c r="HF45" s="234"/>
      <c r="HG45" s="234"/>
      <c r="HH45" s="234"/>
      <c r="HI45" s="234"/>
      <c r="HJ45" s="234"/>
      <c r="HK45" s="234"/>
      <c r="HL45" s="234"/>
      <c r="HM45" s="234"/>
      <c r="HN45" s="234"/>
      <c r="HO45" s="234"/>
      <c r="HP45" s="234"/>
      <c r="HQ45" s="234"/>
      <c r="HR45" s="234"/>
      <c r="HS45" s="234"/>
      <c r="HT45" s="234"/>
      <c r="HU45" s="234"/>
      <c r="HV45" s="234"/>
      <c r="HW45" s="234"/>
      <c r="HX45" s="234"/>
      <c r="HY45" s="234"/>
      <c r="HZ45" s="234"/>
      <c r="IA45" s="234"/>
      <c r="IB45" s="234"/>
      <c r="IC45" s="234"/>
      <c r="ID45" s="234"/>
      <c r="IE45" s="234"/>
      <c r="IF45" s="234"/>
      <c r="IG45" s="234"/>
      <c r="IH45" s="234"/>
      <c r="II45" s="234"/>
      <c r="IJ45" s="234"/>
      <c r="IK45" s="234"/>
      <c r="IL45" s="234"/>
      <c r="IM45" s="234"/>
      <c r="IN45" s="234"/>
      <c r="IO45" s="234"/>
      <c r="IP45" s="234"/>
      <c r="IQ45" s="234"/>
      <c r="IR45" s="234"/>
      <c r="IS45" s="234"/>
      <c r="IT45" s="234"/>
      <c r="IU45" s="234"/>
      <c r="IV45" s="234"/>
    </row>
    <row r="46" spans="1:256" ht="50.25" customHeight="1">
      <c r="A46" s="237" t="s">
        <v>864</v>
      </c>
      <c r="B46" s="180" t="s">
        <v>865</v>
      </c>
      <c r="C46" s="252">
        <v>186000</v>
      </c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34"/>
      <c r="FT46" s="234"/>
      <c r="FU46" s="234"/>
      <c r="FV46" s="234"/>
      <c r="FW46" s="234"/>
      <c r="FX46" s="234"/>
      <c r="FY46" s="234"/>
      <c r="FZ46" s="234"/>
      <c r="GA46" s="234"/>
      <c r="GB46" s="234"/>
      <c r="GC46" s="234"/>
      <c r="GD46" s="234"/>
      <c r="GE46" s="234"/>
      <c r="GF46" s="234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234"/>
      <c r="HA46" s="234"/>
      <c r="HB46" s="234"/>
      <c r="HC46" s="234"/>
      <c r="HD46" s="234"/>
      <c r="HE46" s="234"/>
      <c r="HF46" s="234"/>
      <c r="HG46" s="234"/>
      <c r="HH46" s="234"/>
      <c r="HI46" s="234"/>
      <c r="HJ46" s="234"/>
      <c r="HK46" s="234"/>
      <c r="HL46" s="234"/>
      <c r="HM46" s="234"/>
      <c r="HN46" s="234"/>
      <c r="HO46" s="234"/>
      <c r="HP46" s="234"/>
      <c r="HQ46" s="234"/>
      <c r="HR46" s="234"/>
      <c r="HS46" s="234"/>
      <c r="HT46" s="234"/>
      <c r="HU46" s="234"/>
      <c r="HV46" s="234"/>
      <c r="HW46" s="234"/>
      <c r="HX46" s="234"/>
      <c r="HY46" s="234"/>
      <c r="HZ46" s="234"/>
      <c r="IA46" s="234"/>
      <c r="IB46" s="234"/>
      <c r="IC46" s="234"/>
      <c r="ID46" s="234"/>
      <c r="IE46" s="234"/>
      <c r="IF46" s="234"/>
      <c r="IG46" s="234"/>
      <c r="IH46" s="234"/>
      <c r="II46" s="234"/>
      <c r="IJ46" s="234"/>
      <c r="IK46" s="234"/>
      <c r="IL46" s="234"/>
      <c r="IM46" s="234"/>
      <c r="IN46" s="234"/>
      <c r="IO46" s="234"/>
      <c r="IP46" s="234"/>
      <c r="IQ46" s="234"/>
      <c r="IR46" s="234"/>
      <c r="IS46" s="234"/>
      <c r="IT46" s="234"/>
      <c r="IU46" s="234"/>
      <c r="IV46" s="234"/>
    </row>
    <row r="47" spans="1:256" ht="24.75" customHeight="1">
      <c r="A47" s="191" t="s">
        <v>866</v>
      </c>
      <c r="B47" s="181" t="s">
        <v>867</v>
      </c>
      <c r="C47" s="249">
        <f>C48+C50</f>
        <v>6597000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  <c r="IV47" s="234"/>
    </row>
    <row r="48" spans="1:256" ht="54" customHeight="1">
      <c r="A48" s="241" t="s">
        <v>868</v>
      </c>
      <c r="B48" s="189" t="s">
        <v>869</v>
      </c>
      <c r="C48" s="254">
        <f>C49</f>
        <v>6562000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  <c r="IL48" s="234"/>
      <c r="IM48" s="234"/>
      <c r="IN48" s="234"/>
      <c r="IO48" s="234"/>
      <c r="IP48" s="234"/>
      <c r="IQ48" s="234"/>
      <c r="IR48" s="234"/>
      <c r="IS48" s="234"/>
      <c r="IT48" s="234"/>
      <c r="IU48" s="234"/>
      <c r="IV48" s="234"/>
    </row>
    <row r="49" spans="1:256" ht="66.75" customHeight="1">
      <c r="A49" s="237" t="s">
        <v>870</v>
      </c>
      <c r="B49" s="180" t="s">
        <v>871</v>
      </c>
      <c r="C49" s="252">
        <v>6562000</v>
      </c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4"/>
      <c r="GE49" s="234"/>
      <c r="GF49" s="234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234"/>
      <c r="HA49" s="234"/>
      <c r="HB49" s="234"/>
      <c r="HC49" s="234"/>
      <c r="HD49" s="234"/>
      <c r="HE49" s="234"/>
      <c r="HF49" s="234"/>
      <c r="HG49" s="234"/>
      <c r="HH49" s="234"/>
      <c r="HI49" s="234"/>
      <c r="HJ49" s="234"/>
      <c r="HK49" s="234"/>
      <c r="HL49" s="234"/>
      <c r="HM49" s="234"/>
      <c r="HN49" s="234"/>
      <c r="HO49" s="234"/>
      <c r="HP49" s="234"/>
      <c r="HQ49" s="234"/>
      <c r="HR49" s="234"/>
      <c r="HS49" s="234"/>
      <c r="HT49" s="234"/>
      <c r="HU49" s="234"/>
      <c r="HV49" s="234"/>
      <c r="HW49" s="234"/>
      <c r="HX49" s="234"/>
      <c r="HY49" s="234"/>
      <c r="HZ49" s="234"/>
      <c r="IA49" s="234"/>
      <c r="IB49" s="234"/>
      <c r="IC49" s="234"/>
      <c r="ID49" s="234"/>
      <c r="IE49" s="234"/>
      <c r="IF49" s="234"/>
      <c r="IG49" s="234"/>
      <c r="IH49" s="234"/>
      <c r="II49" s="234"/>
      <c r="IJ49" s="234"/>
      <c r="IK49" s="234"/>
      <c r="IL49" s="234"/>
      <c r="IM49" s="234"/>
      <c r="IN49" s="234"/>
      <c r="IO49" s="234"/>
      <c r="IP49" s="234"/>
      <c r="IQ49" s="234"/>
      <c r="IR49" s="234"/>
      <c r="IS49" s="234"/>
      <c r="IT49" s="234"/>
      <c r="IU49" s="234"/>
      <c r="IV49" s="234"/>
    </row>
    <row r="50" spans="1:256" ht="63.75" customHeight="1">
      <c r="A50" s="241" t="s">
        <v>872</v>
      </c>
      <c r="B50" s="189" t="s">
        <v>873</v>
      </c>
      <c r="C50" s="254">
        <f>C51</f>
        <v>35000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  <c r="IM50" s="234"/>
      <c r="IN50" s="234"/>
      <c r="IO50" s="234"/>
      <c r="IP50" s="234"/>
      <c r="IQ50" s="234"/>
      <c r="IR50" s="234"/>
      <c r="IS50" s="234"/>
      <c r="IT50" s="234"/>
      <c r="IU50" s="234"/>
      <c r="IV50" s="234"/>
    </row>
    <row r="51" spans="1:256" ht="37.5" customHeight="1">
      <c r="A51" s="237" t="s">
        <v>874</v>
      </c>
      <c r="B51" s="180" t="s">
        <v>875</v>
      </c>
      <c r="C51" s="252">
        <v>35000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4"/>
      <c r="EJ51" s="234"/>
      <c r="EK51" s="234"/>
      <c r="EL51" s="234"/>
      <c r="EM51" s="234"/>
      <c r="EN51" s="234"/>
      <c r="EO51" s="234"/>
      <c r="EP51" s="234"/>
      <c r="EQ51" s="234"/>
      <c r="ER51" s="234"/>
      <c r="ES51" s="234"/>
      <c r="ET51" s="234"/>
      <c r="EU51" s="234"/>
      <c r="EV51" s="234"/>
      <c r="EW51" s="234"/>
      <c r="EX51" s="234"/>
      <c r="EY51" s="234"/>
      <c r="EZ51" s="234"/>
      <c r="FA51" s="234"/>
      <c r="FB51" s="234"/>
      <c r="FC51" s="234"/>
      <c r="FD51" s="234"/>
      <c r="FE51" s="234"/>
      <c r="FF51" s="234"/>
      <c r="FG51" s="234"/>
      <c r="FH51" s="234"/>
      <c r="FI51" s="234"/>
      <c r="FJ51" s="234"/>
      <c r="FK51" s="234"/>
      <c r="FL51" s="234"/>
      <c r="FM51" s="234"/>
      <c r="FN51" s="234"/>
      <c r="FO51" s="234"/>
      <c r="FP51" s="234"/>
      <c r="FQ51" s="234"/>
      <c r="FR51" s="234"/>
      <c r="FS51" s="234"/>
      <c r="FT51" s="234"/>
      <c r="FU51" s="234"/>
      <c r="FV51" s="234"/>
      <c r="FW51" s="234"/>
      <c r="FX51" s="234"/>
      <c r="FY51" s="234"/>
      <c r="FZ51" s="234"/>
      <c r="GA51" s="234"/>
      <c r="GB51" s="234"/>
      <c r="GC51" s="234"/>
      <c r="GD51" s="234"/>
      <c r="GE51" s="234"/>
      <c r="GF51" s="234"/>
      <c r="GG51" s="234"/>
      <c r="GH51" s="234"/>
      <c r="GI51" s="234"/>
      <c r="GJ51" s="234"/>
      <c r="GK51" s="234"/>
      <c r="GL51" s="234"/>
      <c r="GM51" s="234"/>
      <c r="GN51" s="234"/>
      <c r="GO51" s="234"/>
      <c r="GP51" s="234"/>
      <c r="GQ51" s="234"/>
      <c r="GR51" s="234"/>
      <c r="GS51" s="234"/>
      <c r="GT51" s="234"/>
      <c r="GU51" s="234"/>
      <c r="GV51" s="234"/>
      <c r="GW51" s="234"/>
      <c r="GX51" s="234"/>
      <c r="GY51" s="234"/>
      <c r="GZ51" s="234"/>
      <c r="HA51" s="234"/>
      <c r="HB51" s="234"/>
      <c r="HC51" s="234"/>
      <c r="HD51" s="234"/>
      <c r="HE51" s="234"/>
      <c r="HF51" s="234"/>
      <c r="HG51" s="234"/>
      <c r="HH51" s="234"/>
      <c r="HI51" s="234"/>
      <c r="HJ51" s="234"/>
      <c r="HK51" s="234"/>
      <c r="HL51" s="234"/>
      <c r="HM51" s="234"/>
      <c r="HN51" s="234"/>
      <c r="HO51" s="234"/>
      <c r="HP51" s="234"/>
      <c r="HQ51" s="234"/>
      <c r="HR51" s="234"/>
      <c r="HS51" s="234"/>
      <c r="HT51" s="234"/>
      <c r="HU51" s="234"/>
      <c r="HV51" s="234"/>
      <c r="HW51" s="234"/>
      <c r="HX51" s="234"/>
      <c r="HY51" s="234"/>
      <c r="HZ51" s="234"/>
      <c r="IA51" s="234"/>
      <c r="IB51" s="234"/>
      <c r="IC51" s="234"/>
      <c r="ID51" s="234"/>
      <c r="IE51" s="234"/>
      <c r="IF51" s="234"/>
      <c r="IG51" s="234"/>
      <c r="IH51" s="234"/>
      <c r="II51" s="234"/>
      <c r="IJ51" s="234"/>
      <c r="IK51" s="234"/>
      <c r="IL51" s="234"/>
      <c r="IM51" s="234"/>
      <c r="IN51" s="234"/>
      <c r="IO51" s="234"/>
      <c r="IP51" s="234"/>
      <c r="IQ51" s="234"/>
      <c r="IR51" s="234"/>
      <c r="IS51" s="234"/>
      <c r="IT51" s="234"/>
      <c r="IU51" s="234"/>
      <c r="IV51" s="234"/>
    </row>
    <row r="52" spans="1:256" ht="24.75" customHeight="1">
      <c r="A52" s="191"/>
      <c r="B52" s="190" t="s">
        <v>876</v>
      </c>
      <c r="C52" s="255">
        <f>C53+C67+C73+C82+C86+C104</f>
        <v>142167178.54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4"/>
      <c r="FF52" s="234"/>
      <c r="FG52" s="234"/>
      <c r="FH52" s="234"/>
      <c r="FI52" s="234"/>
      <c r="FJ52" s="234"/>
      <c r="FK52" s="234"/>
      <c r="FL52" s="234"/>
      <c r="FM52" s="234"/>
      <c r="FN52" s="234"/>
      <c r="FO52" s="234"/>
      <c r="FP52" s="234"/>
      <c r="FQ52" s="234"/>
      <c r="FR52" s="234"/>
      <c r="FS52" s="234"/>
      <c r="FT52" s="234"/>
      <c r="FU52" s="234"/>
      <c r="FV52" s="234"/>
      <c r="FW52" s="234"/>
      <c r="FX52" s="234"/>
      <c r="FY52" s="234"/>
      <c r="FZ52" s="234"/>
      <c r="GA52" s="234"/>
      <c r="GB52" s="234"/>
      <c r="GC52" s="234"/>
      <c r="GD52" s="234"/>
      <c r="GE52" s="234"/>
      <c r="GF52" s="234"/>
      <c r="GG52" s="234"/>
      <c r="GH52" s="234"/>
      <c r="GI52" s="234"/>
      <c r="GJ52" s="234"/>
      <c r="GK52" s="234"/>
      <c r="GL52" s="234"/>
      <c r="GM52" s="234"/>
      <c r="GN52" s="234"/>
      <c r="GO52" s="234"/>
      <c r="GP52" s="234"/>
      <c r="GQ52" s="234"/>
      <c r="GR52" s="234"/>
      <c r="GS52" s="234"/>
      <c r="GT52" s="234"/>
      <c r="GU52" s="234"/>
      <c r="GV52" s="234"/>
      <c r="GW52" s="234"/>
      <c r="GX52" s="234"/>
      <c r="GY52" s="234"/>
      <c r="GZ52" s="234"/>
      <c r="HA52" s="234"/>
      <c r="HB52" s="234"/>
      <c r="HC52" s="234"/>
      <c r="HD52" s="234"/>
      <c r="HE52" s="234"/>
      <c r="HF52" s="234"/>
      <c r="HG52" s="234"/>
      <c r="HH52" s="234"/>
      <c r="HI52" s="234"/>
      <c r="HJ52" s="234"/>
      <c r="HK52" s="234"/>
      <c r="HL52" s="234"/>
      <c r="HM52" s="234"/>
      <c r="HN52" s="234"/>
      <c r="HO52" s="234"/>
      <c r="HP52" s="234"/>
      <c r="HQ52" s="234"/>
      <c r="HR52" s="234"/>
      <c r="HS52" s="234"/>
      <c r="HT52" s="234"/>
      <c r="HU52" s="234"/>
      <c r="HV52" s="234"/>
      <c r="HW52" s="234"/>
      <c r="HX52" s="234"/>
      <c r="HY52" s="234"/>
      <c r="HZ52" s="234"/>
      <c r="IA52" s="234"/>
      <c r="IB52" s="234"/>
      <c r="IC52" s="234"/>
      <c r="ID52" s="234"/>
      <c r="IE52" s="234"/>
      <c r="IF52" s="234"/>
      <c r="IG52" s="234"/>
      <c r="IH52" s="234"/>
      <c r="II52" s="234"/>
      <c r="IJ52" s="234"/>
      <c r="IK52" s="234"/>
      <c r="IL52" s="234"/>
      <c r="IM52" s="234"/>
      <c r="IN52" s="234"/>
      <c r="IO52" s="234"/>
      <c r="IP52" s="234"/>
      <c r="IQ52" s="234"/>
      <c r="IR52" s="234"/>
      <c r="IS52" s="234"/>
      <c r="IT52" s="234"/>
      <c r="IU52" s="234"/>
      <c r="IV52" s="234"/>
    </row>
    <row r="53" spans="1:256" ht="47.25">
      <c r="A53" s="191" t="s">
        <v>877</v>
      </c>
      <c r="B53" s="192" t="s">
        <v>878</v>
      </c>
      <c r="C53" s="249">
        <f>C54+C61+C64</f>
        <v>108675862.53999999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4"/>
      <c r="FR53" s="234"/>
      <c r="FS53" s="234"/>
      <c r="FT53" s="234"/>
      <c r="FU53" s="234"/>
      <c r="FV53" s="234"/>
      <c r="FW53" s="234"/>
      <c r="FX53" s="234"/>
      <c r="FY53" s="234"/>
      <c r="FZ53" s="234"/>
      <c r="GA53" s="234"/>
      <c r="GB53" s="234"/>
      <c r="GC53" s="234"/>
      <c r="GD53" s="234"/>
      <c r="GE53" s="234"/>
      <c r="GF53" s="234"/>
      <c r="GG53" s="234"/>
      <c r="GH53" s="234"/>
      <c r="GI53" s="234"/>
      <c r="GJ53" s="234"/>
      <c r="GK53" s="234"/>
      <c r="GL53" s="234"/>
      <c r="GM53" s="234"/>
      <c r="GN53" s="234"/>
      <c r="GO53" s="234"/>
      <c r="GP53" s="234"/>
      <c r="GQ53" s="234"/>
      <c r="GR53" s="234"/>
      <c r="GS53" s="234"/>
      <c r="GT53" s="234"/>
      <c r="GU53" s="234"/>
      <c r="GV53" s="234"/>
      <c r="GW53" s="234"/>
      <c r="GX53" s="234"/>
      <c r="GY53" s="234"/>
      <c r="GZ53" s="234"/>
      <c r="HA53" s="234"/>
      <c r="HB53" s="234"/>
      <c r="HC53" s="234"/>
      <c r="HD53" s="234"/>
      <c r="HE53" s="234"/>
      <c r="HF53" s="234"/>
      <c r="HG53" s="234"/>
      <c r="HH53" s="234"/>
      <c r="HI53" s="234"/>
      <c r="HJ53" s="234"/>
      <c r="HK53" s="234"/>
      <c r="HL53" s="234"/>
      <c r="HM53" s="234"/>
      <c r="HN53" s="234"/>
      <c r="HO53" s="234"/>
      <c r="HP53" s="234"/>
      <c r="HQ53" s="234"/>
      <c r="HR53" s="234"/>
      <c r="HS53" s="234"/>
      <c r="HT53" s="234"/>
      <c r="HU53" s="234"/>
      <c r="HV53" s="234"/>
      <c r="HW53" s="234"/>
      <c r="HX53" s="234"/>
      <c r="HY53" s="234"/>
      <c r="HZ53" s="234"/>
      <c r="IA53" s="234"/>
      <c r="IB53" s="234"/>
      <c r="IC53" s="234"/>
      <c r="ID53" s="234"/>
      <c r="IE53" s="234"/>
      <c r="IF53" s="234"/>
      <c r="IG53" s="234"/>
      <c r="IH53" s="234"/>
      <c r="II53" s="234"/>
      <c r="IJ53" s="234"/>
      <c r="IK53" s="234"/>
      <c r="IL53" s="234"/>
      <c r="IM53" s="234"/>
      <c r="IN53" s="234"/>
      <c r="IO53" s="234"/>
      <c r="IP53" s="234"/>
      <c r="IQ53" s="234"/>
      <c r="IR53" s="234"/>
      <c r="IS53" s="234"/>
      <c r="IT53" s="234"/>
      <c r="IU53" s="234"/>
      <c r="IV53" s="234"/>
    </row>
    <row r="54" spans="1:256" ht="142.5" customHeight="1">
      <c r="A54" s="236" t="s">
        <v>879</v>
      </c>
      <c r="B54" s="193" t="s">
        <v>880</v>
      </c>
      <c r="C54" s="250">
        <f>C55+C57+C59</f>
        <v>29008791.43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34"/>
      <c r="GC54" s="234"/>
      <c r="GD54" s="234"/>
      <c r="GE54" s="234"/>
      <c r="GF54" s="234"/>
      <c r="GG54" s="234"/>
      <c r="GH54" s="234"/>
      <c r="GI54" s="234"/>
      <c r="GJ54" s="234"/>
      <c r="GK54" s="234"/>
      <c r="GL54" s="234"/>
      <c r="GM54" s="234"/>
      <c r="GN54" s="234"/>
      <c r="GO54" s="234"/>
      <c r="GP54" s="234"/>
      <c r="GQ54" s="234"/>
      <c r="GR54" s="234"/>
      <c r="GS54" s="234"/>
      <c r="GT54" s="234"/>
      <c r="GU54" s="234"/>
      <c r="GV54" s="234"/>
      <c r="GW54" s="234"/>
      <c r="GX54" s="234"/>
      <c r="GY54" s="234"/>
      <c r="GZ54" s="234"/>
      <c r="HA54" s="234"/>
      <c r="HB54" s="234"/>
      <c r="HC54" s="234"/>
      <c r="HD54" s="234"/>
      <c r="HE54" s="234"/>
      <c r="HF54" s="234"/>
      <c r="HG54" s="234"/>
      <c r="HH54" s="234"/>
      <c r="HI54" s="234"/>
      <c r="HJ54" s="234"/>
      <c r="HK54" s="234"/>
      <c r="HL54" s="234"/>
      <c r="HM54" s="234"/>
      <c r="HN54" s="234"/>
      <c r="HO54" s="234"/>
      <c r="HP54" s="234"/>
      <c r="HQ54" s="234"/>
      <c r="HR54" s="234"/>
      <c r="HS54" s="234"/>
      <c r="HT54" s="234"/>
      <c r="HU54" s="234"/>
      <c r="HV54" s="234"/>
      <c r="HW54" s="234"/>
      <c r="HX54" s="234"/>
      <c r="HY54" s="234"/>
      <c r="HZ54" s="234"/>
      <c r="IA54" s="234"/>
      <c r="IB54" s="234"/>
      <c r="IC54" s="234"/>
      <c r="ID54" s="234"/>
      <c r="IE54" s="234"/>
      <c r="IF54" s="234"/>
      <c r="IG54" s="234"/>
      <c r="IH54" s="234"/>
      <c r="II54" s="234"/>
      <c r="IJ54" s="234"/>
      <c r="IK54" s="234"/>
      <c r="IL54" s="234"/>
      <c r="IM54" s="234"/>
      <c r="IN54" s="234"/>
      <c r="IO54" s="234"/>
      <c r="IP54" s="234"/>
      <c r="IQ54" s="234"/>
      <c r="IR54" s="234"/>
      <c r="IS54" s="234"/>
      <c r="IT54" s="234"/>
      <c r="IU54" s="234"/>
      <c r="IV54" s="234"/>
    </row>
    <row r="55" spans="1:256" ht="81.75" customHeight="1">
      <c r="A55" s="237" t="s">
        <v>881</v>
      </c>
      <c r="B55" s="180" t="s">
        <v>882</v>
      </c>
      <c r="C55" s="252">
        <f>C56</f>
        <v>13456058.95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4"/>
      <c r="DJ55" s="234"/>
      <c r="DK55" s="234"/>
      <c r="DL55" s="234"/>
      <c r="DM55" s="234"/>
      <c r="DN55" s="234"/>
      <c r="DO55" s="234"/>
      <c r="DP55" s="234"/>
      <c r="DQ55" s="234"/>
      <c r="DR55" s="234"/>
      <c r="DS55" s="234"/>
      <c r="DT55" s="234"/>
      <c r="DU55" s="234"/>
      <c r="DV55" s="234"/>
      <c r="DW55" s="234"/>
      <c r="DX55" s="234"/>
      <c r="DY55" s="234"/>
      <c r="DZ55" s="234"/>
      <c r="EA55" s="234"/>
      <c r="EB55" s="234"/>
      <c r="EC55" s="234"/>
      <c r="ED55" s="234"/>
      <c r="EE55" s="234"/>
      <c r="EF55" s="234"/>
      <c r="EG55" s="234"/>
      <c r="EH55" s="234"/>
      <c r="EI55" s="234"/>
      <c r="EJ55" s="234"/>
      <c r="EK55" s="234"/>
      <c r="EL55" s="234"/>
      <c r="EM55" s="234"/>
      <c r="EN55" s="234"/>
      <c r="EO55" s="234"/>
      <c r="EP55" s="234"/>
      <c r="EQ55" s="234"/>
      <c r="ER55" s="234"/>
      <c r="ES55" s="234"/>
      <c r="ET55" s="234"/>
      <c r="EU55" s="234"/>
      <c r="EV55" s="234"/>
      <c r="EW55" s="234"/>
      <c r="EX55" s="234"/>
      <c r="EY55" s="234"/>
      <c r="EZ55" s="234"/>
      <c r="FA55" s="234"/>
      <c r="FB55" s="234"/>
      <c r="FC55" s="234"/>
      <c r="FD55" s="234"/>
      <c r="FE55" s="234"/>
      <c r="FF55" s="234"/>
      <c r="FG55" s="234"/>
      <c r="FH55" s="234"/>
      <c r="FI55" s="234"/>
      <c r="FJ55" s="234"/>
      <c r="FK55" s="234"/>
      <c r="FL55" s="234"/>
      <c r="FM55" s="234"/>
      <c r="FN55" s="234"/>
      <c r="FO55" s="234"/>
      <c r="FP55" s="234"/>
      <c r="FQ55" s="234"/>
      <c r="FR55" s="234"/>
      <c r="FS55" s="234"/>
      <c r="FT55" s="234"/>
      <c r="FU55" s="234"/>
      <c r="FV55" s="234"/>
      <c r="FW55" s="234"/>
      <c r="FX55" s="234"/>
      <c r="FY55" s="234"/>
      <c r="FZ55" s="234"/>
      <c r="GA55" s="234"/>
      <c r="GB55" s="234"/>
      <c r="GC55" s="234"/>
      <c r="GD55" s="234"/>
      <c r="GE55" s="234"/>
      <c r="GF55" s="234"/>
      <c r="GG55" s="234"/>
      <c r="GH55" s="234"/>
      <c r="GI55" s="234"/>
      <c r="GJ55" s="234"/>
      <c r="GK55" s="234"/>
      <c r="GL55" s="234"/>
      <c r="GM55" s="234"/>
      <c r="GN55" s="234"/>
      <c r="GO55" s="234"/>
      <c r="GP55" s="234"/>
      <c r="GQ55" s="234"/>
      <c r="GR55" s="234"/>
      <c r="GS55" s="234"/>
      <c r="GT55" s="234"/>
      <c r="GU55" s="234"/>
      <c r="GV55" s="234"/>
      <c r="GW55" s="234"/>
      <c r="GX55" s="234"/>
      <c r="GY55" s="234"/>
      <c r="GZ55" s="234"/>
      <c r="HA55" s="234"/>
      <c r="HB55" s="234"/>
      <c r="HC55" s="234"/>
      <c r="HD55" s="234"/>
      <c r="HE55" s="234"/>
      <c r="HF55" s="234"/>
      <c r="HG55" s="234"/>
      <c r="HH55" s="234"/>
      <c r="HI55" s="234"/>
      <c r="HJ55" s="234"/>
      <c r="HK55" s="234"/>
      <c r="HL55" s="234"/>
      <c r="HM55" s="234"/>
      <c r="HN55" s="234"/>
      <c r="HO55" s="234"/>
      <c r="HP55" s="234"/>
      <c r="HQ55" s="234"/>
      <c r="HR55" s="234"/>
      <c r="HS55" s="234"/>
      <c r="HT55" s="234"/>
      <c r="HU55" s="234"/>
      <c r="HV55" s="234"/>
      <c r="HW55" s="234"/>
      <c r="HX55" s="234"/>
      <c r="HY55" s="234"/>
      <c r="HZ55" s="234"/>
      <c r="IA55" s="234"/>
      <c r="IB55" s="234"/>
      <c r="IC55" s="234"/>
      <c r="ID55" s="234"/>
      <c r="IE55" s="234"/>
      <c r="IF55" s="234"/>
      <c r="IG55" s="234"/>
      <c r="IH55" s="234"/>
      <c r="II55" s="234"/>
      <c r="IJ55" s="234"/>
      <c r="IK55" s="234"/>
      <c r="IL55" s="234"/>
      <c r="IM55" s="234"/>
      <c r="IN55" s="234"/>
      <c r="IO55" s="234"/>
      <c r="IP55" s="234"/>
      <c r="IQ55" s="234"/>
      <c r="IR55" s="234"/>
      <c r="IS55" s="234"/>
      <c r="IT55" s="234"/>
      <c r="IU55" s="234"/>
      <c r="IV55" s="234"/>
    </row>
    <row r="56" spans="1:256" ht="109.5" customHeight="1">
      <c r="A56" s="237" t="s">
        <v>883</v>
      </c>
      <c r="B56" s="194" t="s">
        <v>738</v>
      </c>
      <c r="C56" s="252">
        <v>13456058.95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  <c r="DK56" s="234"/>
      <c r="DL56" s="23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  <c r="EV56" s="234"/>
      <c r="EW56" s="234"/>
      <c r="EX56" s="234"/>
      <c r="EY56" s="234"/>
      <c r="EZ56" s="234"/>
      <c r="FA56" s="234"/>
      <c r="FB56" s="234"/>
      <c r="FC56" s="234"/>
      <c r="FD56" s="234"/>
      <c r="FE56" s="234"/>
      <c r="FF56" s="234"/>
      <c r="FG56" s="234"/>
      <c r="FH56" s="234"/>
      <c r="FI56" s="234"/>
      <c r="FJ56" s="234"/>
      <c r="FK56" s="234"/>
      <c r="FL56" s="234"/>
      <c r="FM56" s="234"/>
      <c r="FN56" s="234"/>
      <c r="FO56" s="234"/>
      <c r="FP56" s="234"/>
      <c r="FQ56" s="234"/>
      <c r="FR56" s="234"/>
      <c r="FS56" s="234"/>
      <c r="FT56" s="234"/>
      <c r="FU56" s="234"/>
      <c r="FV56" s="234"/>
      <c r="FW56" s="234"/>
      <c r="FX56" s="234"/>
      <c r="FY56" s="234"/>
      <c r="FZ56" s="234"/>
      <c r="GA56" s="234"/>
      <c r="GB56" s="234"/>
      <c r="GC56" s="234"/>
      <c r="GD56" s="234"/>
      <c r="GE56" s="234"/>
      <c r="GF56" s="234"/>
      <c r="GG56" s="234"/>
      <c r="GH56" s="234"/>
      <c r="GI56" s="234"/>
      <c r="GJ56" s="234"/>
      <c r="GK56" s="234"/>
      <c r="GL56" s="234"/>
      <c r="GM56" s="234"/>
      <c r="GN56" s="234"/>
      <c r="GO56" s="234"/>
      <c r="GP56" s="234"/>
      <c r="GQ56" s="234"/>
      <c r="GR56" s="234"/>
      <c r="GS56" s="234"/>
      <c r="GT56" s="234"/>
      <c r="GU56" s="234"/>
      <c r="GV56" s="234"/>
      <c r="GW56" s="234"/>
      <c r="GX56" s="234"/>
      <c r="GY56" s="234"/>
      <c r="GZ56" s="234"/>
      <c r="HA56" s="234"/>
      <c r="HB56" s="234"/>
      <c r="HC56" s="234"/>
      <c r="HD56" s="234"/>
      <c r="HE56" s="234"/>
      <c r="HF56" s="234"/>
      <c r="HG56" s="234"/>
      <c r="HH56" s="234"/>
      <c r="HI56" s="234"/>
      <c r="HJ56" s="234"/>
      <c r="HK56" s="234"/>
      <c r="HL56" s="234"/>
      <c r="HM56" s="234"/>
      <c r="HN56" s="234"/>
      <c r="HO56" s="234"/>
      <c r="HP56" s="234"/>
      <c r="HQ56" s="234"/>
      <c r="HR56" s="234"/>
      <c r="HS56" s="234"/>
      <c r="HT56" s="234"/>
      <c r="HU56" s="234"/>
      <c r="HV56" s="234"/>
      <c r="HW56" s="234"/>
      <c r="HX56" s="234"/>
      <c r="HY56" s="234"/>
      <c r="HZ56" s="234"/>
      <c r="IA56" s="234"/>
      <c r="IB56" s="234"/>
      <c r="IC56" s="234"/>
      <c r="ID56" s="234"/>
      <c r="IE56" s="234"/>
      <c r="IF56" s="234"/>
      <c r="IG56" s="234"/>
      <c r="IH56" s="234"/>
      <c r="II56" s="234"/>
      <c r="IJ56" s="234"/>
      <c r="IK56" s="234"/>
      <c r="IL56" s="234"/>
      <c r="IM56" s="234"/>
      <c r="IN56" s="234"/>
      <c r="IO56" s="234"/>
      <c r="IP56" s="234"/>
      <c r="IQ56" s="234"/>
      <c r="IR56" s="234"/>
      <c r="IS56" s="234"/>
      <c r="IT56" s="234"/>
      <c r="IU56" s="234"/>
      <c r="IV56" s="234"/>
    </row>
    <row r="57" spans="1:256" ht="113.25" customHeight="1">
      <c r="A57" s="237" t="s">
        <v>884</v>
      </c>
      <c r="B57" s="180" t="s">
        <v>885</v>
      </c>
      <c r="C57" s="252">
        <f>C58</f>
        <v>2839119.52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4"/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4"/>
      <c r="DY57" s="234"/>
      <c r="DZ57" s="234"/>
      <c r="EA57" s="234"/>
      <c r="EB57" s="234"/>
      <c r="EC57" s="234"/>
      <c r="ED57" s="234"/>
      <c r="EE57" s="234"/>
      <c r="EF57" s="234"/>
      <c r="EG57" s="234"/>
      <c r="EH57" s="234"/>
      <c r="EI57" s="234"/>
      <c r="EJ57" s="234"/>
      <c r="EK57" s="234"/>
      <c r="EL57" s="234"/>
      <c r="EM57" s="234"/>
      <c r="EN57" s="234"/>
      <c r="EO57" s="234"/>
      <c r="EP57" s="234"/>
      <c r="EQ57" s="234"/>
      <c r="ER57" s="234"/>
      <c r="ES57" s="234"/>
      <c r="ET57" s="234"/>
      <c r="EU57" s="234"/>
      <c r="EV57" s="234"/>
      <c r="EW57" s="234"/>
      <c r="EX57" s="234"/>
      <c r="EY57" s="234"/>
      <c r="EZ57" s="234"/>
      <c r="FA57" s="234"/>
      <c r="FB57" s="234"/>
      <c r="FC57" s="234"/>
      <c r="FD57" s="234"/>
      <c r="FE57" s="234"/>
      <c r="FF57" s="234"/>
      <c r="FG57" s="234"/>
      <c r="FH57" s="234"/>
      <c r="FI57" s="234"/>
      <c r="FJ57" s="234"/>
      <c r="FK57" s="234"/>
      <c r="FL57" s="234"/>
      <c r="FM57" s="234"/>
      <c r="FN57" s="234"/>
      <c r="FO57" s="234"/>
      <c r="FP57" s="234"/>
      <c r="FQ57" s="234"/>
      <c r="FR57" s="234"/>
      <c r="FS57" s="234"/>
      <c r="FT57" s="234"/>
      <c r="FU57" s="234"/>
      <c r="FV57" s="234"/>
      <c r="FW57" s="234"/>
      <c r="FX57" s="234"/>
      <c r="FY57" s="234"/>
      <c r="FZ57" s="234"/>
      <c r="GA57" s="234"/>
      <c r="GB57" s="234"/>
      <c r="GC57" s="234"/>
      <c r="GD57" s="234"/>
      <c r="GE57" s="234"/>
      <c r="GF57" s="234"/>
      <c r="GG57" s="234"/>
      <c r="GH57" s="234"/>
      <c r="GI57" s="234"/>
      <c r="GJ57" s="234"/>
      <c r="GK57" s="234"/>
      <c r="GL57" s="234"/>
      <c r="GM57" s="234"/>
      <c r="GN57" s="234"/>
      <c r="GO57" s="234"/>
      <c r="GP57" s="234"/>
      <c r="GQ57" s="234"/>
      <c r="GR57" s="234"/>
      <c r="GS57" s="234"/>
      <c r="GT57" s="234"/>
      <c r="GU57" s="234"/>
      <c r="GV57" s="234"/>
      <c r="GW57" s="234"/>
      <c r="GX57" s="234"/>
      <c r="GY57" s="234"/>
      <c r="GZ57" s="234"/>
      <c r="HA57" s="234"/>
      <c r="HB57" s="234"/>
      <c r="HC57" s="234"/>
      <c r="HD57" s="234"/>
      <c r="HE57" s="234"/>
      <c r="HF57" s="234"/>
      <c r="HG57" s="234"/>
      <c r="HH57" s="234"/>
      <c r="HI57" s="234"/>
      <c r="HJ57" s="234"/>
      <c r="HK57" s="234"/>
      <c r="HL57" s="234"/>
      <c r="HM57" s="234"/>
      <c r="HN57" s="234"/>
      <c r="HO57" s="234"/>
      <c r="HP57" s="234"/>
      <c r="HQ57" s="234"/>
      <c r="HR57" s="234"/>
      <c r="HS57" s="234"/>
      <c r="HT57" s="234"/>
      <c r="HU57" s="234"/>
      <c r="HV57" s="234"/>
      <c r="HW57" s="234"/>
      <c r="HX57" s="234"/>
      <c r="HY57" s="234"/>
      <c r="HZ57" s="234"/>
      <c r="IA57" s="234"/>
      <c r="IB57" s="234"/>
      <c r="IC57" s="234"/>
      <c r="ID57" s="234"/>
      <c r="IE57" s="234"/>
      <c r="IF57" s="234"/>
      <c r="IG57" s="234"/>
      <c r="IH57" s="234"/>
      <c r="II57" s="234"/>
      <c r="IJ57" s="234"/>
      <c r="IK57" s="234"/>
      <c r="IL57" s="234"/>
      <c r="IM57" s="234"/>
      <c r="IN57" s="234"/>
      <c r="IO57" s="234"/>
      <c r="IP57" s="234"/>
      <c r="IQ57" s="234"/>
      <c r="IR57" s="234"/>
      <c r="IS57" s="234"/>
      <c r="IT57" s="234"/>
      <c r="IU57" s="234"/>
      <c r="IV57" s="234"/>
    </row>
    <row r="58" spans="1:256" ht="103.5" customHeight="1">
      <c r="A58" s="237" t="s">
        <v>886</v>
      </c>
      <c r="B58" s="194" t="s">
        <v>740</v>
      </c>
      <c r="C58" s="252">
        <v>2839119.52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34"/>
      <c r="DJ58" s="234"/>
      <c r="DK58" s="234"/>
      <c r="DL58" s="234"/>
      <c r="DM58" s="234"/>
      <c r="DN58" s="234"/>
      <c r="DO58" s="234"/>
      <c r="DP58" s="234"/>
      <c r="DQ58" s="234"/>
      <c r="DR58" s="234"/>
      <c r="DS58" s="234"/>
      <c r="DT58" s="234"/>
      <c r="DU58" s="234"/>
      <c r="DV58" s="234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4"/>
      <c r="EJ58" s="234"/>
      <c r="EK58" s="234"/>
      <c r="EL58" s="234"/>
      <c r="EM58" s="234"/>
      <c r="EN58" s="234"/>
      <c r="EO58" s="234"/>
      <c r="EP58" s="234"/>
      <c r="EQ58" s="234"/>
      <c r="ER58" s="234"/>
      <c r="ES58" s="234"/>
      <c r="ET58" s="234"/>
      <c r="EU58" s="234"/>
      <c r="EV58" s="234"/>
      <c r="EW58" s="234"/>
      <c r="EX58" s="234"/>
      <c r="EY58" s="234"/>
      <c r="EZ58" s="234"/>
      <c r="FA58" s="234"/>
      <c r="FB58" s="234"/>
      <c r="FC58" s="234"/>
      <c r="FD58" s="234"/>
      <c r="FE58" s="234"/>
      <c r="FF58" s="234"/>
      <c r="FG58" s="234"/>
      <c r="FH58" s="234"/>
      <c r="FI58" s="234"/>
      <c r="FJ58" s="234"/>
      <c r="FK58" s="234"/>
      <c r="FL58" s="234"/>
      <c r="FM58" s="234"/>
      <c r="FN58" s="234"/>
      <c r="FO58" s="234"/>
      <c r="FP58" s="234"/>
      <c r="FQ58" s="234"/>
      <c r="FR58" s="234"/>
      <c r="FS58" s="234"/>
      <c r="FT58" s="234"/>
      <c r="FU58" s="234"/>
      <c r="FV58" s="234"/>
      <c r="FW58" s="234"/>
      <c r="FX58" s="234"/>
      <c r="FY58" s="234"/>
      <c r="FZ58" s="234"/>
      <c r="GA58" s="234"/>
      <c r="GB58" s="234"/>
      <c r="GC58" s="234"/>
      <c r="GD58" s="234"/>
      <c r="GE58" s="234"/>
      <c r="GF58" s="234"/>
      <c r="GG58" s="234"/>
      <c r="GH58" s="234"/>
      <c r="GI58" s="234"/>
      <c r="GJ58" s="234"/>
      <c r="GK58" s="234"/>
      <c r="GL58" s="234"/>
      <c r="GM58" s="234"/>
      <c r="GN58" s="234"/>
      <c r="GO58" s="234"/>
      <c r="GP58" s="234"/>
      <c r="GQ58" s="234"/>
      <c r="GR58" s="234"/>
      <c r="GS58" s="234"/>
      <c r="GT58" s="234"/>
      <c r="GU58" s="234"/>
      <c r="GV58" s="234"/>
      <c r="GW58" s="234"/>
      <c r="GX58" s="234"/>
      <c r="GY58" s="234"/>
      <c r="GZ58" s="234"/>
      <c r="HA58" s="234"/>
      <c r="HB58" s="234"/>
      <c r="HC58" s="234"/>
      <c r="HD58" s="234"/>
      <c r="HE58" s="234"/>
      <c r="HF58" s="234"/>
      <c r="HG58" s="234"/>
      <c r="HH58" s="234"/>
      <c r="HI58" s="234"/>
      <c r="HJ58" s="234"/>
      <c r="HK58" s="234"/>
      <c r="HL58" s="234"/>
      <c r="HM58" s="234"/>
      <c r="HN58" s="234"/>
      <c r="HO58" s="234"/>
      <c r="HP58" s="234"/>
      <c r="HQ58" s="234"/>
      <c r="HR58" s="234"/>
      <c r="HS58" s="234"/>
      <c r="HT58" s="234"/>
      <c r="HU58" s="234"/>
      <c r="HV58" s="234"/>
      <c r="HW58" s="234"/>
      <c r="HX58" s="234"/>
      <c r="HY58" s="234"/>
      <c r="HZ58" s="234"/>
      <c r="IA58" s="234"/>
      <c r="IB58" s="234"/>
      <c r="IC58" s="234"/>
      <c r="ID58" s="234"/>
      <c r="IE58" s="234"/>
      <c r="IF58" s="234"/>
      <c r="IG58" s="234"/>
      <c r="IH58" s="234"/>
      <c r="II58" s="234"/>
      <c r="IJ58" s="234"/>
      <c r="IK58" s="234"/>
      <c r="IL58" s="234"/>
      <c r="IM58" s="234"/>
      <c r="IN58" s="234"/>
      <c r="IO58" s="234"/>
      <c r="IP58" s="234"/>
      <c r="IQ58" s="234"/>
      <c r="IR58" s="234"/>
      <c r="IS58" s="234"/>
      <c r="IT58" s="234"/>
      <c r="IU58" s="234"/>
      <c r="IV58" s="234"/>
    </row>
    <row r="59" spans="1:256" ht="58.5" customHeight="1">
      <c r="A59" s="237" t="s">
        <v>887</v>
      </c>
      <c r="B59" s="194" t="s">
        <v>888</v>
      </c>
      <c r="C59" s="252">
        <f>C60</f>
        <v>12713612.96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  <c r="DK59" s="234"/>
      <c r="DL59" s="234"/>
      <c r="DM59" s="234"/>
      <c r="DN59" s="234"/>
      <c r="DO59" s="234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  <c r="EQ59" s="234"/>
      <c r="ER59" s="234"/>
      <c r="ES59" s="234"/>
      <c r="ET59" s="234"/>
      <c r="EU59" s="234"/>
      <c r="EV59" s="234"/>
      <c r="EW59" s="234"/>
      <c r="EX59" s="234"/>
      <c r="EY59" s="234"/>
      <c r="EZ59" s="234"/>
      <c r="FA59" s="234"/>
      <c r="FB59" s="234"/>
      <c r="FC59" s="234"/>
      <c r="FD59" s="234"/>
      <c r="FE59" s="234"/>
      <c r="FF59" s="234"/>
      <c r="FG59" s="234"/>
      <c r="FH59" s="234"/>
      <c r="FI59" s="234"/>
      <c r="FJ59" s="234"/>
      <c r="FK59" s="234"/>
      <c r="FL59" s="234"/>
      <c r="FM59" s="234"/>
      <c r="FN59" s="234"/>
      <c r="FO59" s="234"/>
      <c r="FP59" s="234"/>
      <c r="FQ59" s="234"/>
      <c r="FR59" s="234"/>
      <c r="FS59" s="234"/>
      <c r="FT59" s="234"/>
      <c r="FU59" s="234"/>
      <c r="FV59" s="234"/>
      <c r="FW59" s="234"/>
      <c r="FX59" s="234"/>
      <c r="FY59" s="234"/>
      <c r="FZ59" s="234"/>
      <c r="GA59" s="234"/>
      <c r="GB59" s="234"/>
      <c r="GC59" s="234"/>
      <c r="GD59" s="234"/>
      <c r="GE59" s="234"/>
      <c r="GF59" s="234"/>
      <c r="GG59" s="234"/>
      <c r="GH59" s="234"/>
      <c r="GI59" s="234"/>
      <c r="GJ59" s="234"/>
      <c r="GK59" s="234"/>
      <c r="GL59" s="234"/>
      <c r="GM59" s="234"/>
      <c r="GN59" s="234"/>
      <c r="GO59" s="234"/>
      <c r="GP59" s="234"/>
      <c r="GQ59" s="234"/>
      <c r="GR59" s="234"/>
      <c r="GS59" s="234"/>
      <c r="GT59" s="234"/>
      <c r="GU59" s="234"/>
      <c r="GV59" s="234"/>
      <c r="GW59" s="234"/>
      <c r="GX59" s="234"/>
      <c r="GY59" s="234"/>
      <c r="GZ59" s="234"/>
      <c r="HA59" s="234"/>
      <c r="HB59" s="234"/>
      <c r="HC59" s="234"/>
      <c r="HD59" s="234"/>
      <c r="HE59" s="234"/>
      <c r="HF59" s="234"/>
      <c r="HG59" s="234"/>
      <c r="HH59" s="234"/>
      <c r="HI59" s="234"/>
      <c r="HJ59" s="234"/>
      <c r="HK59" s="234"/>
      <c r="HL59" s="234"/>
      <c r="HM59" s="234"/>
      <c r="HN59" s="234"/>
      <c r="HO59" s="234"/>
      <c r="HP59" s="234"/>
      <c r="HQ59" s="234"/>
      <c r="HR59" s="234"/>
      <c r="HS59" s="234"/>
      <c r="HT59" s="234"/>
      <c r="HU59" s="234"/>
      <c r="HV59" s="234"/>
      <c r="HW59" s="234"/>
      <c r="HX59" s="234"/>
      <c r="HY59" s="234"/>
      <c r="HZ59" s="234"/>
      <c r="IA59" s="234"/>
      <c r="IB59" s="234"/>
      <c r="IC59" s="234"/>
      <c r="ID59" s="234"/>
      <c r="IE59" s="234"/>
      <c r="IF59" s="234"/>
      <c r="IG59" s="234"/>
      <c r="IH59" s="234"/>
      <c r="II59" s="234"/>
      <c r="IJ59" s="234"/>
      <c r="IK59" s="234"/>
      <c r="IL59" s="234"/>
      <c r="IM59" s="234"/>
      <c r="IN59" s="234"/>
      <c r="IO59" s="234"/>
      <c r="IP59" s="234"/>
      <c r="IQ59" s="234"/>
      <c r="IR59" s="234"/>
      <c r="IS59" s="234"/>
      <c r="IT59" s="234"/>
      <c r="IU59" s="234"/>
      <c r="IV59" s="234"/>
    </row>
    <row r="60" spans="1:256" ht="48.75" customHeight="1">
      <c r="A60" s="237" t="s">
        <v>889</v>
      </c>
      <c r="B60" s="194" t="s">
        <v>744</v>
      </c>
      <c r="C60" s="252">
        <v>12713612.96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4"/>
      <c r="DZ60" s="234"/>
      <c r="EA60" s="234"/>
      <c r="EB60" s="234"/>
      <c r="EC60" s="234"/>
      <c r="ED60" s="234"/>
      <c r="EE60" s="234"/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  <c r="ES60" s="234"/>
      <c r="ET60" s="234"/>
      <c r="EU60" s="234"/>
      <c r="EV60" s="234"/>
      <c r="EW60" s="234"/>
      <c r="EX60" s="234"/>
      <c r="EY60" s="234"/>
      <c r="EZ60" s="234"/>
      <c r="FA60" s="234"/>
      <c r="FB60" s="234"/>
      <c r="FC60" s="234"/>
      <c r="FD60" s="234"/>
      <c r="FE60" s="234"/>
      <c r="FF60" s="234"/>
      <c r="FG60" s="234"/>
      <c r="FH60" s="234"/>
      <c r="FI60" s="234"/>
      <c r="FJ60" s="234"/>
      <c r="FK60" s="234"/>
      <c r="FL60" s="234"/>
      <c r="FM60" s="234"/>
      <c r="FN60" s="234"/>
      <c r="FO60" s="234"/>
      <c r="FP60" s="234"/>
      <c r="FQ60" s="234"/>
      <c r="FR60" s="234"/>
      <c r="FS60" s="234"/>
      <c r="FT60" s="234"/>
      <c r="FU60" s="234"/>
      <c r="FV60" s="234"/>
      <c r="FW60" s="234"/>
      <c r="FX60" s="234"/>
      <c r="FY60" s="234"/>
      <c r="FZ60" s="234"/>
      <c r="GA60" s="234"/>
      <c r="GB60" s="234"/>
      <c r="GC60" s="234"/>
      <c r="GD60" s="234"/>
      <c r="GE60" s="234"/>
      <c r="GF60" s="234"/>
      <c r="GG60" s="234"/>
      <c r="GH60" s="234"/>
      <c r="GI60" s="234"/>
      <c r="GJ60" s="234"/>
      <c r="GK60" s="234"/>
      <c r="GL60" s="234"/>
      <c r="GM60" s="234"/>
      <c r="GN60" s="234"/>
      <c r="GO60" s="234"/>
      <c r="GP60" s="234"/>
      <c r="GQ60" s="234"/>
      <c r="GR60" s="234"/>
      <c r="GS60" s="234"/>
      <c r="GT60" s="234"/>
      <c r="GU60" s="234"/>
      <c r="GV60" s="234"/>
      <c r="GW60" s="234"/>
      <c r="GX60" s="234"/>
      <c r="GY60" s="234"/>
      <c r="GZ60" s="234"/>
      <c r="HA60" s="234"/>
      <c r="HB60" s="234"/>
      <c r="HC60" s="234"/>
      <c r="HD60" s="234"/>
      <c r="HE60" s="234"/>
      <c r="HF60" s="234"/>
      <c r="HG60" s="234"/>
      <c r="HH60" s="234"/>
      <c r="HI60" s="234"/>
      <c r="HJ60" s="234"/>
      <c r="HK60" s="234"/>
      <c r="HL60" s="234"/>
      <c r="HM60" s="234"/>
      <c r="HN60" s="234"/>
      <c r="HO60" s="234"/>
      <c r="HP60" s="234"/>
      <c r="HQ60" s="234"/>
      <c r="HR60" s="234"/>
      <c r="HS60" s="234"/>
      <c r="HT60" s="234"/>
      <c r="HU60" s="234"/>
      <c r="HV60" s="234"/>
      <c r="HW60" s="234"/>
      <c r="HX60" s="234"/>
      <c r="HY60" s="234"/>
      <c r="HZ60" s="234"/>
      <c r="IA60" s="234"/>
      <c r="IB60" s="234"/>
      <c r="IC60" s="234"/>
      <c r="ID60" s="234"/>
      <c r="IE60" s="234"/>
      <c r="IF60" s="234"/>
      <c r="IG60" s="234"/>
      <c r="IH60" s="234"/>
      <c r="II60" s="234"/>
      <c r="IJ60" s="234"/>
      <c r="IK60" s="234"/>
      <c r="IL60" s="234"/>
      <c r="IM60" s="234"/>
      <c r="IN60" s="234"/>
      <c r="IO60" s="234"/>
      <c r="IP60" s="234"/>
      <c r="IQ60" s="234"/>
      <c r="IR60" s="234"/>
      <c r="IS60" s="234"/>
      <c r="IT60" s="234"/>
      <c r="IU60" s="234"/>
      <c r="IV60" s="234"/>
    </row>
    <row r="61" spans="1:256" ht="33.75" customHeight="1">
      <c r="A61" s="236" t="s">
        <v>890</v>
      </c>
      <c r="B61" s="182" t="s">
        <v>891</v>
      </c>
      <c r="C61" s="250">
        <f>C62</f>
        <v>1425060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DU61" s="234"/>
      <c r="DV61" s="234"/>
      <c r="DW61" s="234"/>
      <c r="DX61" s="234"/>
      <c r="DY61" s="234"/>
      <c r="DZ61" s="234"/>
      <c r="EA61" s="234"/>
      <c r="EB61" s="234"/>
      <c r="EC61" s="234"/>
      <c r="ED61" s="234"/>
      <c r="EE61" s="234"/>
      <c r="EF61" s="234"/>
      <c r="EG61" s="234"/>
      <c r="EH61" s="234"/>
      <c r="EI61" s="234"/>
      <c r="EJ61" s="234"/>
      <c r="EK61" s="234"/>
      <c r="EL61" s="234"/>
      <c r="EM61" s="234"/>
      <c r="EN61" s="234"/>
      <c r="EO61" s="234"/>
      <c r="EP61" s="234"/>
      <c r="EQ61" s="234"/>
      <c r="ER61" s="234"/>
      <c r="ES61" s="234"/>
      <c r="ET61" s="234"/>
      <c r="EU61" s="234"/>
      <c r="EV61" s="234"/>
      <c r="EW61" s="234"/>
      <c r="EX61" s="234"/>
      <c r="EY61" s="234"/>
      <c r="EZ61" s="234"/>
      <c r="FA61" s="234"/>
      <c r="FB61" s="234"/>
      <c r="FC61" s="234"/>
      <c r="FD61" s="234"/>
      <c r="FE61" s="234"/>
      <c r="FF61" s="234"/>
      <c r="FG61" s="234"/>
      <c r="FH61" s="234"/>
      <c r="FI61" s="234"/>
      <c r="FJ61" s="234"/>
      <c r="FK61" s="234"/>
      <c r="FL61" s="234"/>
      <c r="FM61" s="234"/>
      <c r="FN61" s="234"/>
      <c r="FO61" s="234"/>
      <c r="FP61" s="234"/>
      <c r="FQ61" s="234"/>
      <c r="FR61" s="234"/>
      <c r="FS61" s="234"/>
      <c r="FT61" s="234"/>
      <c r="FU61" s="234"/>
      <c r="FV61" s="234"/>
      <c r="FW61" s="234"/>
      <c r="FX61" s="234"/>
      <c r="FY61" s="234"/>
      <c r="FZ61" s="234"/>
      <c r="GA61" s="234"/>
      <c r="GB61" s="234"/>
      <c r="GC61" s="234"/>
      <c r="GD61" s="234"/>
      <c r="GE61" s="234"/>
      <c r="GF61" s="234"/>
      <c r="GG61" s="234"/>
      <c r="GH61" s="234"/>
      <c r="GI61" s="234"/>
      <c r="GJ61" s="234"/>
      <c r="GK61" s="234"/>
      <c r="GL61" s="234"/>
      <c r="GM61" s="234"/>
      <c r="GN61" s="234"/>
      <c r="GO61" s="234"/>
      <c r="GP61" s="234"/>
      <c r="GQ61" s="234"/>
      <c r="GR61" s="234"/>
      <c r="GS61" s="234"/>
      <c r="GT61" s="234"/>
      <c r="GU61" s="234"/>
      <c r="GV61" s="234"/>
      <c r="GW61" s="234"/>
      <c r="GX61" s="234"/>
      <c r="GY61" s="234"/>
      <c r="GZ61" s="234"/>
      <c r="HA61" s="234"/>
      <c r="HB61" s="234"/>
      <c r="HC61" s="234"/>
      <c r="HD61" s="234"/>
      <c r="HE61" s="234"/>
      <c r="HF61" s="234"/>
      <c r="HG61" s="234"/>
      <c r="HH61" s="234"/>
      <c r="HI61" s="234"/>
      <c r="HJ61" s="234"/>
      <c r="HK61" s="234"/>
      <c r="HL61" s="234"/>
      <c r="HM61" s="234"/>
      <c r="HN61" s="234"/>
      <c r="HO61" s="234"/>
      <c r="HP61" s="234"/>
      <c r="HQ61" s="234"/>
      <c r="HR61" s="234"/>
      <c r="HS61" s="234"/>
      <c r="HT61" s="234"/>
      <c r="HU61" s="234"/>
      <c r="HV61" s="234"/>
      <c r="HW61" s="234"/>
      <c r="HX61" s="234"/>
      <c r="HY61" s="234"/>
      <c r="HZ61" s="234"/>
      <c r="IA61" s="234"/>
      <c r="IB61" s="234"/>
      <c r="IC61" s="234"/>
      <c r="ID61" s="234"/>
      <c r="IE61" s="234"/>
      <c r="IF61" s="234"/>
      <c r="IG61" s="234"/>
      <c r="IH61" s="234"/>
      <c r="II61" s="234"/>
      <c r="IJ61" s="234"/>
      <c r="IK61" s="234"/>
      <c r="IL61" s="234"/>
      <c r="IM61" s="234"/>
      <c r="IN61" s="234"/>
      <c r="IO61" s="234"/>
      <c r="IP61" s="234"/>
      <c r="IQ61" s="234"/>
      <c r="IR61" s="234"/>
      <c r="IS61" s="234"/>
      <c r="IT61" s="234"/>
      <c r="IU61" s="234"/>
      <c r="IV61" s="234"/>
    </row>
    <row r="62" spans="1:256" ht="65.25" customHeight="1">
      <c r="A62" s="237" t="s">
        <v>892</v>
      </c>
      <c r="B62" s="180" t="s">
        <v>893</v>
      </c>
      <c r="C62" s="252">
        <f>C63</f>
        <v>1425060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4"/>
      <c r="FX62" s="234"/>
      <c r="FY62" s="234"/>
      <c r="FZ62" s="234"/>
      <c r="GA62" s="234"/>
      <c r="GB62" s="234"/>
      <c r="GC62" s="234"/>
      <c r="GD62" s="234"/>
      <c r="GE62" s="234"/>
      <c r="GF62" s="234"/>
      <c r="GG62" s="234"/>
      <c r="GH62" s="234"/>
      <c r="GI62" s="234"/>
      <c r="GJ62" s="234"/>
      <c r="GK62" s="234"/>
      <c r="GL62" s="234"/>
      <c r="GM62" s="234"/>
      <c r="GN62" s="234"/>
      <c r="GO62" s="234"/>
      <c r="GP62" s="234"/>
      <c r="GQ62" s="234"/>
      <c r="GR62" s="234"/>
      <c r="GS62" s="234"/>
      <c r="GT62" s="234"/>
      <c r="GU62" s="234"/>
      <c r="GV62" s="234"/>
      <c r="GW62" s="234"/>
      <c r="GX62" s="234"/>
      <c r="GY62" s="234"/>
      <c r="GZ62" s="234"/>
      <c r="HA62" s="234"/>
      <c r="HB62" s="234"/>
      <c r="HC62" s="234"/>
      <c r="HD62" s="234"/>
      <c r="HE62" s="234"/>
      <c r="HF62" s="234"/>
      <c r="HG62" s="234"/>
      <c r="HH62" s="234"/>
      <c r="HI62" s="234"/>
      <c r="HJ62" s="234"/>
      <c r="HK62" s="234"/>
      <c r="HL62" s="234"/>
      <c r="HM62" s="234"/>
      <c r="HN62" s="234"/>
      <c r="HO62" s="234"/>
      <c r="HP62" s="234"/>
      <c r="HQ62" s="234"/>
      <c r="HR62" s="234"/>
      <c r="HS62" s="234"/>
      <c r="HT62" s="234"/>
      <c r="HU62" s="234"/>
      <c r="HV62" s="234"/>
      <c r="HW62" s="234"/>
      <c r="HX62" s="234"/>
      <c r="HY62" s="234"/>
      <c r="HZ62" s="234"/>
      <c r="IA62" s="234"/>
      <c r="IB62" s="234"/>
      <c r="IC62" s="234"/>
      <c r="ID62" s="234"/>
      <c r="IE62" s="234"/>
      <c r="IF62" s="234"/>
      <c r="IG62" s="234"/>
      <c r="IH62" s="234"/>
      <c r="II62" s="234"/>
      <c r="IJ62" s="234"/>
      <c r="IK62" s="234"/>
      <c r="IL62" s="234"/>
      <c r="IM62" s="234"/>
      <c r="IN62" s="234"/>
      <c r="IO62" s="234"/>
      <c r="IP62" s="234"/>
      <c r="IQ62" s="234"/>
      <c r="IR62" s="234"/>
      <c r="IS62" s="234"/>
      <c r="IT62" s="234"/>
      <c r="IU62" s="234"/>
      <c r="IV62" s="234"/>
    </row>
    <row r="63" spans="1:256" ht="81" customHeight="1">
      <c r="A63" s="237" t="s">
        <v>894</v>
      </c>
      <c r="B63" s="195" t="s">
        <v>724</v>
      </c>
      <c r="C63" s="252">
        <f>45900+425060+1000000-45900</f>
        <v>1425060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  <c r="IO63" s="234"/>
      <c r="IP63" s="234"/>
      <c r="IQ63" s="234"/>
      <c r="IR63" s="234"/>
      <c r="IS63" s="234"/>
      <c r="IT63" s="234"/>
      <c r="IU63" s="234"/>
      <c r="IV63" s="234"/>
    </row>
    <row r="64" spans="1:256" ht="128.25" customHeight="1">
      <c r="A64" s="236" t="s">
        <v>895</v>
      </c>
      <c r="B64" s="182" t="s">
        <v>896</v>
      </c>
      <c r="C64" s="250">
        <f>C65</f>
        <v>78242011.11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  <c r="IR64" s="234"/>
      <c r="IS64" s="234"/>
      <c r="IT64" s="234"/>
      <c r="IU64" s="234"/>
      <c r="IV64" s="234"/>
    </row>
    <row r="65" spans="1:256" ht="105" customHeight="1">
      <c r="A65" s="237" t="s">
        <v>897</v>
      </c>
      <c r="B65" s="180" t="s">
        <v>898</v>
      </c>
      <c r="C65" s="252">
        <f>C66</f>
        <v>78242011.11</v>
      </c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234"/>
      <c r="ER65" s="234"/>
      <c r="ES65" s="234"/>
      <c r="ET65" s="234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 s="234"/>
      <c r="FF65" s="234"/>
      <c r="FG65" s="234"/>
      <c r="FH65" s="234"/>
      <c r="FI65" s="234"/>
      <c r="FJ65" s="234"/>
      <c r="FK65" s="234"/>
      <c r="FL65" s="234"/>
      <c r="FM65" s="234"/>
      <c r="FN65" s="234"/>
      <c r="FO65" s="234"/>
      <c r="FP65" s="234"/>
      <c r="FQ65" s="234"/>
      <c r="FR65" s="234"/>
      <c r="FS65" s="234"/>
      <c r="FT65" s="234"/>
      <c r="FU65" s="234"/>
      <c r="FV65" s="234"/>
      <c r="FW65" s="234"/>
      <c r="FX65" s="234"/>
      <c r="FY65" s="234"/>
      <c r="FZ65" s="234"/>
      <c r="GA65" s="234"/>
      <c r="GB65" s="234"/>
      <c r="GC65" s="234"/>
      <c r="GD65" s="234"/>
      <c r="GE65" s="234"/>
      <c r="GF65" s="234"/>
      <c r="GG65" s="234"/>
      <c r="GH65" s="234"/>
      <c r="GI65" s="234"/>
      <c r="GJ65" s="234"/>
      <c r="GK65" s="234"/>
      <c r="GL65" s="234"/>
      <c r="GM65" s="234"/>
      <c r="GN65" s="234"/>
      <c r="GO65" s="234"/>
      <c r="GP65" s="234"/>
      <c r="GQ65" s="234"/>
      <c r="GR65" s="234"/>
      <c r="GS65" s="234"/>
      <c r="GT65" s="234"/>
      <c r="GU65" s="234"/>
      <c r="GV65" s="234"/>
      <c r="GW65" s="234"/>
      <c r="GX65" s="234"/>
      <c r="GY65" s="234"/>
      <c r="GZ65" s="234"/>
      <c r="HA65" s="234"/>
      <c r="HB65" s="234"/>
      <c r="HC65" s="234"/>
      <c r="HD65" s="234"/>
      <c r="HE65" s="234"/>
      <c r="HF65" s="234"/>
      <c r="HG65" s="234"/>
      <c r="HH65" s="234"/>
      <c r="HI65" s="234"/>
      <c r="HJ65" s="234"/>
      <c r="HK65" s="234"/>
      <c r="HL65" s="234"/>
      <c r="HM65" s="234"/>
      <c r="HN65" s="234"/>
      <c r="HO65" s="234"/>
      <c r="HP65" s="234"/>
      <c r="HQ65" s="234"/>
      <c r="HR65" s="234"/>
      <c r="HS65" s="234"/>
      <c r="HT65" s="234"/>
      <c r="HU65" s="234"/>
      <c r="HV65" s="234"/>
      <c r="HW65" s="234"/>
      <c r="HX65" s="234"/>
      <c r="HY65" s="234"/>
      <c r="HZ65" s="234"/>
      <c r="IA65" s="234"/>
      <c r="IB65" s="234"/>
      <c r="IC65" s="234"/>
      <c r="ID65" s="234"/>
      <c r="IE65" s="234"/>
      <c r="IF65" s="234"/>
      <c r="IG65" s="234"/>
      <c r="IH65" s="234"/>
      <c r="II65" s="234"/>
      <c r="IJ65" s="234"/>
      <c r="IK65" s="234"/>
      <c r="IL65" s="234"/>
      <c r="IM65" s="234"/>
      <c r="IN65" s="234"/>
      <c r="IO65" s="234"/>
      <c r="IP65" s="234"/>
      <c r="IQ65" s="234"/>
      <c r="IR65" s="234"/>
      <c r="IS65" s="234"/>
      <c r="IT65" s="234"/>
      <c r="IU65" s="234"/>
      <c r="IV65" s="234"/>
    </row>
    <row r="66" spans="1:256" ht="93.75" customHeight="1">
      <c r="A66" s="237" t="s">
        <v>899</v>
      </c>
      <c r="B66" s="195" t="s">
        <v>746</v>
      </c>
      <c r="C66" s="252">
        <f>40248858.36+18507000+21940187.08-2454034.33</f>
        <v>78242011.11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  <c r="DK66" s="234"/>
      <c r="DL66" s="234"/>
      <c r="DM66" s="234"/>
      <c r="DN66" s="234"/>
      <c r="DO66" s="234"/>
      <c r="DP66" s="234"/>
      <c r="DQ66" s="234"/>
      <c r="DR66" s="234"/>
      <c r="DS66" s="234"/>
      <c r="DT66" s="234"/>
      <c r="DU66" s="234"/>
      <c r="DV66" s="234"/>
      <c r="DW66" s="234"/>
      <c r="DX66" s="234"/>
      <c r="DY66" s="234"/>
      <c r="DZ66" s="234"/>
      <c r="EA66" s="234"/>
      <c r="EB66" s="234"/>
      <c r="EC66" s="234"/>
      <c r="ED66" s="234"/>
      <c r="EE66" s="234"/>
      <c r="EF66" s="234"/>
      <c r="EG66" s="234"/>
      <c r="EH66" s="234"/>
      <c r="EI66" s="234"/>
      <c r="EJ66" s="234"/>
      <c r="EK66" s="234"/>
      <c r="EL66" s="234"/>
      <c r="EM66" s="234"/>
      <c r="EN66" s="234"/>
      <c r="EO66" s="234"/>
      <c r="EP66" s="234"/>
      <c r="EQ66" s="234"/>
      <c r="ER66" s="234"/>
      <c r="ES66" s="234"/>
      <c r="ET66" s="234"/>
      <c r="EU66" s="234"/>
      <c r="EV66" s="234"/>
      <c r="EW66" s="234"/>
      <c r="EX66" s="234"/>
      <c r="EY66" s="234"/>
      <c r="EZ66" s="234"/>
      <c r="FA66" s="234"/>
      <c r="FB66" s="234"/>
      <c r="FC66" s="234"/>
      <c r="FD66" s="234"/>
      <c r="FE66" s="234"/>
      <c r="FF66" s="234"/>
      <c r="FG66" s="234"/>
      <c r="FH66" s="234"/>
      <c r="FI66" s="234"/>
      <c r="FJ66" s="234"/>
      <c r="FK66" s="234"/>
      <c r="FL66" s="234"/>
      <c r="FM66" s="234"/>
      <c r="FN66" s="234"/>
      <c r="FO66" s="234"/>
      <c r="FP66" s="234"/>
      <c r="FQ66" s="234"/>
      <c r="FR66" s="234"/>
      <c r="FS66" s="234"/>
      <c r="FT66" s="234"/>
      <c r="FU66" s="234"/>
      <c r="FV66" s="234"/>
      <c r="FW66" s="234"/>
      <c r="FX66" s="234"/>
      <c r="FY66" s="234"/>
      <c r="FZ66" s="234"/>
      <c r="GA66" s="234"/>
      <c r="GB66" s="234"/>
      <c r="GC66" s="234"/>
      <c r="GD66" s="234"/>
      <c r="GE66" s="234"/>
      <c r="GF66" s="234"/>
      <c r="GG66" s="234"/>
      <c r="GH66" s="234"/>
      <c r="GI66" s="234"/>
      <c r="GJ66" s="234"/>
      <c r="GK66" s="234"/>
      <c r="GL66" s="234"/>
      <c r="GM66" s="234"/>
      <c r="GN66" s="234"/>
      <c r="GO66" s="234"/>
      <c r="GP66" s="234"/>
      <c r="GQ66" s="234"/>
      <c r="GR66" s="234"/>
      <c r="GS66" s="234"/>
      <c r="GT66" s="234"/>
      <c r="GU66" s="234"/>
      <c r="GV66" s="234"/>
      <c r="GW66" s="234"/>
      <c r="GX66" s="234"/>
      <c r="GY66" s="234"/>
      <c r="GZ66" s="234"/>
      <c r="HA66" s="234"/>
      <c r="HB66" s="234"/>
      <c r="HC66" s="234"/>
      <c r="HD66" s="234"/>
      <c r="HE66" s="234"/>
      <c r="HF66" s="234"/>
      <c r="HG66" s="234"/>
      <c r="HH66" s="234"/>
      <c r="HI66" s="234"/>
      <c r="HJ66" s="234"/>
      <c r="HK66" s="234"/>
      <c r="HL66" s="234"/>
      <c r="HM66" s="234"/>
      <c r="HN66" s="234"/>
      <c r="HO66" s="234"/>
      <c r="HP66" s="234"/>
      <c r="HQ66" s="234"/>
      <c r="HR66" s="234"/>
      <c r="HS66" s="234"/>
      <c r="HT66" s="234"/>
      <c r="HU66" s="234"/>
      <c r="HV66" s="234"/>
      <c r="HW66" s="234"/>
      <c r="HX66" s="234"/>
      <c r="HY66" s="234"/>
      <c r="HZ66" s="234"/>
      <c r="IA66" s="234"/>
      <c r="IB66" s="234"/>
      <c r="IC66" s="234"/>
      <c r="ID66" s="234"/>
      <c r="IE66" s="234"/>
      <c r="IF66" s="234"/>
      <c r="IG66" s="234"/>
      <c r="IH66" s="234"/>
      <c r="II66" s="234"/>
      <c r="IJ66" s="234"/>
      <c r="IK66" s="234"/>
      <c r="IL66" s="234"/>
      <c r="IM66" s="234"/>
      <c r="IN66" s="234"/>
      <c r="IO66" s="234"/>
      <c r="IP66" s="234"/>
      <c r="IQ66" s="234"/>
      <c r="IR66" s="234"/>
      <c r="IS66" s="234"/>
      <c r="IT66" s="234"/>
      <c r="IU66" s="234"/>
      <c r="IV66" s="234"/>
    </row>
    <row r="67" spans="1:256" ht="35.25" customHeight="1">
      <c r="A67" s="191" t="s">
        <v>900</v>
      </c>
      <c r="B67" s="196" t="s">
        <v>901</v>
      </c>
      <c r="C67" s="249">
        <f>C68</f>
        <v>1194000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234"/>
      <c r="ER67" s="234"/>
      <c r="ES67" s="234"/>
      <c r="ET67" s="234"/>
      <c r="EU67" s="234"/>
      <c r="EV67" s="234"/>
      <c r="EW67" s="234"/>
      <c r="EX67" s="234"/>
      <c r="EY67" s="234"/>
      <c r="EZ67" s="234"/>
      <c r="FA67" s="234"/>
      <c r="FB67" s="234"/>
      <c r="FC67" s="234"/>
      <c r="FD67" s="234"/>
      <c r="FE67" s="234"/>
      <c r="FF67" s="234"/>
      <c r="FG67" s="234"/>
      <c r="FH67" s="234"/>
      <c r="FI67" s="234"/>
      <c r="FJ67" s="234"/>
      <c r="FK67" s="234"/>
      <c r="FL67" s="234"/>
      <c r="FM67" s="234"/>
      <c r="FN67" s="234"/>
      <c r="FO67" s="234"/>
      <c r="FP67" s="234"/>
      <c r="FQ67" s="234"/>
      <c r="FR67" s="234"/>
      <c r="FS67" s="234"/>
      <c r="FT67" s="234"/>
      <c r="FU67" s="234"/>
      <c r="FV67" s="234"/>
      <c r="FW67" s="234"/>
      <c r="FX67" s="234"/>
      <c r="FY67" s="234"/>
      <c r="FZ67" s="234"/>
      <c r="GA67" s="234"/>
      <c r="GB67" s="234"/>
      <c r="GC67" s="234"/>
      <c r="GD67" s="234"/>
      <c r="GE67" s="234"/>
      <c r="GF67" s="234"/>
      <c r="GG67" s="234"/>
      <c r="GH67" s="234"/>
      <c r="GI67" s="234"/>
      <c r="GJ67" s="234"/>
      <c r="GK67" s="234"/>
      <c r="GL67" s="234"/>
      <c r="GM67" s="234"/>
      <c r="GN67" s="234"/>
      <c r="GO67" s="234"/>
      <c r="GP67" s="234"/>
      <c r="GQ67" s="234"/>
      <c r="GR67" s="234"/>
      <c r="GS67" s="234"/>
      <c r="GT67" s="234"/>
      <c r="GU67" s="234"/>
      <c r="GV67" s="234"/>
      <c r="GW67" s="234"/>
      <c r="GX67" s="234"/>
      <c r="GY67" s="234"/>
      <c r="GZ67" s="234"/>
      <c r="HA67" s="234"/>
      <c r="HB67" s="234"/>
      <c r="HC67" s="234"/>
      <c r="HD67" s="234"/>
      <c r="HE67" s="234"/>
      <c r="HF67" s="234"/>
      <c r="HG67" s="234"/>
      <c r="HH67" s="234"/>
      <c r="HI67" s="234"/>
      <c r="HJ67" s="234"/>
      <c r="HK67" s="234"/>
      <c r="HL67" s="234"/>
      <c r="HM67" s="234"/>
      <c r="HN67" s="234"/>
      <c r="HO67" s="234"/>
      <c r="HP67" s="234"/>
      <c r="HQ67" s="234"/>
      <c r="HR67" s="234"/>
      <c r="HS67" s="234"/>
      <c r="HT67" s="234"/>
      <c r="HU67" s="234"/>
      <c r="HV67" s="234"/>
      <c r="HW67" s="234"/>
      <c r="HX67" s="234"/>
      <c r="HY67" s="234"/>
      <c r="HZ67" s="234"/>
      <c r="IA67" s="234"/>
      <c r="IB67" s="234"/>
      <c r="IC67" s="234"/>
      <c r="ID67" s="234"/>
      <c r="IE67" s="234"/>
      <c r="IF67" s="234"/>
      <c r="IG67" s="234"/>
      <c r="IH67" s="234"/>
      <c r="II67" s="234"/>
      <c r="IJ67" s="234"/>
      <c r="IK67" s="234"/>
      <c r="IL67" s="234"/>
      <c r="IM67" s="234"/>
      <c r="IN67" s="234"/>
      <c r="IO67" s="234"/>
      <c r="IP67" s="234"/>
      <c r="IQ67" s="234"/>
      <c r="IR67" s="234"/>
      <c r="IS67" s="234"/>
      <c r="IT67" s="234"/>
      <c r="IU67" s="234"/>
      <c r="IV67" s="234"/>
    </row>
    <row r="68" spans="1:256" ht="35.25" customHeight="1">
      <c r="A68" s="236" t="s">
        <v>902</v>
      </c>
      <c r="B68" s="197" t="s">
        <v>903</v>
      </c>
      <c r="C68" s="250">
        <f>C69+C70+C71+C72</f>
        <v>1194000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  <c r="IM68" s="234"/>
      <c r="IN68" s="234"/>
      <c r="IO68" s="234"/>
      <c r="IP68" s="234"/>
      <c r="IQ68" s="234"/>
      <c r="IR68" s="234"/>
      <c r="IS68" s="234"/>
      <c r="IT68" s="234"/>
      <c r="IU68" s="234"/>
      <c r="IV68" s="234"/>
    </row>
    <row r="69" spans="1:256" ht="42.75" customHeight="1">
      <c r="A69" s="237" t="s">
        <v>904</v>
      </c>
      <c r="B69" s="180" t="s">
        <v>905</v>
      </c>
      <c r="C69" s="252">
        <f>14000+14020+2400</f>
        <v>30420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4"/>
      <c r="EC69" s="234"/>
      <c r="ED69" s="234"/>
      <c r="EE69" s="234"/>
      <c r="EF69" s="234"/>
      <c r="EG69" s="234"/>
      <c r="EH69" s="234"/>
      <c r="EI69" s="234"/>
      <c r="EJ69" s="234"/>
      <c r="EK69" s="234"/>
      <c r="EL69" s="234"/>
      <c r="EM69" s="234"/>
      <c r="EN69" s="234"/>
      <c r="EO69" s="234"/>
      <c r="EP69" s="234"/>
      <c r="EQ69" s="234"/>
      <c r="ER69" s="234"/>
      <c r="ES69" s="234"/>
      <c r="ET69" s="234"/>
      <c r="EU69" s="234"/>
      <c r="EV69" s="234"/>
      <c r="EW69" s="234"/>
      <c r="EX69" s="234"/>
      <c r="EY69" s="234"/>
      <c r="EZ69" s="234"/>
      <c r="FA69" s="234"/>
      <c r="FB69" s="234"/>
      <c r="FC69" s="234"/>
      <c r="FD69" s="234"/>
      <c r="FE69" s="234"/>
      <c r="FF69" s="234"/>
      <c r="FG69" s="234"/>
      <c r="FH69" s="234"/>
      <c r="FI69" s="234"/>
      <c r="FJ69" s="234"/>
      <c r="FK69" s="234"/>
      <c r="FL69" s="234"/>
      <c r="FM69" s="234"/>
      <c r="FN69" s="234"/>
      <c r="FO69" s="234"/>
      <c r="FP69" s="234"/>
      <c r="FQ69" s="234"/>
      <c r="FR69" s="234"/>
      <c r="FS69" s="234"/>
      <c r="FT69" s="234"/>
      <c r="FU69" s="234"/>
      <c r="FV69" s="234"/>
      <c r="FW69" s="234"/>
      <c r="FX69" s="234"/>
      <c r="FY69" s="234"/>
      <c r="FZ69" s="234"/>
      <c r="GA69" s="234"/>
      <c r="GB69" s="234"/>
      <c r="GC69" s="234"/>
      <c r="GD69" s="234"/>
      <c r="GE69" s="234"/>
      <c r="GF69" s="234"/>
      <c r="GG69" s="234"/>
      <c r="GH69" s="234"/>
      <c r="GI69" s="234"/>
      <c r="GJ69" s="234"/>
      <c r="GK69" s="234"/>
      <c r="GL69" s="234"/>
      <c r="GM69" s="234"/>
      <c r="GN69" s="234"/>
      <c r="GO69" s="234"/>
      <c r="GP69" s="234"/>
      <c r="GQ69" s="234"/>
      <c r="GR69" s="234"/>
      <c r="GS69" s="234"/>
      <c r="GT69" s="234"/>
      <c r="GU69" s="234"/>
      <c r="GV69" s="234"/>
      <c r="GW69" s="234"/>
      <c r="GX69" s="234"/>
      <c r="GY69" s="234"/>
      <c r="GZ69" s="234"/>
      <c r="HA69" s="234"/>
      <c r="HB69" s="234"/>
      <c r="HC69" s="234"/>
      <c r="HD69" s="234"/>
      <c r="HE69" s="234"/>
      <c r="HF69" s="234"/>
      <c r="HG69" s="234"/>
      <c r="HH69" s="234"/>
      <c r="HI69" s="234"/>
      <c r="HJ69" s="234"/>
      <c r="HK69" s="234"/>
      <c r="HL69" s="234"/>
      <c r="HM69" s="234"/>
      <c r="HN69" s="234"/>
      <c r="HO69" s="234"/>
      <c r="HP69" s="234"/>
      <c r="HQ69" s="234"/>
      <c r="HR69" s="234"/>
      <c r="HS69" s="234"/>
      <c r="HT69" s="234"/>
      <c r="HU69" s="234"/>
      <c r="HV69" s="234"/>
      <c r="HW69" s="234"/>
      <c r="HX69" s="234"/>
      <c r="HY69" s="234"/>
      <c r="HZ69" s="234"/>
      <c r="IA69" s="234"/>
      <c r="IB69" s="234"/>
      <c r="IC69" s="234"/>
      <c r="ID69" s="234"/>
      <c r="IE69" s="234"/>
      <c r="IF69" s="234"/>
      <c r="IG69" s="234"/>
      <c r="IH69" s="234"/>
      <c r="II69" s="234"/>
      <c r="IJ69" s="234"/>
      <c r="IK69" s="234"/>
      <c r="IL69" s="234"/>
      <c r="IM69" s="234"/>
      <c r="IN69" s="234"/>
      <c r="IO69" s="234"/>
      <c r="IP69" s="234"/>
      <c r="IQ69" s="234"/>
      <c r="IR69" s="234"/>
      <c r="IS69" s="234"/>
      <c r="IT69" s="234"/>
      <c r="IU69" s="234"/>
      <c r="IV69" s="234"/>
    </row>
    <row r="70" spans="1:256" ht="42.75" customHeight="1" hidden="1">
      <c r="A70" s="237" t="s">
        <v>906</v>
      </c>
      <c r="B70" s="180" t="s">
        <v>907</v>
      </c>
      <c r="C70" s="252">
        <v>0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34"/>
      <c r="CG70" s="234"/>
      <c r="CH70" s="234"/>
      <c r="CI70" s="234"/>
      <c r="CJ70" s="234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  <c r="DK70" s="234"/>
      <c r="DL70" s="234"/>
      <c r="DM70" s="234"/>
      <c r="DN70" s="234"/>
      <c r="DO70" s="234"/>
      <c r="DP70" s="234"/>
      <c r="DQ70" s="234"/>
      <c r="DR70" s="234"/>
      <c r="DS70" s="234"/>
      <c r="DT70" s="234"/>
      <c r="DU70" s="234"/>
      <c r="DV70" s="234"/>
      <c r="DW70" s="234"/>
      <c r="DX70" s="234"/>
      <c r="DY70" s="234"/>
      <c r="DZ70" s="234"/>
      <c r="EA70" s="234"/>
      <c r="EB70" s="234"/>
      <c r="EC70" s="234"/>
      <c r="ED70" s="234"/>
      <c r="EE70" s="234"/>
      <c r="EF70" s="234"/>
      <c r="EG70" s="234"/>
      <c r="EH70" s="234"/>
      <c r="EI70" s="234"/>
      <c r="EJ70" s="234"/>
      <c r="EK70" s="234"/>
      <c r="EL70" s="234"/>
      <c r="EM70" s="234"/>
      <c r="EN70" s="234"/>
      <c r="EO70" s="234"/>
      <c r="EP70" s="234"/>
      <c r="EQ70" s="234"/>
      <c r="ER70" s="234"/>
      <c r="ES70" s="234"/>
      <c r="ET70" s="234"/>
      <c r="EU70" s="234"/>
      <c r="EV70" s="234"/>
      <c r="EW70" s="234"/>
      <c r="EX70" s="234"/>
      <c r="EY70" s="234"/>
      <c r="EZ70" s="234"/>
      <c r="FA70" s="234"/>
      <c r="FB70" s="234"/>
      <c r="FC70" s="234"/>
      <c r="FD70" s="234"/>
      <c r="FE70" s="234"/>
      <c r="FF70" s="234"/>
      <c r="FG70" s="234"/>
      <c r="FH70" s="234"/>
      <c r="FI70" s="234"/>
      <c r="FJ70" s="234"/>
      <c r="FK70" s="234"/>
      <c r="FL70" s="234"/>
      <c r="FM70" s="234"/>
      <c r="FN70" s="234"/>
      <c r="FO70" s="234"/>
      <c r="FP70" s="234"/>
      <c r="FQ70" s="234"/>
      <c r="FR70" s="234"/>
      <c r="FS70" s="234"/>
      <c r="FT70" s="234"/>
      <c r="FU70" s="234"/>
      <c r="FV70" s="234"/>
      <c r="FW70" s="234"/>
      <c r="FX70" s="234"/>
      <c r="FY70" s="234"/>
      <c r="FZ70" s="234"/>
      <c r="GA70" s="234"/>
      <c r="GB70" s="234"/>
      <c r="GC70" s="234"/>
      <c r="GD70" s="234"/>
      <c r="GE70" s="234"/>
      <c r="GF70" s="234"/>
      <c r="GG70" s="234"/>
      <c r="GH70" s="234"/>
      <c r="GI70" s="234"/>
      <c r="GJ70" s="234"/>
      <c r="GK70" s="234"/>
      <c r="GL70" s="234"/>
      <c r="GM70" s="234"/>
      <c r="GN70" s="234"/>
      <c r="GO70" s="234"/>
      <c r="GP70" s="234"/>
      <c r="GQ70" s="234"/>
      <c r="GR70" s="234"/>
      <c r="GS70" s="234"/>
      <c r="GT70" s="234"/>
      <c r="GU70" s="234"/>
      <c r="GV70" s="234"/>
      <c r="GW70" s="234"/>
      <c r="GX70" s="234"/>
      <c r="GY70" s="234"/>
      <c r="GZ70" s="234"/>
      <c r="HA70" s="234"/>
      <c r="HB70" s="234"/>
      <c r="HC70" s="234"/>
      <c r="HD70" s="234"/>
      <c r="HE70" s="234"/>
      <c r="HF70" s="234"/>
      <c r="HG70" s="234"/>
      <c r="HH70" s="234"/>
      <c r="HI70" s="234"/>
      <c r="HJ70" s="234"/>
      <c r="HK70" s="234"/>
      <c r="HL70" s="234"/>
      <c r="HM70" s="234"/>
      <c r="HN70" s="234"/>
      <c r="HO70" s="234"/>
      <c r="HP70" s="234"/>
      <c r="HQ70" s="234"/>
      <c r="HR70" s="234"/>
      <c r="HS70" s="234"/>
      <c r="HT70" s="234"/>
      <c r="HU70" s="234"/>
      <c r="HV70" s="234"/>
      <c r="HW70" s="234"/>
      <c r="HX70" s="234"/>
      <c r="HY70" s="234"/>
      <c r="HZ70" s="234"/>
      <c r="IA70" s="234"/>
      <c r="IB70" s="234"/>
      <c r="IC70" s="234"/>
      <c r="ID70" s="234"/>
      <c r="IE70" s="234"/>
      <c r="IF70" s="234"/>
      <c r="IG70" s="234"/>
      <c r="IH70" s="234"/>
      <c r="II70" s="234"/>
      <c r="IJ70" s="234"/>
      <c r="IK70" s="234"/>
      <c r="IL70" s="234"/>
      <c r="IM70" s="234"/>
      <c r="IN70" s="234"/>
      <c r="IO70" s="234"/>
      <c r="IP70" s="234"/>
      <c r="IQ70" s="234"/>
      <c r="IR70" s="234"/>
      <c r="IS70" s="234"/>
      <c r="IT70" s="234"/>
      <c r="IU70" s="234"/>
      <c r="IV70" s="234"/>
    </row>
    <row r="71" spans="1:256" ht="30.75" customHeight="1">
      <c r="A71" s="237" t="s">
        <v>908</v>
      </c>
      <c r="B71" s="180" t="s">
        <v>909</v>
      </c>
      <c r="C71" s="252">
        <f>640000-75204-50400</f>
        <v>514396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4"/>
      <c r="CI71" s="234"/>
      <c r="CJ71" s="234"/>
      <c r="CK71" s="234"/>
      <c r="CL71" s="234"/>
      <c r="CM71" s="234"/>
      <c r="CN71" s="234"/>
      <c r="CO71" s="234"/>
      <c r="CP71" s="234"/>
      <c r="CQ71" s="234"/>
      <c r="CR71" s="234"/>
      <c r="CS71" s="234"/>
      <c r="CT71" s="234"/>
      <c r="CU71" s="234"/>
      <c r="CV71" s="234"/>
      <c r="CW71" s="234"/>
      <c r="CX71" s="234"/>
      <c r="CY71" s="234"/>
      <c r="CZ71" s="234"/>
      <c r="DA71" s="234"/>
      <c r="DB71" s="234"/>
      <c r="DC71" s="234"/>
      <c r="DD71" s="234"/>
      <c r="DE71" s="234"/>
      <c r="DF71" s="234"/>
      <c r="DG71" s="234"/>
      <c r="DH71" s="234"/>
      <c r="DI71" s="234"/>
      <c r="DJ71" s="234"/>
      <c r="DK71" s="234"/>
      <c r="DL71" s="234"/>
      <c r="DM71" s="234"/>
      <c r="DN71" s="234"/>
      <c r="DO71" s="234"/>
      <c r="DP71" s="234"/>
      <c r="DQ71" s="234"/>
      <c r="DR71" s="234"/>
      <c r="DS71" s="234"/>
      <c r="DT71" s="234"/>
      <c r="DU71" s="234"/>
      <c r="DV71" s="234"/>
      <c r="DW71" s="234"/>
      <c r="DX71" s="234"/>
      <c r="DY71" s="234"/>
      <c r="DZ71" s="234"/>
      <c r="EA71" s="234"/>
      <c r="EB71" s="234"/>
      <c r="EC71" s="234"/>
      <c r="ED71" s="234"/>
      <c r="EE71" s="234"/>
      <c r="EF71" s="234"/>
      <c r="EG71" s="234"/>
      <c r="EH71" s="234"/>
      <c r="EI71" s="234"/>
      <c r="EJ71" s="234"/>
      <c r="EK71" s="234"/>
      <c r="EL71" s="234"/>
      <c r="EM71" s="234"/>
      <c r="EN71" s="234"/>
      <c r="EO71" s="234"/>
      <c r="EP71" s="234"/>
      <c r="EQ71" s="234"/>
      <c r="ER71" s="234"/>
      <c r="ES71" s="234"/>
      <c r="ET71" s="234"/>
      <c r="EU71" s="234"/>
      <c r="EV71" s="234"/>
      <c r="EW71" s="234"/>
      <c r="EX71" s="234"/>
      <c r="EY71" s="234"/>
      <c r="EZ71" s="234"/>
      <c r="FA71" s="234"/>
      <c r="FB71" s="234"/>
      <c r="FC71" s="234"/>
      <c r="FD71" s="234"/>
      <c r="FE71" s="234"/>
      <c r="FF71" s="234"/>
      <c r="FG71" s="234"/>
      <c r="FH71" s="234"/>
      <c r="FI71" s="234"/>
      <c r="FJ71" s="234"/>
      <c r="FK71" s="234"/>
      <c r="FL71" s="234"/>
      <c r="FM71" s="234"/>
      <c r="FN71" s="234"/>
      <c r="FO71" s="234"/>
      <c r="FP71" s="234"/>
      <c r="FQ71" s="234"/>
      <c r="FR71" s="234"/>
      <c r="FS71" s="234"/>
      <c r="FT71" s="234"/>
      <c r="FU71" s="234"/>
      <c r="FV71" s="234"/>
      <c r="FW71" s="234"/>
      <c r="FX71" s="234"/>
      <c r="FY71" s="234"/>
      <c r="FZ71" s="234"/>
      <c r="GA71" s="234"/>
      <c r="GB71" s="234"/>
      <c r="GC71" s="234"/>
      <c r="GD71" s="234"/>
      <c r="GE71" s="234"/>
      <c r="GF71" s="234"/>
      <c r="GG71" s="234"/>
      <c r="GH71" s="234"/>
      <c r="GI71" s="234"/>
      <c r="GJ71" s="234"/>
      <c r="GK71" s="234"/>
      <c r="GL71" s="234"/>
      <c r="GM71" s="234"/>
      <c r="GN71" s="234"/>
      <c r="GO71" s="234"/>
      <c r="GP71" s="234"/>
      <c r="GQ71" s="234"/>
      <c r="GR71" s="234"/>
      <c r="GS71" s="234"/>
      <c r="GT71" s="234"/>
      <c r="GU71" s="234"/>
      <c r="GV71" s="234"/>
      <c r="GW71" s="234"/>
      <c r="GX71" s="234"/>
      <c r="GY71" s="234"/>
      <c r="GZ71" s="234"/>
      <c r="HA71" s="234"/>
      <c r="HB71" s="234"/>
      <c r="HC71" s="234"/>
      <c r="HD71" s="234"/>
      <c r="HE71" s="234"/>
      <c r="HF71" s="234"/>
      <c r="HG71" s="234"/>
      <c r="HH71" s="234"/>
      <c r="HI71" s="234"/>
      <c r="HJ71" s="234"/>
      <c r="HK71" s="234"/>
      <c r="HL71" s="234"/>
      <c r="HM71" s="234"/>
      <c r="HN71" s="234"/>
      <c r="HO71" s="234"/>
      <c r="HP71" s="234"/>
      <c r="HQ71" s="234"/>
      <c r="HR71" s="234"/>
      <c r="HS71" s="234"/>
      <c r="HT71" s="234"/>
      <c r="HU71" s="234"/>
      <c r="HV71" s="234"/>
      <c r="HW71" s="234"/>
      <c r="HX71" s="234"/>
      <c r="HY71" s="234"/>
      <c r="HZ71" s="234"/>
      <c r="IA71" s="234"/>
      <c r="IB71" s="234"/>
      <c r="IC71" s="234"/>
      <c r="ID71" s="234"/>
      <c r="IE71" s="234"/>
      <c r="IF71" s="234"/>
      <c r="IG71" s="234"/>
      <c r="IH71" s="234"/>
      <c r="II71" s="234"/>
      <c r="IJ71" s="234"/>
      <c r="IK71" s="234"/>
      <c r="IL71" s="234"/>
      <c r="IM71" s="234"/>
      <c r="IN71" s="234"/>
      <c r="IO71" s="234"/>
      <c r="IP71" s="234"/>
      <c r="IQ71" s="234"/>
      <c r="IR71" s="234"/>
      <c r="IS71" s="234"/>
      <c r="IT71" s="234"/>
      <c r="IU71" s="234"/>
      <c r="IV71" s="234"/>
    </row>
    <row r="72" spans="1:256" ht="33.75" customHeight="1">
      <c r="A72" s="237" t="s">
        <v>910</v>
      </c>
      <c r="B72" s="180" t="s">
        <v>911</v>
      </c>
      <c r="C72" s="252">
        <f>540000+61184+48000</f>
        <v>649184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4"/>
      <c r="DD72" s="234"/>
      <c r="DE72" s="234"/>
      <c r="DF72" s="234"/>
      <c r="DG72" s="234"/>
      <c r="DH72" s="234"/>
      <c r="DI72" s="234"/>
      <c r="DJ72" s="234"/>
      <c r="DK72" s="234"/>
      <c r="DL72" s="234"/>
      <c r="DM72" s="234"/>
      <c r="DN72" s="234"/>
      <c r="DO72" s="234"/>
      <c r="DP72" s="234"/>
      <c r="DQ72" s="234"/>
      <c r="DR72" s="234"/>
      <c r="DS72" s="234"/>
      <c r="DT72" s="234"/>
      <c r="DU72" s="234"/>
      <c r="DV72" s="234"/>
      <c r="DW72" s="234"/>
      <c r="DX72" s="234"/>
      <c r="DY72" s="234"/>
      <c r="DZ72" s="234"/>
      <c r="EA72" s="234"/>
      <c r="EB72" s="234"/>
      <c r="EC72" s="234"/>
      <c r="ED72" s="234"/>
      <c r="EE72" s="234"/>
      <c r="EF72" s="234"/>
      <c r="EG72" s="234"/>
      <c r="EH72" s="234"/>
      <c r="EI72" s="234"/>
      <c r="EJ72" s="234"/>
      <c r="EK72" s="234"/>
      <c r="EL72" s="234"/>
      <c r="EM72" s="234"/>
      <c r="EN72" s="234"/>
      <c r="EO72" s="234"/>
      <c r="EP72" s="234"/>
      <c r="EQ72" s="234"/>
      <c r="ER72" s="234"/>
      <c r="ES72" s="234"/>
      <c r="ET72" s="234"/>
      <c r="EU72" s="234"/>
      <c r="EV72" s="234"/>
      <c r="EW72" s="234"/>
      <c r="EX72" s="234"/>
      <c r="EY72" s="234"/>
      <c r="EZ72" s="234"/>
      <c r="FA72" s="234"/>
      <c r="FB72" s="234"/>
      <c r="FC72" s="234"/>
      <c r="FD72" s="234"/>
      <c r="FE72" s="234"/>
      <c r="FF72" s="234"/>
      <c r="FG72" s="234"/>
      <c r="FH72" s="234"/>
      <c r="FI72" s="234"/>
      <c r="FJ72" s="234"/>
      <c r="FK72" s="234"/>
      <c r="FL72" s="234"/>
      <c r="FM72" s="234"/>
      <c r="FN72" s="234"/>
      <c r="FO72" s="234"/>
      <c r="FP72" s="234"/>
      <c r="FQ72" s="234"/>
      <c r="FR72" s="234"/>
      <c r="FS72" s="234"/>
      <c r="FT72" s="234"/>
      <c r="FU72" s="234"/>
      <c r="FV72" s="234"/>
      <c r="FW72" s="234"/>
      <c r="FX72" s="234"/>
      <c r="FY72" s="234"/>
      <c r="FZ72" s="234"/>
      <c r="GA72" s="234"/>
      <c r="GB72" s="234"/>
      <c r="GC72" s="234"/>
      <c r="GD72" s="234"/>
      <c r="GE72" s="234"/>
      <c r="GF72" s="234"/>
      <c r="GG72" s="234"/>
      <c r="GH72" s="234"/>
      <c r="GI72" s="234"/>
      <c r="GJ72" s="234"/>
      <c r="GK72" s="234"/>
      <c r="GL72" s="234"/>
      <c r="GM72" s="234"/>
      <c r="GN72" s="234"/>
      <c r="GO72" s="234"/>
      <c r="GP72" s="234"/>
      <c r="GQ72" s="234"/>
      <c r="GR72" s="234"/>
      <c r="GS72" s="234"/>
      <c r="GT72" s="234"/>
      <c r="GU72" s="234"/>
      <c r="GV72" s="234"/>
      <c r="GW72" s="234"/>
      <c r="GX72" s="234"/>
      <c r="GY72" s="234"/>
      <c r="GZ72" s="234"/>
      <c r="HA72" s="234"/>
      <c r="HB72" s="234"/>
      <c r="HC72" s="234"/>
      <c r="HD72" s="234"/>
      <c r="HE72" s="234"/>
      <c r="HF72" s="234"/>
      <c r="HG72" s="234"/>
      <c r="HH72" s="234"/>
      <c r="HI72" s="234"/>
      <c r="HJ72" s="234"/>
      <c r="HK72" s="234"/>
      <c r="HL72" s="234"/>
      <c r="HM72" s="234"/>
      <c r="HN72" s="234"/>
      <c r="HO72" s="234"/>
      <c r="HP72" s="234"/>
      <c r="HQ72" s="234"/>
      <c r="HR72" s="234"/>
      <c r="HS72" s="234"/>
      <c r="HT72" s="234"/>
      <c r="HU72" s="234"/>
      <c r="HV72" s="234"/>
      <c r="HW72" s="234"/>
      <c r="HX72" s="234"/>
      <c r="HY72" s="234"/>
      <c r="HZ72" s="234"/>
      <c r="IA72" s="234"/>
      <c r="IB72" s="234"/>
      <c r="IC72" s="234"/>
      <c r="ID72" s="234"/>
      <c r="IE72" s="234"/>
      <c r="IF72" s="234"/>
      <c r="IG72" s="234"/>
      <c r="IH72" s="234"/>
      <c r="II72" s="234"/>
      <c r="IJ72" s="234"/>
      <c r="IK72" s="234"/>
      <c r="IL72" s="234"/>
      <c r="IM72" s="234"/>
      <c r="IN72" s="234"/>
      <c r="IO72" s="234"/>
      <c r="IP72" s="234"/>
      <c r="IQ72" s="234"/>
      <c r="IR72" s="234"/>
      <c r="IS72" s="234"/>
      <c r="IT72" s="234"/>
      <c r="IU72" s="234"/>
      <c r="IV72" s="234"/>
    </row>
    <row r="73" spans="1:256" ht="39" customHeight="1">
      <c r="A73" s="191" t="s">
        <v>912</v>
      </c>
      <c r="B73" s="196" t="s">
        <v>913</v>
      </c>
      <c r="C73" s="249">
        <f>C77+C74</f>
        <v>3755242.1999999997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  <c r="CM73" s="234"/>
      <c r="CN73" s="234"/>
      <c r="CO73" s="234"/>
      <c r="CP73" s="234"/>
      <c r="CQ73" s="234"/>
      <c r="CR73" s="234"/>
      <c r="CS73" s="234"/>
      <c r="CT73" s="234"/>
      <c r="CU73" s="234"/>
      <c r="CV73" s="234"/>
      <c r="CW73" s="234"/>
      <c r="CX73" s="234"/>
      <c r="CY73" s="234"/>
      <c r="CZ73" s="234"/>
      <c r="DA73" s="234"/>
      <c r="DB73" s="234"/>
      <c r="DC73" s="234"/>
      <c r="DD73" s="234"/>
      <c r="DE73" s="234"/>
      <c r="DF73" s="234"/>
      <c r="DG73" s="234"/>
      <c r="DH73" s="234"/>
      <c r="DI73" s="234"/>
      <c r="DJ73" s="234"/>
      <c r="DK73" s="234"/>
      <c r="DL73" s="234"/>
      <c r="DM73" s="234"/>
      <c r="DN73" s="234"/>
      <c r="DO73" s="234"/>
      <c r="DP73" s="234"/>
      <c r="DQ73" s="234"/>
      <c r="DR73" s="234"/>
      <c r="DS73" s="234"/>
      <c r="DT73" s="234"/>
      <c r="DU73" s="234"/>
      <c r="DV73" s="234"/>
      <c r="DW73" s="234"/>
      <c r="DX73" s="234"/>
      <c r="DY73" s="234"/>
      <c r="DZ73" s="234"/>
      <c r="EA73" s="234"/>
      <c r="EB73" s="234"/>
      <c r="EC73" s="234"/>
      <c r="ED73" s="234"/>
      <c r="EE73" s="234"/>
      <c r="EF73" s="234"/>
      <c r="EG73" s="234"/>
      <c r="EH73" s="234"/>
      <c r="EI73" s="234"/>
      <c r="EJ73" s="234"/>
      <c r="EK73" s="234"/>
      <c r="EL73" s="234"/>
      <c r="EM73" s="234"/>
      <c r="EN73" s="234"/>
      <c r="EO73" s="234"/>
      <c r="EP73" s="234"/>
      <c r="EQ73" s="234"/>
      <c r="ER73" s="234"/>
      <c r="ES73" s="234"/>
      <c r="ET73" s="234"/>
      <c r="EU73" s="234"/>
      <c r="EV73" s="234"/>
      <c r="EW73" s="234"/>
      <c r="EX73" s="234"/>
      <c r="EY73" s="234"/>
      <c r="EZ73" s="234"/>
      <c r="FA73" s="234"/>
      <c r="FB73" s="234"/>
      <c r="FC73" s="234"/>
      <c r="FD73" s="234"/>
      <c r="FE73" s="234"/>
      <c r="FF73" s="234"/>
      <c r="FG73" s="234"/>
      <c r="FH73" s="234"/>
      <c r="FI73" s="234"/>
      <c r="FJ73" s="234"/>
      <c r="FK73" s="234"/>
      <c r="FL73" s="234"/>
      <c r="FM73" s="234"/>
      <c r="FN73" s="234"/>
      <c r="FO73" s="234"/>
      <c r="FP73" s="234"/>
      <c r="FQ73" s="234"/>
      <c r="FR73" s="234"/>
      <c r="FS73" s="234"/>
      <c r="FT73" s="234"/>
      <c r="FU73" s="234"/>
      <c r="FV73" s="234"/>
      <c r="FW73" s="234"/>
      <c r="FX73" s="234"/>
      <c r="FY73" s="234"/>
      <c r="FZ73" s="234"/>
      <c r="GA73" s="234"/>
      <c r="GB73" s="234"/>
      <c r="GC73" s="234"/>
      <c r="GD73" s="234"/>
      <c r="GE73" s="234"/>
      <c r="GF73" s="234"/>
      <c r="GG73" s="234"/>
      <c r="GH73" s="234"/>
      <c r="GI73" s="234"/>
      <c r="GJ73" s="234"/>
      <c r="GK73" s="234"/>
      <c r="GL73" s="234"/>
      <c r="GM73" s="234"/>
      <c r="GN73" s="234"/>
      <c r="GO73" s="234"/>
      <c r="GP73" s="234"/>
      <c r="GQ73" s="234"/>
      <c r="GR73" s="234"/>
      <c r="GS73" s="234"/>
      <c r="GT73" s="234"/>
      <c r="GU73" s="234"/>
      <c r="GV73" s="234"/>
      <c r="GW73" s="234"/>
      <c r="GX73" s="234"/>
      <c r="GY73" s="234"/>
      <c r="GZ73" s="234"/>
      <c r="HA73" s="234"/>
      <c r="HB73" s="234"/>
      <c r="HC73" s="234"/>
      <c r="HD73" s="234"/>
      <c r="HE73" s="234"/>
      <c r="HF73" s="234"/>
      <c r="HG73" s="234"/>
      <c r="HH73" s="234"/>
      <c r="HI73" s="234"/>
      <c r="HJ73" s="234"/>
      <c r="HK73" s="234"/>
      <c r="HL73" s="234"/>
      <c r="HM73" s="234"/>
      <c r="HN73" s="234"/>
      <c r="HO73" s="234"/>
      <c r="HP73" s="234"/>
      <c r="HQ73" s="234"/>
      <c r="HR73" s="234"/>
      <c r="HS73" s="234"/>
      <c r="HT73" s="234"/>
      <c r="HU73" s="234"/>
      <c r="HV73" s="234"/>
      <c r="HW73" s="234"/>
      <c r="HX73" s="234"/>
      <c r="HY73" s="234"/>
      <c r="HZ73" s="234"/>
      <c r="IA73" s="234"/>
      <c r="IB73" s="234"/>
      <c r="IC73" s="234"/>
      <c r="ID73" s="234"/>
      <c r="IE73" s="234"/>
      <c r="IF73" s="234"/>
      <c r="IG73" s="234"/>
      <c r="IH73" s="234"/>
      <c r="II73" s="234"/>
      <c r="IJ73" s="234"/>
      <c r="IK73" s="234"/>
      <c r="IL73" s="234"/>
      <c r="IM73" s="234"/>
      <c r="IN73" s="234"/>
      <c r="IO73" s="234"/>
      <c r="IP73" s="234"/>
      <c r="IQ73" s="234"/>
      <c r="IR73" s="234"/>
      <c r="IS73" s="234"/>
      <c r="IT73" s="234"/>
      <c r="IU73" s="234"/>
      <c r="IV73" s="234"/>
    </row>
    <row r="74" spans="1:256" ht="21" customHeight="1">
      <c r="A74" s="236" t="s">
        <v>914</v>
      </c>
      <c r="B74" s="197" t="s">
        <v>915</v>
      </c>
      <c r="C74" s="250">
        <f>C75</f>
        <v>61755</v>
      </c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4"/>
      <c r="CL74" s="234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4"/>
      <c r="EJ74" s="234"/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4"/>
      <c r="FK74" s="234"/>
      <c r="FL74" s="234"/>
      <c r="FM74" s="234"/>
      <c r="FN74" s="234"/>
      <c r="FO74" s="234"/>
      <c r="FP74" s="234"/>
      <c r="FQ74" s="234"/>
      <c r="FR74" s="234"/>
      <c r="FS74" s="234"/>
      <c r="FT74" s="234"/>
      <c r="FU74" s="234"/>
      <c r="FV74" s="234"/>
      <c r="FW74" s="234"/>
      <c r="FX74" s="234"/>
      <c r="FY74" s="234"/>
      <c r="FZ74" s="234"/>
      <c r="GA74" s="234"/>
      <c r="GB74" s="234"/>
      <c r="GC74" s="234"/>
      <c r="GD74" s="234"/>
      <c r="GE74" s="234"/>
      <c r="GF74" s="234"/>
      <c r="GG74" s="234"/>
      <c r="GH74" s="234"/>
      <c r="GI74" s="234"/>
      <c r="GJ74" s="234"/>
      <c r="GK74" s="234"/>
      <c r="GL74" s="234"/>
      <c r="GM74" s="234"/>
      <c r="GN74" s="234"/>
      <c r="GO74" s="234"/>
      <c r="GP74" s="234"/>
      <c r="GQ74" s="234"/>
      <c r="GR74" s="234"/>
      <c r="GS74" s="234"/>
      <c r="GT74" s="234"/>
      <c r="GU74" s="234"/>
      <c r="GV74" s="234"/>
      <c r="GW74" s="234"/>
      <c r="GX74" s="234"/>
      <c r="GY74" s="234"/>
      <c r="GZ74" s="234"/>
      <c r="HA74" s="234"/>
      <c r="HB74" s="234"/>
      <c r="HC74" s="234"/>
      <c r="HD74" s="234"/>
      <c r="HE74" s="234"/>
      <c r="HF74" s="234"/>
      <c r="HG74" s="234"/>
      <c r="HH74" s="234"/>
      <c r="HI74" s="234"/>
      <c r="HJ74" s="234"/>
      <c r="HK74" s="234"/>
      <c r="HL74" s="234"/>
      <c r="HM74" s="234"/>
      <c r="HN74" s="234"/>
      <c r="HO74" s="234"/>
      <c r="HP74" s="234"/>
      <c r="HQ74" s="234"/>
      <c r="HR74" s="234"/>
      <c r="HS74" s="234"/>
      <c r="HT74" s="234"/>
      <c r="HU74" s="234"/>
      <c r="HV74" s="234"/>
      <c r="HW74" s="234"/>
      <c r="HX74" s="234"/>
      <c r="HY74" s="234"/>
      <c r="HZ74" s="234"/>
      <c r="IA74" s="234"/>
      <c r="IB74" s="234"/>
      <c r="IC74" s="234"/>
      <c r="ID74" s="234"/>
      <c r="IE74" s="234"/>
      <c r="IF74" s="234"/>
      <c r="IG74" s="234"/>
      <c r="IH74" s="234"/>
      <c r="II74" s="234"/>
      <c r="IJ74" s="234"/>
      <c r="IK74" s="234"/>
      <c r="IL74" s="234"/>
      <c r="IM74" s="234"/>
      <c r="IN74" s="234"/>
      <c r="IO74" s="234"/>
      <c r="IP74" s="234"/>
      <c r="IQ74" s="234"/>
      <c r="IR74" s="234"/>
      <c r="IS74" s="234"/>
      <c r="IT74" s="234"/>
      <c r="IU74" s="234"/>
      <c r="IV74" s="234"/>
    </row>
    <row r="75" spans="1:256" ht="24.75" customHeight="1">
      <c r="A75" s="237" t="s">
        <v>916</v>
      </c>
      <c r="B75" s="195" t="s">
        <v>917</v>
      </c>
      <c r="C75" s="252">
        <f>C76</f>
        <v>61755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4"/>
      <c r="DF75" s="234"/>
      <c r="DG75" s="234"/>
      <c r="DH75" s="234"/>
      <c r="DI75" s="234"/>
      <c r="DJ75" s="234"/>
      <c r="DK75" s="234"/>
      <c r="DL75" s="234"/>
      <c r="DM75" s="234"/>
      <c r="DN75" s="234"/>
      <c r="DO75" s="234"/>
      <c r="DP75" s="234"/>
      <c r="DQ75" s="234"/>
      <c r="DR75" s="234"/>
      <c r="DS75" s="234"/>
      <c r="DT75" s="234"/>
      <c r="DU75" s="234"/>
      <c r="DV75" s="234"/>
      <c r="DW75" s="234"/>
      <c r="DX75" s="234"/>
      <c r="DY75" s="234"/>
      <c r="DZ75" s="234"/>
      <c r="EA75" s="234"/>
      <c r="EB75" s="234"/>
      <c r="EC75" s="234"/>
      <c r="ED75" s="234"/>
      <c r="EE75" s="234"/>
      <c r="EF75" s="234"/>
      <c r="EG75" s="234"/>
      <c r="EH75" s="234"/>
      <c r="EI75" s="234"/>
      <c r="EJ75" s="234"/>
      <c r="EK75" s="234"/>
      <c r="EL75" s="234"/>
      <c r="EM75" s="234"/>
      <c r="EN75" s="234"/>
      <c r="EO75" s="234"/>
      <c r="EP75" s="234"/>
      <c r="EQ75" s="234"/>
      <c r="ER75" s="234"/>
      <c r="ES75" s="234"/>
      <c r="ET75" s="234"/>
      <c r="EU75" s="234"/>
      <c r="EV75" s="234"/>
      <c r="EW75" s="234"/>
      <c r="EX75" s="234"/>
      <c r="EY75" s="234"/>
      <c r="EZ75" s="234"/>
      <c r="FA75" s="234"/>
      <c r="FB75" s="234"/>
      <c r="FC75" s="234"/>
      <c r="FD75" s="234"/>
      <c r="FE75" s="234"/>
      <c r="FF75" s="234"/>
      <c r="FG75" s="234"/>
      <c r="FH75" s="234"/>
      <c r="FI75" s="234"/>
      <c r="FJ75" s="234"/>
      <c r="FK75" s="234"/>
      <c r="FL75" s="234"/>
      <c r="FM75" s="234"/>
      <c r="FN75" s="234"/>
      <c r="FO75" s="234"/>
      <c r="FP75" s="234"/>
      <c r="FQ75" s="234"/>
      <c r="FR75" s="234"/>
      <c r="FS75" s="234"/>
      <c r="FT75" s="234"/>
      <c r="FU75" s="234"/>
      <c r="FV75" s="234"/>
      <c r="FW75" s="234"/>
      <c r="FX75" s="234"/>
      <c r="FY75" s="234"/>
      <c r="FZ75" s="234"/>
      <c r="GA75" s="234"/>
      <c r="GB75" s="234"/>
      <c r="GC75" s="234"/>
      <c r="GD75" s="234"/>
      <c r="GE75" s="234"/>
      <c r="GF75" s="234"/>
      <c r="GG75" s="234"/>
      <c r="GH75" s="234"/>
      <c r="GI75" s="234"/>
      <c r="GJ75" s="234"/>
      <c r="GK75" s="234"/>
      <c r="GL75" s="234"/>
      <c r="GM75" s="234"/>
      <c r="GN75" s="234"/>
      <c r="GO75" s="234"/>
      <c r="GP75" s="234"/>
      <c r="GQ75" s="234"/>
      <c r="GR75" s="234"/>
      <c r="GS75" s="234"/>
      <c r="GT75" s="234"/>
      <c r="GU75" s="234"/>
      <c r="GV75" s="234"/>
      <c r="GW75" s="234"/>
      <c r="GX75" s="234"/>
      <c r="GY75" s="234"/>
      <c r="GZ75" s="234"/>
      <c r="HA75" s="234"/>
      <c r="HB75" s="234"/>
      <c r="HC75" s="234"/>
      <c r="HD75" s="234"/>
      <c r="HE75" s="234"/>
      <c r="HF75" s="234"/>
      <c r="HG75" s="234"/>
      <c r="HH75" s="234"/>
      <c r="HI75" s="234"/>
      <c r="HJ75" s="234"/>
      <c r="HK75" s="234"/>
      <c r="HL75" s="234"/>
      <c r="HM75" s="234"/>
      <c r="HN75" s="234"/>
      <c r="HO75" s="234"/>
      <c r="HP75" s="234"/>
      <c r="HQ75" s="234"/>
      <c r="HR75" s="234"/>
      <c r="HS75" s="234"/>
      <c r="HT75" s="234"/>
      <c r="HU75" s="234"/>
      <c r="HV75" s="234"/>
      <c r="HW75" s="234"/>
      <c r="HX75" s="234"/>
      <c r="HY75" s="234"/>
      <c r="HZ75" s="234"/>
      <c r="IA75" s="234"/>
      <c r="IB75" s="234"/>
      <c r="IC75" s="234"/>
      <c r="ID75" s="234"/>
      <c r="IE75" s="234"/>
      <c r="IF75" s="234"/>
      <c r="IG75" s="234"/>
      <c r="IH75" s="234"/>
      <c r="II75" s="234"/>
      <c r="IJ75" s="234"/>
      <c r="IK75" s="234"/>
      <c r="IL75" s="234"/>
      <c r="IM75" s="234"/>
      <c r="IN75" s="234"/>
      <c r="IO75" s="234"/>
      <c r="IP75" s="234"/>
      <c r="IQ75" s="234"/>
      <c r="IR75" s="234"/>
      <c r="IS75" s="234"/>
      <c r="IT75" s="234"/>
      <c r="IU75" s="234"/>
      <c r="IV75" s="234"/>
    </row>
    <row r="76" spans="1:256" ht="45.75" customHeight="1">
      <c r="A76" s="237" t="s">
        <v>918</v>
      </c>
      <c r="B76" s="195" t="s">
        <v>748</v>
      </c>
      <c r="C76" s="252">
        <v>61755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4"/>
      <c r="DE76" s="234"/>
      <c r="DF76" s="234"/>
      <c r="DG76" s="234"/>
      <c r="DH76" s="234"/>
      <c r="DI76" s="234"/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  <c r="IM76" s="234"/>
      <c r="IN76" s="234"/>
      <c r="IO76" s="234"/>
      <c r="IP76" s="234"/>
      <c r="IQ76" s="234"/>
      <c r="IR76" s="234"/>
      <c r="IS76" s="234"/>
      <c r="IT76" s="234"/>
      <c r="IU76" s="234"/>
      <c r="IV76" s="234"/>
    </row>
    <row r="77" spans="1:256" ht="30.75" customHeight="1">
      <c r="A77" s="236" t="s">
        <v>919</v>
      </c>
      <c r="B77" s="197" t="s">
        <v>920</v>
      </c>
      <c r="C77" s="250">
        <f>C80+C78</f>
        <v>3693487.1999999997</v>
      </c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34"/>
      <c r="DR77" s="234"/>
      <c r="DS77" s="234"/>
      <c r="DT77" s="234"/>
      <c r="DU77" s="234"/>
      <c r="DV77" s="234"/>
      <c r="DW77" s="234"/>
      <c r="DX77" s="234"/>
      <c r="DY77" s="234"/>
      <c r="DZ77" s="234"/>
      <c r="EA77" s="234"/>
      <c r="EB77" s="234"/>
      <c r="EC77" s="234"/>
      <c r="ED77" s="234"/>
      <c r="EE77" s="234"/>
      <c r="EF77" s="234"/>
      <c r="EG77" s="234"/>
      <c r="EH77" s="234"/>
      <c r="EI77" s="234"/>
      <c r="EJ77" s="234"/>
      <c r="EK77" s="234"/>
      <c r="EL77" s="234"/>
      <c r="EM77" s="234"/>
      <c r="EN77" s="234"/>
      <c r="EO77" s="234"/>
      <c r="EP77" s="234"/>
      <c r="EQ77" s="234"/>
      <c r="ER77" s="234"/>
      <c r="ES77" s="234"/>
      <c r="ET77" s="234"/>
      <c r="EU77" s="234"/>
      <c r="EV77" s="234"/>
      <c r="EW77" s="234"/>
      <c r="EX77" s="234"/>
      <c r="EY77" s="234"/>
      <c r="EZ77" s="234"/>
      <c r="FA77" s="234"/>
      <c r="FB77" s="234"/>
      <c r="FC77" s="234"/>
      <c r="FD77" s="234"/>
      <c r="FE77" s="234"/>
      <c r="FF77" s="234"/>
      <c r="FG77" s="234"/>
      <c r="FH77" s="234"/>
      <c r="FI77" s="234"/>
      <c r="FJ77" s="234"/>
      <c r="FK77" s="234"/>
      <c r="FL77" s="234"/>
      <c r="FM77" s="234"/>
      <c r="FN77" s="234"/>
      <c r="FO77" s="234"/>
      <c r="FP77" s="234"/>
      <c r="FQ77" s="234"/>
      <c r="FR77" s="234"/>
      <c r="FS77" s="234"/>
      <c r="FT77" s="234"/>
      <c r="FU77" s="234"/>
      <c r="FV77" s="234"/>
      <c r="FW77" s="234"/>
      <c r="FX77" s="234"/>
      <c r="FY77" s="234"/>
      <c r="FZ77" s="234"/>
      <c r="GA77" s="234"/>
      <c r="GB77" s="234"/>
      <c r="GC77" s="234"/>
      <c r="GD77" s="234"/>
      <c r="GE77" s="234"/>
      <c r="GF77" s="234"/>
      <c r="GG77" s="234"/>
      <c r="GH77" s="234"/>
      <c r="GI77" s="234"/>
      <c r="GJ77" s="234"/>
      <c r="GK77" s="234"/>
      <c r="GL77" s="234"/>
      <c r="GM77" s="234"/>
      <c r="GN77" s="234"/>
      <c r="GO77" s="234"/>
      <c r="GP77" s="234"/>
      <c r="GQ77" s="234"/>
      <c r="GR77" s="234"/>
      <c r="GS77" s="234"/>
      <c r="GT77" s="234"/>
      <c r="GU77" s="234"/>
      <c r="GV77" s="234"/>
      <c r="GW77" s="234"/>
      <c r="GX77" s="234"/>
      <c r="GY77" s="234"/>
      <c r="GZ77" s="234"/>
      <c r="HA77" s="234"/>
      <c r="HB77" s="234"/>
      <c r="HC77" s="234"/>
      <c r="HD77" s="234"/>
      <c r="HE77" s="234"/>
      <c r="HF77" s="234"/>
      <c r="HG77" s="234"/>
      <c r="HH77" s="234"/>
      <c r="HI77" s="234"/>
      <c r="HJ77" s="234"/>
      <c r="HK77" s="234"/>
      <c r="HL77" s="234"/>
      <c r="HM77" s="234"/>
      <c r="HN77" s="234"/>
      <c r="HO77" s="234"/>
      <c r="HP77" s="234"/>
      <c r="HQ77" s="234"/>
      <c r="HR77" s="234"/>
      <c r="HS77" s="234"/>
      <c r="HT77" s="234"/>
      <c r="HU77" s="234"/>
      <c r="HV77" s="234"/>
      <c r="HW77" s="234"/>
      <c r="HX77" s="234"/>
      <c r="HY77" s="234"/>
      <c r="HZ77" s="234"/>
      <c r="IA77" s="234"/>
      <c r="IB77" s="234"/>
      <c r="IC77" s="234"/>
      <c r="ID77" s="234"/>
      <c r="IE77" s="234"/>
      <c r="IF77" s="234"/>
      <c r="IG77" s="234"/>
      <c r="IH77" s="234"/>
      <c r="II77" s="234"/>
      <c r="IJ77" s="234"/>
      <c r="IK77" s="234"/>
      <c r="IL77" s="234"/>
      <c r="IM77" s="234"/>
      <c r="IN77" s="234"/>
      <c r="IO77" s="234"/>
      <c r="IP77" s="234"/>
      <c r="IQ77" s="234"/>
      <c r="IR77" s="234"/>
      <c r="IS77" s="234"/>
      <c r="IT77" s="234"/>
      <c r="IU77" s="234"/>
      <c r="IV77" s="234"/>
    </row>
    <row r="78" spans="1:256" ht="48" customHeight="1">
      <c r="A78" s="237" t="s">
        <v>921</v>
      </c>
      <c r="B78" s="195" t="s">
        <v>922</v>
      </c>
      <c r="C78" s="252">
        <f>C79</f>
        <v>2162569.3899999997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4"/>
      <c r="DE78" s="234"/>
      <c r="DF78" s="234"/>
      <c r="DG78" s="234"/>
      <c r="DH78" s="234"/>
      <c r="DI78" s="234"/>
      <c r="DJ78" s="234"/>
      <c r="DK78" s="234"/>
      <c r="DL78" s="234"/>
      <c r="DM78" s="234"/>
      <c r="DN78" s="234"/>
      <c r="DO78" s="234"/>
      <c r="DP78" s="234"/>
      <c r="DQ78" s="234"/>
      <c r="DR78" s="234"/>
      <c r="DS78" s="234"/>
      <c r="DT78" s="234"/>
      <c r="DU78" s="234"/>
      <c r="DV78" s="234"/>
      <c r="DW78" s="234"/>
      <c r="DX78" s="234"/>
      <c r="DY78" s="234"/>
      <c r="DZ78" s="234"/>
      <c r="EA78" s="234"/>
      <c r="EB78" s="234"/>
      <c r="EC78" s="234"/>
      <c r="ED78" s="234"/>
      <c r="EE78" s="234"/>
      <c r="EF78" s="234"/>
      <c r="EG78" s="234"/>
      <c r="EH78" s="234"/>
      <c r="EI78" s="234"/>
      <c r="EJ78" s="234"/>
      <c r="EK78" s="234"/>
      <c r="EL78" s="234"/>
      <c r="EM78" s="234"/>
      <c r="EN78" s="234"/>
      <c r="EO78" s="234"/>
      <c r="EP78" s="234"/>
      <c r="EQ78" s="234"/>
      <c r="ER78" s="234"/>
      <c r="ES78" s="234"/>
      <c r="ET78" s="234"/>
      <c r="EU78" s="234"/>
      <c r="EV78" s="234"/>
      <c r="EW78" s="234"/>
      <c r="EX78" s="234"/>
      <c r="EY78" s="234"/>
      <c r="EZ78" s="234"/>
      <c r="FA78" s="234"/>
      <c r="FB78" s="234"/>
      <c r="FC78" s="234"/>
      <c r="FD78" s="234"/>
      <c r="FE78" s="234"/>
      <c r="FF78" s="234"/>
      <c r="FG78" s="234"/>
      <c r="FH78" s="234"/>
      <c r="FI78" s="234"/>
      <c r="FJ78" s="234"/>
      <c r="FK78" s="234"/>
      <c r="FL78" s="234"/>
      <c r="FM78" s="234"/>
      <c r="FN78" s="234"/>
      <c r="FO78" s="234"/>
      <c r="FP78" s="234"/>
      <c r="FQ78" s="234"/>
      <c r="FR78" s="234"/>
      <c r="FS78" s="234"/>
      <c r="FT78" s="234"/>
      <c r="FU78" s="234"/>
      <c r="FV78" s="234"/>
      <c r="FW78" s="234"/>
      <c r="FX78" s="234"/>
      <c r="FY78" s="234"/>
      <c r="FZ78" s="234"/>
      <c r="GA78" s="234"/>
      <c r="GB78" s="234"/>
      <c r="GC78" s="234"/>
      <c r="GD78" s="234"/>
      <c r="GE78" s="234"/>
      <c r="GF78" s="234"/>
      <c r="GG78" s="234"/>
      <c r="GH78" s="234"/>
      <c r="GI78" s="234"/>
      <c r="GJ78" s="234"/>
      <c r="GK78" s="234"/>
      <c r="GL78" s="234"/>
      <c r="GM78" s="234"/>
      <c r="GN78" s="234"/>
      <c r="GO78" s="234"/>
      <c r="GP78" s="234"/>
      <c r="GQ78" s="234"/>
      <c r="GR78" s="234"/>
      <c r="GS78" s="234"/>
      <c r="GT78" s="234"/>
      <c r="GU78" s="234"/>
      <c r="GV78" s="234"/>
      <c r="GW78" s="234"/>
      <c r="GX78" s="234"/>
      <c r="GY78" s="234"/>
      <c r="GZ78" s="234"/>
      <c r="HA78" s="234"/>
      <c r="HB78" s="234"/>
      <c r="HC78" s="234"/>
      <c r="HD78" s="234"/>
      <c r="HE78" s="234"/>
      <c r="HF78" s="234"/>
      <c r="HG78" s="234"/>
      <c r="HH78" s="234"/>
      <c r="HI78" s="234"/>
      <c r="HJ78" s="234"/>
      <c r="HK78" s="234"/>
      <c r="HL78" s="234"/>
      <c r="HM78" s="234"/>
      <c r="HN78" s="234"/>
      <c r="HO78" s="234"/>
      <c r="HP78" s="234"/>
      <c r="HQ78" s="234"/>
      <c r="HR78" s="234"/>
      <c r="HS78" s="234"/>
      <c r="HT78" s="234"/>
      <c r="HU78" s="234"/>
      <c r="HV78" s="234"/>
      <c r="HW78" s="234"/>
      <c r="HX78" s="234"/>
      <c r="HY78" s="234"/>
      <c r="HZ78" s="234"/>
      <c r="IA78" s="234"/>
      <c r="IB78" s="234"/>
      <c r="IC78" s="234"/>
      <c r="ID78" s="234"/>
      <c r="IE78" s="234"/>
      <c r="IF78" s="234"/>
      <c r="IG78" s="234"/>
      <c r="IH78" s="234"/>
      <c r="II78" s="234"/>
      <c r="IJ78" s="234"/>
      <c r="IK78" s="234"/>
      <c r="IL78" s="234"/>
      <c r="IM78" s="234"/>
      <c r="IN78" s="234"/>
      <c r="IO78" s="234"/>
      <c r="IP78" s="234"/>
      <c r="IQ78" s="234"/>
      <c r="IR78" s="234"/>
      <c r="IS78" s="234"/>
      <c r="IT78" s="234"/>
      <c r="IU78" s="234"/>
      <c r="IV78" s="234"/>
    </row>
    <row r="79" spans="1:256" ht="48.75" customHeight="1">
      <c r="A79" s="237" t="s">
        <v>923</v>
      </c>
      <c r="B79" s="195" t="s">
        <v>726</v>
      </c>
      <c r="C79" s="252">
        <f>64406.7+532237.19+1565925.5</f>
        <v>2162569.3899999997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  <c r="DJ79" s="234"/>
      <c r="DK79" s="234"/>
      <c r="DL79" s="234"/>
      <c r="DM79" s="234"/>
      <c r="DN79" s="234"/>
      <c r="DO79" s="234"/>
      <c r="DP79" s="234"/>
      <c r="DQ79" s="234"/>
      <c r="DR79" s="234"/>
      <c r="DS79" s="234"/>
      <c r="DT79" s="234"/>
      <c r="DU79" s="234"/>
      <c r="DV79" s="234"/>
      <c r="DW79" s="234"/>
      <c r="DX79" s="234"/>
      <c r="DY79" s="234"/>
      <c r="DZ79" s="234"/>
      <c r="EA79" s="234"/>
      <c r="EB79" s="234"/>
      <c r="EC79" s="234"/>
      <c r="ED79" s="234"/>
      <c r="EE79" s="234"/>
      <c r="EF79" s="234"/>
      <c r="EG79" s="234"/>
      <c r="EH79" s="234"/>
      <c r="EI79" s="234"/>
      <c r="EJ79" s="234"/>
      <c r="EK79" s="234"/>
      <c r="EL79" s="234"/>
      <c r="EM79" s="234"/>
      <c r="EN79" s="234"/>
      <c r="EO79" s="234"/>
      <c r="EP79" s="234"/>
      <c r="EQ79" s="234"/>
      <c r="ER79" s="234"/>
      <c r="ES79" s="234"/>
      <c r="ET79" s="234"/>
      <c r="EU79" s="234"/>
      <c r="EV79" s="234"/>
      <c r="EW79" s="234"/>
      <c r="EX79" s="234"/>
      <c r="EY79" s="234"/>
      <c r="EZ79" s="234"/>
      <c r="FA79" s="234"/>
      <c r="FB79" s="234"/>
      <c r="FC79" s="234"/>
      <c r="FD79" s="234"/>
      <c r="FE79" s="234"/>
      <c r="FF79" s="234"/>
      <c r="FG79" s="234"/>
      <c r="FH79" s="234"/>
      <c r="FI79" s="234"/>
      <c r="FJ79" s="234"/>
      <c r="FK79" s="234"/>
      <c r="FL79" s="234"/>
      <c r="FM79" s="234"/>
      <c r="FN79" s="234"/>
      <c r="FO79" s="234"/>
      <c r="FP79" s="234"/>
      <c r="FQ79" s="234"/>
      <c r="FR79" s="234"/>
      <c r="FS79" s="234"/>
      <c r="FT79" s="234"/>
      <c r="FU79" s="234"/>
      <c r="FV79" s="234"/>
      <c r="FW79" s="234"/>
      <c r="FX79" s="234"/>
      <c r="FY79" s="234"/>
      <c r="FZ79" s="234"/>
      <c r="GA79" s="234"/>
      <c r="GB79" s="234"/>
      <c r="GC79" s="234"/>
      <c r="GD79" s="234"/>
      <c r="GE79" s="234"/>
      <c r="GF79" s="234"/>
      <c r="GG79" s="234"/>
      <c r="GH79" s="234"/>
      <c r="GI79" s="234"/>
      <c r="GJ79" s="234"/>
      <c r="GK79" s="234"/>
      <c r="GL79" s="234"/>
      <c r="GM79" s="234"/>
      <c r="GN79" s="234"/>
      <c r="GO79" s="234"/>
      <c r="GP79" s="234"/>
      <c r="GQ79" s="234"/>
      <c r="GR79" s="234"/>
      <c r="GS79" s="234"/>
      <c r="GT79" s="234"/>
      <c r="GU79" s="234"/>
      <c r="GV79" s="234"/>
      <c r="GW79" s="234"/>
      <c r="GX79" s="234"/>
      <c r="GY79" s="234"/>
      <c r="GZ79" s="234"/>
      <c r="HA79" s="234"/>
      <c r="HB79" s="234"/>
      <c r="HC79" s="234"/>
      <c r="HD79" s="234"/>
      <c r="HE79" s="234"/>
      <c r="HF79" s="234"/>
      <c r="HG79" s="234"/>
      <c r="HH79" s="234"/>
      <c r="HI79" s="234"/>
      <c r="HJ79" s="234"/>
      <c r="HK79" s="234"/>
      <c r="HL79" s="234"/>
      <c r="HM79" s="234"/>
      <c r="HN79" s="234"/>
      <c r="HO79" s="234"/>
      <c r="HP79" s="234"/>
      <c r="HQ79" s="234"/>
      <c r="HR79" s="234"/>
      <c r="HS79" s="234"/>
      <c r="HT79" s="234"/>
      <c r="HU79" s="234"/>
      <c r="HV79" s="234"/>
      <c r="HW79" s="234"/>
      <c r="HX79" s="234"/>
      <c r="HY79" s="234"/>
      <c r="HZ79" s="234"/>
      <c r="IA79" s="234"/>
      <c r="IB79" s="234"/>
      <c r="IC79" s="234"/>
      <c r="ID79" s="234"/>
      <c r="IE79" s="234"/>
      <c r="IF79" s="234"/>
      <c r="IG79" s="234"/>
      <c r="IH79" s="234"/>
      <c r="II79" s="234"/>
      <c r="IJ79" s="234"/>
      <c r="IK79" s="234"/>
      <c r="IL79" s="234"/>
      <c r="IM79" s="234"/>
      <c r="IN79" s="234"/>
      <c r="IO79" s="234"/>
      <c r="IP79" s="234"/>
      <c r="IQ79" s="234"/>
      <c r="IR79" s="234"/>
      <c r="IS79" s="234"/>
      <c r="IT79" s="234"/>
      <c r="IU79" s="234"/>
      <c r="IV79" s="234"/>
    </row>
    <row r="80" spans="1:256" ht="33" customHeight="1">
      <c r="A80" s="237" t="s">
        <v>924</v>
      </c>
      <c r="B80" s="195" t="s">
        <v>925</v>
      </c>
      <c r="C80" s="252">
        <f>C81</f>
        <v>1530917.81</v>
      </c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4"/>
      <c r="CL80" s="234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4"/>
      <c r="DE80" s="234"/>
      <c r="DF80" s="234"/>
      <c r="DG80" s="234"/>
      <c r="DH80" s="234"/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  <c r="IM80" s="234"/>
      <c r="IN80" s="234"/>
      <c r="IO80" s="234"/>
      <c r="IP80" s="234"/>
      <c r="IQ80" s="234"/>
      <c r="IR80" s="234"/>
      <c r="IS80" s="234"/>
      <c r="IT80" s="234"/>
      <c r="IU80" s="234"/>
      <c r="IV80" s="234"/>
    </row>
    <row r="81" spans="1:256" ht="36" customHeight="1">
      <c r="A81" s="237" t="s">
        <v>926</v>
      </c>
      <c r="B81" s="195" t="s">
        <v>777</v>
      </c>
      <c r="C81" s="252">
        <f>3500+171016+107839+471800+533000-532237.19+776000</f>
        <v>1530917.81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  <c r="FF81" s="234"/>
      <c r="FG81" s="234"/>
      <c r="FH81" s="234"/>
      <c r="FI81" s="234"/>
      <c r="FJ81" s="234"/>
      <c r="FK81" s="234"/>
      <c r="FL81" s="234"/>
      <c r="FM81" s="234"/>
      <c r="FN81" s="234"/>
      <c r="FO81" s="234"/>
      <c r="FP81" s="234"/>
      <c r="FQ81" s="234"/>
      <c r="FR81" s="234"/>
      <c r="FS81" s="234"/>
      <c r="FT81" s="234"/>
      <c r="FU81" s="234"/>
      <c r="FV81" s="234"/>
      <c r="FW81" s="234"/>
      <c r="FX81" s="234"/>
      <c r="FY81" s="234"/>
      <c r="FZ81" s="234"/>
      <c r="GA81" s="234"/>
      <c r="GB81" s="234"/>
      <c r="GC81" s="234"/>
      <c r="GD81" s="234"/>
      <c r="GE81" s="234"/>
      <c r="GF81" s="234"/>
      <c r="GG81" s="234"/>
      <c r="GH81" s="234"/>
      <c r="GI81" s="234"/>
      <c r="GJ81" s="234"/>
      <c r="GK81" s="234"/>
      <c r="GL81" s="234"/>
      <c r="GM81" s="234"/>
      <c r="GN81" s="234"/>
      <c r="GO81" s="234"/>
      <c r="GP81" s="234"/>
      <c r="GQ81" s="234"/>
      <c r="GR81" s="234"/>
      <c r="GS81" s="234"/>
      <c r="GT81" s="234"/>
      <c r="GU81" s="234"/>
      <c r="GV81" s="234"/>
      <c r="GW81" s="234"/>
      <c r="GX81" s="234"/>
      <c r="GY81" s="234"/>
      <c r="GZ81" s="234"/>
      <c r="HA81" s="234"/>
      <c r="HB81" s="234"/>
      <c r="HC81" s="234"/>
      <c r="HD81" s="234"/>
      <c r="HE81" s="234"/>
      <c r="HF81" s="234"/>
      <c r="HG81" s="234"/>
      <c r="HH81" s="234"/>
      <c r="HI81" s="234"/>
      <c r="HJ81" s="234"/>
      <c r="HK81" s="234"/>
      <c r="HL81" s="234"/>
      <c r="HM81" s="234"/>
      <c r="HN81" s="234"/>
      <c r="HO81" s="234"/>
      <c r="HP81" s="234"/>
      <c r="HQ81" s="234"/>
      <c r="HR81" s="234"/>
      <c r="HS81" s="234"/>
      <c r="HT81" s="234"/>
      <c r="HU81" s="234"/>
      <c r="HV81" s="234"/>
      <c r="HW81" s="234"/>
      <c r="HX81" s="234"/>
      <c r="HY81" s="234"/>
      <c r="HZ81" s="234"/>
      <c r="IA81" s="234"/>
      <c r="IB81" s="234"/>
      <c r="IC81" s="234"/>
      <c r="ID81" s="234"/>
      <c r="IE81" s="234"/>
      <c r="IF81" s="234"/>
      <c r="IG81" s="234"/>
      <c r="IH81" s="234"/>
      <c r="II81" s="234"/>
      <c r="IJ81" s="234"/>
      <c r="IK81" s="234"/>
      <c r="IL81" s="234"/>
      <c r="IM81" s="234"/>
      <c r="IN81" s="234"/>
      <c r="IO81" s="234"/>
      <c r="IP81" s="234"/>
      <c r="IQ81" s="234"/>
      <c r="IR81" s="234"/>
      <c r="IS81" s="234"/>
      <c r="IT81" s="234"/>
      <c r="IU81" s="234"/>
      <c r="IV81" s="234"/>
    </row>
    <row r="82" spans="1:256" ht="34.5" customHeight="1">
      <c r="A82" s="191" t="s">
        <v>927</v>
      </c>
      <c r="B82" s="196" t="s">
        <v>928</v>
      </c>
      <c r="C82" s="249">
        <f>C83</f>
        <v>22646113.73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  <c r="FF82" s="234"/>
      <c r="FG82" s="234"/>
      <c r="FH82" s="234"/>
      <c r="FI82" s="234"/>
      <c r="FJ82" s="234"/>
      <c r="FK82" s="234"/>
      <c r="FL82" s="234"/>
      <c r="FM82" s="234"/>
      <c r="FN82" s="234"/>
      <c r="FO82" s="234"/>
      <c r="FP82" s="234"/>
      <c r="FQ82" s="234"/>
      <c r="FR82" s="234"/>
      <c r="FS82" s="234"/>
      <c r="FT82" s="234"/>
      <c r="FU82" s="234"/>
      <c r="FV82" s="234"/>
      <c r="FW82" s="234"/>
      <c r="FX82" s="234"/>
      <c r="FY82" s="234"/>
      <c r="FZ82" s="234"/>
      <c r="GA82" s="234"/>
      <c r="GB82" s="234"/>
      <c r="GC82" s="234"/>
      <c r="GD82" s="234"/>
      <c r="GE82" s="234"/>
      <c r="GF82" s="234"/>
      <c r="GG82" s="234"/>
      <c r="GH82" s="234"/>
      <c r="GI82" s="234"/>
      <c r="GJ82" s="234"/>
      <c r="GK82" s="234"/>
      <c r="GL82" s="234"/>
      <c r="GM82" s="234"/>
      <c r="GN82" s="234"/>
      <c r="GO82" s="234"/>
      <c r="GP82" s="234"/>
      <c r="GQ82" s="234"/>
      <c r="GR82" s="234"/>
      <c r="GS82" s="234"/>
      <c r="GT82" s="234"/>
      <c r="GU82" s="234"/>
      <c r="GV82" s="234"/>
      <c r="GW82" s="234"/>
      <c r="GX82" s="234"/>
      <c r="GY82" s="234"/>
      <c r="GZ82" s="234"/>
      <c r="HA82" s="234"/>
      <c r="HB82" s="234"/>
      <c r="HC82" s="234"/>
      <c r="HD82" s="234"/>
      <c r="HE82" s="234"/>
      <c r="HF82" s="234"/>
      <c r="HG82" s="234"/>
      <c r="HH82" s="234"/>
      <c r="HI82" s="234"/>
      <c r="HJ82" s="234"/>
      <c r="HK82" s="234"/>
      <c r="HL82" s="234"/>
      <c r="HM82" s="234"/>
      <c r="HN82" s="234"/>
      <c r="HO82" s="234"/>
      <c r="HP82" s="234"/>
      <c r="HQ82" s="234"/>
      <c r="HR82" s="234"/>
      <c r="HS82" s="234"/>
      <c r="HT82" s="234"/>
      <c r="HU82" s="234"/>
      <c r="HV82" s="234"/>
      <c r="HW82" s="234"/>
      <c r="HX82" s="234"/>
      <c r="HY82" s="234"/>
      <c r="HZ82" s="234"/>
      <c r="IA82" s="234"/>
      <c r="IB82" s="234"/>
      <c r="IC82" s="234"/>
      <c r="ID82" s="234"/>
      <c r="IE82" s="234"/>
      <c r="IF82" s="234"/>
      <c r="IG82" s="234"/>
      <c r="IH82" s="234"/>
      <c r="II82" s="234"/>
      <c r="IJ82" s="234"/>
      <c r="IK82" s="234"/>
      <c r="IL82" s="234"/>
      <c r="IM82" s="234"/>
      <c r="IN82" s="234"/>
      <c r="IO82" s="234"/>
      <c r="IP82" s="234"/>
      <c r="IQ82" s="234"/>
      <c r="IR82" s="234"/>
      <c r="IS82" s="234"/>
      <c r="IT82" s="234"/>
      <c r="IU82" s="234"/>
      <c r="IV82" s="234"/>
    </row>
    <row r="83" spans="1:256" ht="133.5" customHeight="1">
      <c r="A83" s="236" t="s">
        <v>929</v>
      </c>
      <c r="B83" s="182" t="s">
        <v>930</v>
      </c>
      <c r="C83" s="250">
        <f>C84</f>
        <v>22646113.73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  <c r="FF83" s="234"/>
      <c r="FG83" s="234"/>
      <c r="FH83" s="234"/>
      <c r="FI83" s="234"/>
      <c r="FJ83" s="234"/>
      <c r="FK83" s="234"/>
      <c r="FL83" s="234"/>
      <c r="FM83" s="234"/>
      <c r="FN83" s="234"/>
      <c r="FO83" s="234"/>
      <c r="FP83" s="234"/>
      <c r="FQ83" s="234"/>
      <c r="FR83" s="234"/>
      <c r="FS83" s="234"/>
      <c r="FT83" s="234"/>
      <c r="FU83" s="234"/>
      <c r="FV83" s="234"/>
      <c r="FW83" s="234"/>
      <c r="FX83" s="234"/>
      <c r="FY83" s="234"/>
      <c r="FZ83" s="234"/>
      <c r="GA83" s="234"/>
      <c r="GB83" s="234"/>
      <c r="GC83" s="234"/>
      <c r="GD83" s="234"/>
      <c r="GE83" s="234"/>
      <c r="GF83" s="234"/>
      <c r="GG83" s="234"/>
      <c r="GH83" s="234"/>
      <c r="GI83" s="234"/>
      <c r="GJ83" s="234"/>
      <c r="GK83" s="234"/>
      <c r="GL83" s="234"/>
      <c r="GM83" s="234"/>
      <c r="GN83" s="234"/>
      <c r="GO83" s="234"/>
      <c r="GP83" s="234"/>
      <c r="GQ83" s="234"/>
      <c r="GR83" s="234"/>
      <c r="GS83" s="234"/>
      <c r="GT83" s="234"/>
      <c r="GU83" s="234"/>
      <c r="GV83" s="234"/>
      <c r="GW83" s="234"/>
      <c r="GX83" s="234"/>
      <c r="GY83" s="234"/>
      <c r="GZ83" s="234"/>
      <c r="HA83" s="234"/>
      <c r="HB83" s="234"/>
      <c r="HC83" s="234"/>
      <c r="HD83" s="234"/>
      <c r="HE83" s="234"/>
      <c r="HF83" s="234"/>
      <c r="HG83" s="234"/>
      <c r="HH83" s="234"/>
      <c r="HI83" s="234"/>
      <c r="HJ83" s="234"/>
      <c r="HK83" s="234"/>
      <c r="HL83" s="234"/>
      <c r="HM83" s="234"/>
      <c r="HN83" s="234"/>
      <c r="HO83" s="234"/>
      <c r="HP83" s="234"/>
      <c r="HQ83" s="234"/>
      <c r="HR83" s="234"/>
      <c r="HS83" s="234"/>
      <c r="HT83" s="234"/>
      <c r="HU83" s="234"/>
      <c r="HV83" s="234"/>
      <c r="HW83" s="234"/>
      <c r="HX83" s="234"/>
      <c r="HY83" s="234"/>
      <c r="HZ83" s="234"/>
      <c r="IA83" s="234"/>
      <c r="IB83" s="234"/>
      <c r="IC83" s="234"/>
      <c r="ID83" s="234"/>
      <c r="IE83" s="234"/>
      <c r="IF83" s="234"/>
      <c r="IG83" s="234"/>
      <c r="IH83" s="234"/>
      <c r="II83" s="234"/>
      <c r="IJ83" s="234"/>
      <c r="IK83" s="234"/>
      <c r="IL83" s="234"/>
      <c r="IM83" s="234"/>
      <c r="IN83" s="234"/>
      <c r="IO83" s="234"/>
      <c r="IP83" s="234"/>
      <c r="IQ83" s="234"/>
      <c r="IR83" s="234"/>
      <c r="IS83" s="234"/>
      <c r="IT83" s="234"/>
      <c r="IU83" s="234"/>
      <c r="IV83" s="234"/>
    </row>
    <row r="84" spans="1:256" ht="123" customHeight="1">
      <c r="A84" s="237" t="s">
        <v>931</v>
      </c>
      <c r="B84" s="180" t="s">
        <v>932</v>
      </c>
      <c r="C84" s="252">
        <f>C85</f>
        <v>22646113.73</v>
      </c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  <c r="FH84" s="234"/>
      <c r="FI84" s="234"/>
      <c r="FJ84" s="234"/>
      <c r="FK84" s="234"/>
      <c r="FL84" s="234"/>
      <c r="FM84" s="234"/>
      <c r="FN84" s="234"/>
      <c r="FO84" s="234"/>
      <c r="FP84" s="234"/>
      <c r="FQ84" s="234"/>
      <c r="FR84" s="234"/>
      <c r="FS84" s="234"/>
      <c r="FT84" s="234"/>
      <c r="FU84" s="234"/>
      <c r="FV84" s="234"/>
      <c r="FW84" s="234"/>
      <c r="FX84" s="234"/>
      <c r="FY84" s="234"/>
      <c r="FZ84" s="234"/>
      <c r="GA84" s="234"/>
      <c r="GB84" s="234"/>
      <c r="GC84" s="234"/>
      <c r="GD84" s="234"/>
      <c r="GE84" s="234"/>
      <c r="GF84" s="234"/>
      <c r="GG84" s="234"/>
      <c r="GH84" s="234"/>
      <c r="GI84" s="234"/>
      <c r="GJ84" s="234"/>
      <c r="GK84" s="234"/>
      <c r="GL84" s="234"/>
      <c r="GM84" s="234"/>
      <c r="GN84" s="234"/>
      <c r="GO84" s="234"/>
      <c r="GP84" s="234"/>
      <c r="GQ84" s="234"/>
      <c r="GR84" s="234"/>
      <c r="GS84" s="234"/>
      <c r="GT84" s="234"/>
      <c r="GU84" s="234"/>
      <c r="GV84" s="234"/>
      <c r="GW84" s="234"/>
      <c r="GX84" s="234"/>
      <c r="GY84" s="234"/>
      <c r="GZ84" s="234"/>
      <c r="HA84" s="234"/>
      <c r="HB84" s="234"/>
      <c r="HC84" s="234"/>
      <c r="HD84" s="234"/>
      <c r="HE84" s="234"/>
      <c r="HF84" s="234"/>
      <c r="HG84" s="234"/>
      <c r="HH84" s="234"/>
      <c r="HI84" s="234"/>
      <c r="HJ84" s="234"/>
      <c r="HK84" s="234"/>
      <c r="HL84" s="234"/>
      <c r="HM84" s="234"/>
      <c r="HN84" s="234"/>
      <c r="HO84" s="234"/>
      <c r="HP84" s="234"/>
      <c r="HQ84" s="234"/>
      <c r="HR84" s="234"/>
      <c r="HS84" s="234"/>
      <c r="HT84" s="234"/>
      <c r="HU84" s="234"/>
      <c r="HV84" s="234"/>
      <c r="HW84" s="234"/>
      <c r="HX84" s="234"/>
      <c r="HY84" s="234"/>
      <c r="HZ84" s="234"/>
      <c r="IA84" s="234"/>
      <c r="IB84" s="234"/>
      <c r="IC84" s="234"/>
      <c r="ID84" s="234"/>
      <c r="IE84" s="234"/>
      <c r="IF84" s="234"/>
      <c r="IG84" s="234"/>
      <c r="IH84" s="234"/>
      <c r="II84" s="234"/>
      <c r="IJ84" s="234"/>
      <c r="IK84" s="234"/>
      <c r="IL84" s="234"/>
      <c r="IM84" s="234"/>
      <c r="IN84" s="234"/>
      <c r="IO84" s="234"/>
      <c r="IP84" s="234"/>
      <c r="IQ84" s="234"/>
      <c r="IR84" s="234"/>
      <c r="IS84" s="234"/>
      <c r="IT84" s="234"/>
      <c r="IU84" s="234"/>
      <c r="IV84" s="234"/>
    </row>
    <row r="85" spans="1:256" ht="124.5" customHeight="1">
      <c r="A85" s="237" t="s">
        <v>933</v>
      </c>
      <c r="B85" s="180" t="s">
        <v>750</v>
      </c>
      <c r="C85" s="252">
        <v>22646113.73</v>
      </c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  <c r="FH85" s="234"/>
      <c r="FI85" s="234"/>
      <c r="FJ85" s="234"/>
      <c r="FK85" s="234"/>
      <c r="FL85" s="234"/>
      <c r="FM85" s="234"/>
      <c r="FN85" s="234"/>
      <c r="FO85" s="234"/>
      <c r="FP85" s="234"/>
      <c r="FQ85" s="234"/>
      <c r="FR85" s="234"/>
      <c r="FS85" s="234"/>
      <c r="FT85" s="234"/>
      <c r="FU85" s="234"/>
      <c r="FV85" s="234"/>
      <c r="FW85" s="234"/>
      <c r="FX85" s="234"/>
      <c r="FY85" s="234"/>
      <c r="FZ85" s="234"/>
      <c r="GA85" s="234"/>
      <c r="GB85" s="234"/>
      <c r="GC85" s="234"/>
      <c r="GD85" s="234"/>
      <c r="GE85" s="234"/>
      <c r="GF85" s="234"/>
      <c r="GG85" s="234"/>
      <c r="GH85" s="234"/>
      <c r="GI85" s="234"/>
      <c r="GJ85" s="234"/>
      <c r="GK85" s="234"/>
      <c r="GL85" s="234"/>
      <c r="GM85" s="234"/>
      <c r="GN85" s="234"/>
      <c r="GO85" s="234"/>
      <c r="GP85" s="234"/>
      <c r="GQ85" s="234"/>
      <c r="GR85" s="234"/>
      <c r="GS85" s="234"/>
      <c r="GT85" s="234"/>
      <c r="GU85" s="234"/>
      <c r="GV85" s="234"/>
      <c r="GW85" s="234"/>
      <c r="GX85" s="234"/>
      <c r="GY85" s="234"/>
      <c r="GZ85" s="234"/>
      <c r="HA85" s="234"/>
      <c r="HB85" s="234"/>
      <c r="HC85" s="234"/>
      <c r="HD85" s="234"/>
      <c r="HE85" s="234"/>
      <c r="HF85" s="234"/>
      <c r="HG85" s="234"/>
      <c r="HH85" s="234"/>
      <c r="HI85" s="234"/>
      <c r="HJ85" s="234"/>
      <c r="HK85" s="234"/>
      <c r="HL85" s="234"/>
      <c r="HM85" s="234"/>
      <c r="HN85" s="234"/>
      <c r="HO85" s="234"/>
      <c r="HP85" s="234"/>
      <c r="HQ85" s="234"/>
      <c r="HR85" s="234"/>
      <c r="HS85" s="234"/>
      <c r="HT85" s="234"/>
      <c r="HU85" s="234"/>
      <c r="HV85" s="234"/>
      <c r="HW85" s="234"/>
      <c r="HX85" s="234"/>
      <c r="HY85" s="234"/>
      <c r="HZ85" s="234"/>
      <c r="IA85" s="234"/>
      <c r="IB85" s="234"/>
      <c r="IC85" s="234"/>
      <c r="ID85" s="234"/>
      <c r="IE85" s="234"/>
      <c r="IF85" s="234"/>
      <c r="IG85" s="234"/>
      <c r="IH85" s="234"/>
      <c r="II85" s="234"/>
      <c r="IJ85" s="234"/>
      <c r="IK85" s="234"/>
      <c r="IL85" s="234"/>
      <c r="IM85" s="234"/>
      <c r="IN85" s="234"/>
      <c r="IO85" s="234"/>
      <c r="IP85" s="234"/>
      <c r="IQ85" s="234"/>
      <c r="IR85" s="234"/>
      <c r="IS85" s="234"/>
      <c r="IT85" s="234"/>
      <c r="IU85" s="234"/>
      <c r="IV85" s="234"/>
    </row>
    <row r="86" spans="1:256" ht="26.25" customHeight="1">
      <c r="A86" s="233" t="s">
        <v>934</v>
      </c>
      <c r="B86" s="198" t="s">
        <v>935</v>
      </c>
      <c r="C86" s="247">
        <f>C87+C90+C93+C96+C101+C102+C99+C98+C91</f>
        <v>5895951.07</v>
      </c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34"/>
      <c r="CG86" s="234"/>
      <c r="CH86" s="234"/>
      <c r="CI86" s="234"/>
      <c r="CJ86" s="234"/>
      <c r="CK86" s="234"/>
      <c r="CL86" s="234"/>
      <c r="CM86" s="234"/>
      <c r="CN86" s="234"/>
      <c r="CO86" s="234"/>
      <c r="CP86" s="234"/>
      <c r="CQ86" s="234"/>
      <c r="CR86" s="234"/>
      <c r="CS86" s="234"/>
      <c r="CT86" s="234"/>
      <c r="CU86" s="234"/>
      <c r="CV86" s="234"/>
      <c r="CW86" s="234"/>
      <c r="CX86" s="234"/>
      <c r="CY86" s="234"/>
      <c r="CZ86" s="234"/>
      <c r="DA86" s="234"/>
      <c r="DB86" s="234"/>
      <c r="DC86" s="234"/>
      <c r="DD86" s="234"/>
      <c r="DE86" s="234"/>
      <c r="DF86" s="234"/>
      <c r="DG86" s="234"/>
      <c r="DH86" s="234"/>
      <c r="DI86" s="234"/>
      <c r="DJ86" s="234"/>
      <c r="DK86" s="234"/>
      <c r="DL86" s="234"/>
      <c r="DM86" s="234"/>
      <c r="DN86" s="234"/>
      <c r="DO86" s="234"/>
      <c r="DP86" s="234"/>
      <c r="DQ86" s="234"/>
      <c r="DR86" s="234"/>
      <c r="DS86" s="234"/>
      <c r="DT86" s="234"/>
      <c r="DU86" s="234"/>
      <c r="DV86" s="234"/>
      <c r="DW86" s="234"/>
      <c r="DX86" s="234"/>
      <c r="DY86" s="234"/>
      <c r="DZ86" s="234"/>
      <c r="EA86" s="234"/>
      <c r="EB86" s="234"/>
      <c r="EC86" s="234"/>
      <c r="ED86" s="234"/>
      <c r="EE86" s="234"/>
      <c r="EF86" s="234"/>
      <c r="EG86" s="234"/>
      <c r="EH86" s="234"/>
      <c r="EI86" s="234"/>
      <c r="EJ86" s="234"/>
      <c r="EK86" s="234"/>
      <c r="EL86" s="234"/>
      <c r="EM86" s="234"/>
      <c r="EN86" s="234"/>
      <c r="EO86" s="234"/>
      <c r="EP86" s="234"/>
      <c r="EQ86" s="234"/>
      <c r="ER86" s="234"/>
      <c r="ES86" s="234"/>
      <c r="ET86" s="234"/>
      <c r="EU86" s="234"/>
      <c r="EV86" s="234"/>
      <c r="EW86" s="234"/>
      <c r="EX86" s="234"/>
      <c r="EY86" s="234"/>
      <c r="EZ86" s="234"/>
      <c r="FA86" s="234"/>
      <c r="FB86" s="234"/>
      <c r="FC86" s="234"/>
      <c r="FD86" s="234"/>
      <c r="FE86" s="234"/>
      <c r="FF86" s="234"/>
      <c r="FG86" s="234"/>
      <c r="FH86" s="234"/>
      <c r="FI86" s="234"/>
      <c r="FJ86" s="234"/>
      <c r="FK86" s="234"/>
      <c r="FL86" s="234"/>
      <c r="FM86" s="234"/>
      <c r="FN86" s="234"/>
      <c r="FO86" s="234"/>
      <c r="FP86" s="234"/>
      <c r="FQ86" s="234"/>
      <c r="FR86" s="234"/>
      <c r="FS86" s="234"/>
      <c r="FT86" s="234"/>
      <c r="FU86" s="234"/>
      <c r="FV86" s="234"/>
      <c r="FW86" s="234"/>
      <c r="FX86" s="234"/>
      <c r="FY86" s="234"/>
      <c r="FZ86" s="234"/>
      <c r="GA86" s="234"/>
      <c r="GB86" s="234"/>
      <c r="GC86" s="234"/>
      <c r="GD86" s="234"/>
      <c r="GE86" s="234"/>
      <c r="GF86" s="234"/>
      <c r="GG86" s="234"/>
      <c r="GH86" s="234"/>
      <c r="GI86" s="234"/>
      <c r="GJ86" s="234"/>
      <c r="GK86" s="234"/>
      <c r="GL86" s="234"/>
      <c r="GM86" s="234"/>
      <c r="GN86" s="234"/>
      <c r="GO86" s="234"/>
      <c r="GP86" s="234"/>
      <c r="GQ86" s="234"/>
      <c r="GR86" s="234"/>
      <c r="GS86" s="234"/>
      <c r="GT86" s="234"/>
      <c r="GU86" s="234"/>
      <c r="GV86" s="234"/>
      <c r="GW86" s="234"/>
      <c r="GX86" s="234"/>
      <c r="GY86" s="234"/>
      <c r="GZ86" s="234"/>
      <c r="HA86" s="234"/>
      <c r="HB86" s="234"/>
      <c r="HC86" s="234"/>
      <c r="HD86" s="234"/>
      <c r="HE86" s="234"/>
      <c r="HF86" s="234"/>
      <c r="HG86" s="234"/>
      <c r="HH86" s="234"/>
      <c r="HI86" s="234"/>
      <c r="HJ86" s="234"/>
      <c r="HK86" s="234"/>
      <c r="HL86" s="234"/>
      <c r="HM86" s="234"/>
      <c r="HN86" s="234"/>
      <c r="HO86" s="234"/>
      <c r="HP86" s="234"/>
      <c r="HQ86" s="234"/>
      <c r="HR86" s="234"/>
      <c r="HS86" s="234"/>
      <c r="HT86" s="234"/>
      <c r="HU86" s="234"/>
      <c r="HV86" s="234"/>
      <c r="HW86" s="234"/>
      <c r="HX86" s="234"/>
      <c r="HY86" s="234"/>
      <c r="HZ86" s="234"/>
      <c r="IA86" s="234"/>
      <c r="IB86" s="234"/>
      <c r="IC86" s="234"/>
      <c r="ID86" s="234"/>
      <c r="IE86" s="234"/>
      <c r="IF86" s="234"/>
      <c r="IG86" s="234"/>
      <c r="IH86" s="234"/>
      <c r="II86" s="234"/>
      <c r="IJ86" s="234"/>
      <c r="IK86" s="234"/>
      <c r="IL86" s="234"/>
      <c r="IM86" s="234"/>
      <c r="IN86" s="234"/>
      <c r="IO86" s="234"/>
      <c r="IP86" s="234"/>
      <c r="IQ86" s="234"/>
      <c r="IR86" s="234"/>
      <c r="IS86" s="234"/>
      <c r="IT86" s="234"/>
      <c r="IU86" s="234"/>
      <c r="IV86" s="234"/>
    </row>
    <row r="87" spans="1:256" ht="47.25" customHeight="1">
      <c r="A87" s="242" t="s">
        <v>936</v>
      </c>
      <c r="B87" s="199" t="s">
        <v>937</v>
      </c>
      <c r="C87" s="256">
        <f>C88+C89</f>
        <v>60000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DI87" s="234"/>
      <c r="DJ87" s="234"/>
      <c r="DK87" s="234"/>
      <c r="DL87" s="234"/>
      <c r="DM87" s="234"/>
      <c r="DN87" s="234"/>
      <c r="DO87" s="234"/>
      <c r="DP87" s="234"/>
      <c r="DQ87" s="234"/>
      <c r="DR87" s="234"/>
      <c r="DS87" s="234"/>
      <c r="DT87" s="234"/>
      <c r="DU87" s="234"/>
      <c r="DV87" s="234"/>
      <c r="DW87" s="234"/>
      <c r="DX87" s="234"/>
      <c r="DY87" s="234"/>
      <c r="DZ87" s="234"/>
      <c r="EA87" s="234"/>
      <c r="EB87" s="234"/>
      <c r="EC87" s="234"/>
      <c r="ED87" s="234"/>
      <c r="EE87" s="234"/>
      <c r="EF87" s="234"/>
      <c r="EG87" s="234"/>
      <c r="EH87" s="234"/>
      <c r="EI87" s="234"/>
      <c r="EJ87" s="234"/>
      <c r="EK87" s="234"/>
      <c r="EL87" s="234"/>
      <c r="EM87" s="234"/>
      <c r="EN87" s="234"/>
      <c r="EO87" s="234"/>
      <c r="EP87" s="234"/>
      <c r="EQ87" s="234"/>
      <c r="ER87" s="234"/>
      <c r="ES87" s="234"/>
      <c r="ET87" s="234"/>
      <c r="EU87" s="234"/>
      <c r="EV87" s="234"/>
      <c r="EW87" s="234"/>
      <c r="EX87" s="234"/>
      <c r="EY87" s="234"/>
      <c r="EZ87" s="234"/>
      <c r="FA87" s="234"/>
      <c r="FB87" s="234"/>
      <c r="FC87" s="234"/>
      <c r="FD87" s="234"/>
      <c r="FE87" s="234"/>
      <c r="FF87" s="234"/>
      <c r="FG87" s="234"/>
      <c r="FH87" s="234"/>
      <c r="FI87" s="234"/>
      <c r="FJ87" s="234"/>
      <c r="FK87" s="234"/>
      <c r="FL87" s="234"/>
      <c r="FM87" s="234"/>
      <c r="FN87" s="234"/>
      <c r="FO87" s="234"/>
      <c r="FP87" s="234"/>
      <c r="FQ87" s="234"/>
      <c r="FR87" s="234"/>
      <c r="FS87" s="234"/>
      <c r="FT87" s="234"/>
      <c r="FU87" s="234"/>
      <c r="FV87" s="234"/>
      <c r="FW87" s="234"/>
      <c r="FX87" s="234"/>
      <c r="FY87" s="234"/>
      <c r="FZ87" s="234"/>
      <c r="GA87" s="234"/>
      <c r="GB87" s="234"/>
      <c r="GC87" s="234"/>
      <c r="GD87" s="234"/>
      <c r="GE87" s="234"/>
      <c r="GF87" s="234"/>
      <c r="GG87" s="234"/>
      <c r="GH87" s="234"/>
      <c r="GI87" s="234"/>
      <c r="GJ87" s="234"/>
      <c r="GK87" s="234"/>
      <c r="GL87" s="234"/>
      <c r="GM87" s="234"/>
      <c r="GN87" s="234"/>
      <c r="GO87" s="234"/>
      <c r="GP87" s="234"/>
      <c r="GQ87" s="234"/>
      <c r="GR87" s="234"/>
      <c r="GS87" s="234"/>
      <c r="GT87" s="234"/>
      <c r="GU87" s="234"/>
      <c r="GV87" s="234"/>
      <c r="GW87" s="234"/>
      <c r="GX87" s="234"/>
      <c r="GY87" s="234"/>
      <c r="GZ87" s="234"/>
      <c r="HA87" s="234"/>
      <c r="HB87" s="234"/>
      <c r="HC87" s="234"/>
      <c r="HD87" s="234"/>
      <c r="HE87" s="234"/>
      <c r="HF87" s="234"/>
      <c r="HG87" s="234"/>
      <c r="HH87" s="234"/>
      <c r="HI87" s="234"/>
      <c r="HJ87" s="234"/>
      <c r="HK87" s="234"/>
      <c r="HL87" s="234"/>
      <c r="HM87" s="234"/>
      <c r="HN87" s="234"/>
      <c r="HO87" s="234"/>
      <c r="HP87" s="234"/>
      <c r="HQ87" s="234"/>
      <c r="HR87" s="234"/>
      <c r="HS87" s="234"/>
      <c r="HT87" s="234"/>
      <c r="HU87" s="234"/>
      <c r="HV87" s="234"/>
      <c r="HW87" s="234"/>
      <c r="HX87" s="234"/>
      <c r="HY87" s="234"/>
      <c r="HZ87" s="234"/>
      <c r="IA87" s="234"/>
      <c r="IB87" s="234"/>
      <c r="IC87" s="234"/>
      <c r="ID87" s="234"/>
      <c r="IE87" s="234"/>
      <c r="IF87" s="234"/>
      <c r="IG87" s="234"/>
      <c r="IH87" s="234"/>
      <c r="II87" s="234"/>
      <c r="IJ87" s="234"/>
      <c r="IK87" s="234"/>
      <c r="IL87" s="234"/>
      <c r="IM87" s="234"/>
      <c r="IN87" s="234"/>
      <c r="IO87" s="234"/>
      <c r="IP87" s="234"/>
      <c r="IQ87" s="234"/>
      <c r="IR87" s="234"/>
      <c r="IS87" s="234"/>
      <c r="IT87" s="234"/>
      <c r="IU87" s="234"/>
      <c r="IV87" s="234"/>
    </row>
    <row r="88" spans="1:256" ht="106.5" customHeight="1">
      <c r="A88" s="243" t="s">
        <v>938</v>
      </c>
      <c r="B88" s="200" t="s">
        <v>939</v>
      </c>
      <c r="C88" s="257">
        <f>28000+30000</f>
        <v>58000</v>
      </c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  <c r="IM88" s="234"/>
      <c r="IN88" s="234"/>
      <c r="IO88" s="234"/>
      <c r="IP88" s="234"/>
      <c r="IQ88" s="234"/>
      <c r="IR88" s="234"/>
      <c r="IS88" s="234"/>
      <c r="IT88" s="234"/>
      <c r="IU88" s="234"/>
      <c r="IV88" s="234"/>
    </row>
    <row r="89" spans="1:256" ht="83.25" customHeight="1">
      <c r="A89" s="243" t="s">
        <v>940</v>
      </c>
      <c r="B89" s="201" t="s">
        <v>941</v>
      </c>
      <c r="C89" s="257">
        <v>2000</v>
      </c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4"/>
      <c r="DJ89" s="234"/>
      <c r="DK89" s="234"/>
      <c r="DL89" s="234"/>
      <c r="DM89" s="234"/>
      <c r="DN89" s="234"/>
      <c r="DO89" s="234"/>
      <c r="DP89" s="234"/>
      <c r="DQ89" s="234"/>
      <c r="DR89" s="234"/>
      <c r="DS89" s="234"/>
      <c r="DT89" s="234"/>
      <c r="DU89" s="234"/>
      <c r="DV89" s="234"/>
      <c r="DW89" s="234"/>
      <c r="DX89" s="234"/>
      <c r="DY89" s="234"/>
      <c r="DZ89" s="234"/>
      <c r="EA89" s="234"/>
      <c r="EB89" s="234"/>
      <c r="EC89" s="234"/>
      <c r="ED89" s="234"/>
      <c r="EE89" s="234"/>
      <c r="EF89" s="234"/>
      <c r="EG89" s="234"/>
      <c r="EH89" s="234"/>
      <c r="EI89" s="234"/>
      <c r="EJ89" s="234"/>
      <c r="EK89" s="234"/>
      <c r="EL89" s="234"/>
      <c r="EM89" s="234"/>
      <c r="EN89" s="234"/>
      <c r="EO89" s="234"/>
      <c r="EP89" s="234"/>
      <c r="EQ89" s="234"/>
      <c r="ER89" s="234"/>
      <c r="ES89" s="234"/>
      <c r="ET89" s="234"/>
      <c r="EU89" s="234"/>
      <c r="EV89" s="234"/>
      <c r="EW89" s="234"/>
      <c r="EX89" s="234"/>
      <c r="EY89" s="234"/>
      <c r="EZ89" s="234"/>
      <c r="FA89" s="234"/>
      <c r="FB89" s="234"/>
      <c r="FC89" s="234"/>
      <c r="FD89" s="234"/>
      <c r="FE89" s="234"/>
      <c r="FF89" s="234"/>
      <c r="FG89" s="234"/>
      <c r="FH89" s="234"/>
      <c r="FI89" s="234"/>
      <c r="FJ89" s="234"/>
      <c r="FK89" s="234"/>
      <c r="FL89" s="234"/>
      <c r="FM89" s="234"/>
      <c r="FN89" s="234"/>
      <c r="FO89" s="234"/>
      <c r="FP89" s="234"/>
      <c r="FQ89" s="234"/>
      <c r="FR89" s="234"/>
      <c r="FS89" s="234"/>
      <c r="FT89" s="234"/>
      <c r="FU89" s="234"/>
      <c r="FV89" s="234"/>
      <c r="FW89" s="234"/>
      <c r="FX89" s="234"/>
      <c r="FY89" s="234"/>
      <c r="FZ89" s="234"/>
      <c r="GA89" s="234"/>
      <c r="GB89" s="234"/>
      <c r="GC89" s="234"/>
      <c r="GD89" s="234"/>
      <c r="GE89" s="234"/>
      <c r="GF89" s="234"/>
      <c r="GG89" s="234"/>
      <c r="GH89" s="234"/>
      <c r="GI89" s="234"/>
      <c r="GJ89" s="234"/>
      <c r="GK89" s="234"/>
      <c r="GL89" s="234"/>
      <c r="GM89" s="234"/>
      <c r="GN89" s="234"/>
      <c r="GO89" s="234"/>
      <c r="GP89" s="234"/>
      <c r="GQ89" s="234"/>
      <c r="GR89" s="234"/>
      <c r="GS89" s="234"/>
      <c r="GT89" s="234"/>
      <c r="GU89" s="234"/>
      <c r="GV89" s="234"/>
      <c r="GW89" s="234"/>
      <c r="GX89" s="234"/>
      <c r="GY89" s="234"/>
      <c r="GZ89" s="234"/>
      <c r="HA89" s="234"/>
      <c r="HB89" s="234"/>
      <c r="HC89" s="234"/>
      <c r="HD89" s="234"/>
      <c r="HE89" s="234"/>
      <c r="HF89" s="234"/>
      <c r="HG89" s="234"/>
      <c r="HH89" s="234"/>
      <c r="HI89" s="234"/>
      <c r="HJ89" s="234"/>
      <c r="HK89" s="234"/>
      <c r="HL89" s="234"/>
      <c r="HM89" s="234"/>
      <c r="HN89" s="234"/>
      <c r="HO89" s="234"/>
      <c r="HP89" s="234"/>
      <c r="HQ89" s="234"/>
      <c r="HR89" s="234"/>
      <c r="HS89" s="234"/>
      <c r="HT89" s="234"/>
      <c r="HU89" s="234"/>
      <c r="HV89" s="234"/>
      <c r="HW89" s="234"/>
      <c r="HX89" s="234"/>
      <c r="HY89" s="234"/>
      <c r="HZ89" s="234"/>
      <c r="IA89" s="234"/>
      <c r="IB89" s="234"/>
      <c r="IC89" s="234"/>
      <c r="ID89" s="234"/>
      <c r="IE89" s="234"/>
      <c r="IF89" s="234"/>
      <c r="IG89" s="234"/>
      <c r="IH89" s="234"/>
      <c r="II89" s="234"/>
      <c r="IJ89" s="234"/>
      <c r="IK89" s="234"/>
      <c r="IL89" s="234"/>
      <c r="IM89" s="234"/>
      <c r="IN89" s="234"/>
      <c r="IO89" s="234"/>
      <c r="IP89" s="234"/>
      <c r="IQ89" s="234"/>
      <c r="IR89" s="234"/>
      <c r="IS89" s="234"/>
      <c r="IT89" s="234"/>
      <c r="IU89" s="234"/>
      <c r="IV89" s="234"/>
    </row>
    <row r="90" spans="1:256" ht="102.75" customHeight="1">
      <c r="A90" s="242" t="s">
        <v>942</v>
      </c>
      <c r="B90" s="199" t="s">
        <v>943</v>
      </c>
      <c r="C90" s="256">
        <f>21000+9000</f>
        <v>30000</v>
      </c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4"/>
      <c r="DE90" s="234"/>
      <c r="DF90" s="234"/>
      <c r="DG90" s="234"/>
      <c r="DH90" s="234"/>
      <c r="DI90" s="234"/>
      <c r="DJ90" s="234"/>
      <c r="DK90" s="234"/>
      <c r="DL90" s="234"/>
      <c r="DM90" s="234"/>
      <c r="DN90" s="234"/>
      <c r="DO90" s="234"/>
      <c r="DP90" s="234"/>
      <c r="DQ90" s="234"/>
      <c r="DR90" s="234"/>
      <c r="DS90" s="234"/>
      <c r="DT90" s="234"/>
      <c r="DU90" s="234"/>
      <c r="DV90" s="234"/>
      <c r="DW90" s="234"/>
      <c r="DX90" s="234"/>
      <c r="DY90" s="234"/>
      <c r="DZ90" s="234"/>
      <c r="EA90" s="234"/>
      <c r="EB90" s="234"/>
      <c r="EC90" s="234"/>
      <c r="ED90" s="234"/>
      <c r="EE90" s="234"/>
      <c r="EF90" s="234"/>
      <c r="EG90" s="234"/>
      <c r="EH90" s="234"/>
      <c r="EI90" s="234"/>
      <c r="EJ90" s="234"/>
      <c r="EK90" s="234"/>
      <c r="EL90" s="234"/>
      <c r="EM90" s="234"/>
      <c r="EN90" s="234"/>
      <c r="EO90" s="234"/>
      <c r="EP90" s="234"/>
      <c r="EQ90" s="234"/>
      <c r="ER90" s="234"/>
      <c r="ES90" s="234"/>
      <c r="ET90" s="234"/>
      <c r="EU90" s="234"/>
      <c r="EV90" s="234"/>
      <c r="EW90" s="234"/>
      <c r="EX90" s="234"/>
      <c r="EY90" s="234"/>
      <c r="EZ90" s="234"/>
      <c r="FA90" s="234"/>
      <c r="FB90" s="234"/>
      <c r="FC90" s="234"/>
      <c r="FD90" s="234"/>
      <c r="FE90" s="234"/>
      <c r="FF90" s="234"/>
      <c r="FG90" s="234"/>
      <c r="FH90" s="234"/>
      <c r="FI90" s="234"/>
      <c r="FJ90" s="234"/>
      <c r="FK90" s="234"/>
      <c r="FL90" s="234"/>
      <c r="FM90" s="234"/>
      <c r="FN90" s="234"/>
      <c r="FO90" s="234"/>
      <c r="FP90" s="234"/>
      <c r="FQ90" s="234"/>
      <c r="FR90" s="234"/>
      <c r="FS90" s="234"/>
      <c r="FT90" s="234"/>
      <c r="FU90" s="234"/>
      <c r="FV90" s="234"/>
      <c r="FW90" s="234"/>
      <c r="FX90" s="234"/>
      <c r="FY90" s="234"/>
      <c r="FZ90" s="234"/>
      <c r="GA90" s="234"/>
      <c r="GB90" s="234"/>
      <c r="GC90" s="234"/>
      <c r="GD90" s="234"/>
      <c r="GE90" s="234"/>
      <c r="GF90" s="234"/>
      <c r="GG90" s="234"/>
      <c r="GH90" s="234"/>
      <c r="GI90" s="234"/>
      <c r="GJ90" s="234"/>
      <c r="GK90" s="234"/>
      <c r="GL90" s="234"/>
      <c r="GM90" s="234"/>
      <c r="GN90" s="234"/>
      <c r="GO90" s="234"/>
      <c r="GP90" s="234"/>
      <c r="GQ90" s="234"/>
      <c r="GR90" s="234"/>
      <c r="GS90" s="234"/>
      <c r="GT90" s="234"/>
      <c r="GU90" s="234"/>
      <c r="GV90" s="234"/>
      <c r="GW90" s="234"/>
      <c r="GX90" s="234"/>
      <c r="GY90" s="234"/>
      <c r="GZ90" s="234"/>
      <c r="HA90" s="234"/>
      <c r="HB90" s="234"/>
      <c r="HC90" s="234"/>
      <c r="HD90" s="234"/>
      <c r="HE90" s="234"/>
      <c r="HF90" s="234"/>
      <c r="HG90" s="234"/>
      <c r="HH90" s="234"/>
      <c r="HI90" s="234"/>
      <c r="HJ90" s="234"/>
      <c r="HK90" s="234"/>
      <c r="HL90" s="234"/>
      <c r="HM90" s="234"/>
      <c r="HN90" s="234"/>
      <c r="HO90" s="234"/>
      <c r="HP90" s="234"/>
      <c r="HQ90" s="234"/>
      <c r="HR90" s="234"/>
      <c r="HS90" s="234"/>
      <c r="HT90" s="234"/>
      <c r="HU90" s="234"/>
      <c r="HV90" s="234"/>
      <c r="HW90" s="234"/>
      <c r="HX90" s="234"/>
      <c r="HY90" s="234"/>
      <c r="HZ90" s="234"/>
      <c r="IA90" s="234"/>
      <c r="IB90" s="234"/>
      <c r="IC90" s="234"/>
      <c r="ID90" s="234"/>
      <c r="IE90" s="234"/>
      <c r="IF90" s="234"/>
      <c r="IG90" s="234"/>
      <c r="IH90" s="234"/>
      <c r="II90" s="234"/>
      <c r="IJ90" s="234"/>
      <c r="IK90" s="234"/>
      <c r="IL90" s="234"/>
      <c r="IM90" s="234"/>
      <c r="IN90" s="234"/>
      <c r="IO90" s="234"/>
      <c r="IP90" s="234"/>
      <c r="IQ90" s="234"/>
      <c r="IR90" s="234"/>
      <c r="IS90" s="234"/>
      <c r="IT90" s="234"/>
      <c r="IU90" s="234"/>
      <c r="IV90" s="234"/>
    </row>
    <row r="91" spans="1:256" ht="94.5" customHeight="1">
      <c r="A91" s="244" t="s">
        <v>944</v>
      </c>
      <c r="B91" s="202" t="s">
        <v>945</v>
      </c>
      <c r="C91" s="258">
        <f>C92</f>
        <v>350000</v>
      </c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DI91" s="234"/>
      <c r="DJ91" s="234"/>
      <c r="DK91" s="234"/>
      <c r="DL91" s="234"/>
      <c r="DM91" s="234"/>
      <c r="DN91" s="234"/>
      <c r="DO91" s="234"/>
      <c r="DP91" s="234"/>
      <c r="DQ91" s="234"/>
      <c r="DR91" s="234"/>
      <c r="DS91" s="234"/>
      <c r="DT91" s="234"/>
      <c r="DU91" s="234"/>
      <c r="DV91" s="234"/>
      <c r="DW91" s="234"/>
      <c r="DX91" s="234"/>
      <c r="DY91" s="234"/>
      <c r="DZ91" s="234"/>
      <c r="EA91" s="234"/>
      <c r="EB91" s="234"/>
      <c r="EC91" s="234"/>
      <c r="ED91" s="234"/>
      <c r="EE91" s="234"/>
      <c r="EF91" s="234"/>
      <c r="EG91" s="234"/>
      <c r="EH91" s="234"/>
      <c r="EI91" s="234"/>
      <c r="EJ91" s="234"/>
      <c r="EK91" s="234"/>
      <c r="EL91" s="234"/>
      <c r="EM91" s="234"/>
      <c r="EN91" s="234"/>
      <c r="EO91" s="234"/>
      <c r="EP91" s="234"/>
      <c r="EQ91" s="234"/>
      <c r="ER91" s="234"/>
      <c r="ES91" s="234"/>
      <c r="ET91" s="234"/>
      <c r="EU91" s="234"/>
      <c r="EV91" s="234"/>
      <c r="EW91" s="234"/>
      <c r="EX91" s="234"/>
      <c r="EY91" s="234"/>
      <c r="EZ91" s="234"/>
      <c r="FA91" s="234"/>
      <c r="FB91" s="234"/>
      <c r="FC91" s="234"/>
      <c r="FD91" s="234"/>
      <c r="FE91" s="234"/>
      <c r="FF91" s="234"/>
      <c r="FG91" s="234"/>
      <c r="FH91" s="234"/>
      <c r="FI91" s="234"/>
      <c r="FJ91" s="234"/>
      <c r="FK91" s="234"/>
      <c r="FL91" s="234"/>
      <c r="FM91" s="234"/>
      <c r="FN91" s="234"/>
      <c r="FO91" s="234"/>
      <c r="FP91" s="234"/>
      <c r="FQ91" s="234"/>
      <c r="FR91" s="234"/>
      <c r="FS91" s="234"/>
      <c r="FT91" s="234"/>
      <c r="FU91" s="234"/>
      <c r="FV91" s="234"/>
      <c r="FW91" s="234"/>
      <c r="FX91" s="234"/>
      <c r="FY91" s="234"/>
      <c r="FZ91" s="234"/>
      <c r="GA91" s="234"/>
      <c r="GB91" s="234"/>
      <c r="GC91" s="234"/>
      <c r="GD91" s="234"/>
      <c r="GE91" s="234"/>
      <c r="GF91" s="234"/>
      <c r="GG91" s="234"/>
      <c r="GH91" s="234"/>
      <c r="GI91" s="234"/>
      <c r="GJ91" s="234"/>
      <c r="GK91" s="234"/>
      <c r="GL91" s="234"/>
      <c r="GM91" s="234"/>
      <c r="GN91" s="234"/>
      <c r="GO91" s="234"/>
      <c r="GP91" s="234"/>
      <c r="GQ91" s="234"/>
      <c r="GR91" s="234"/>
      <c r="GS91" s="234"/>
      <c r="GT91" s="234"/>
      <c r="GU91" s="234"/>
      <c r="GV91" s="234"/>
      <c r="GW91" s="234"/>
      <c r="GX91" s="234"/>
      <c r="GY91" s="234"/>
      <c r="GZ91" s="234"/>
      <c r="HA91" s="234"/>
      <c r="HB91" s="234"/>
      <c r="HC91" s="234"/>
      <c r="HD91" s="234"/>
      <c r="HE91" s="234"/>
      <c r="HF91" s="234"/>
      <c r="HG91" s="234"/>
      <c r="HH91" s="234"/>
      <c r="HI91" s="234"/>
      <c r="HJ91" s="234"/>
      <c r="HK91" s="234"/>
      <c r="HL91" s="234"/>
      <c r="HM91" s="234"/>
      <c r="HN91" s="234"/>
      <c r="HO91" s="234"/>
      <c r="HP91" s="234"/>
      <c r="HQ91" s="234"/>
      <c r="HR91" s="234"/>
      <c r="HS91" s="234"/>
      <c r="HT91" s="234"/>
      <c r="HU91" s="234"/>
      <c r="HV91" s="234"/>
      <c r="HW91" s="234"/>
      <c r="HX91" s="234"/>
      <c r="HY91" s="234"/>
      <c r="HZ91" s="234"/>
      <c r="IA91" s="234"/>
      <c r="IB91" s="234"/>
      <c r="IC91" s="234"/>
      <c r="ID91" s="234"/>
      <c r="IE91" s="234"/>
      <c r="IF91" s="234"/>
      <c r="IG91" s="234"/>
      <c r="IH91" s="234"/>
      <c r="II91" s="234"/>
      <c r="IJ91" s="234"/>
      <c r="IK91" s="234"/>
      <c r="IL91" s="234"/>
      <c r="IM91" s="234"/>
      <c r="IN91" s="234"/>
      <c r="IO91" s="234"/>
      <c r="IP91" s="234"/>
      <c r="IQ91" s="234"/>
      <c r="IR91" s="234"/>
      <c r="IS91" s="234"/>
      <c r="IT91" s="234"/>
      <c r="IU91" s="234"/>
      <c r="IV91" s="234"/>
    </row>
    <row r="92" spans="1:256" ht="80.25" customHeight="1">
      <c r="A92" s="239" t="s">
        <v>946</v>
      </c>
      <c r="B92" s="185" t="s">
        <v>947</v>
      </c>
      <c r="C92" s="253">
        <v>350000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  <c r="DK92" s="234"/>
      <c r="DL92" s="234"/>
      <c r="DM92" s="234"/>
      <c r="DN92" s="234"/>
      <c r="DO92" s="234"/>
      <c r="DP92" s="234"/>
      <c r="DQ92" s="234"/>
      <c r="DR92" s="234"/>
      <c r="DS92" s="234"/>
      <c r="DT92" s="234"/>
      <c r="DU92" s="234"/>
      <c r="DV92" s="234"/>
      <c r="DW92" s="234"/>
      <c r="DX92" s="234"/>
      <c r="DY92" s="234"/>
      <c r="DZ92" s="234"/>
      <c r="EA92" s="234"/>
      <c r="EB92" s="234"/>
      <c r="EC92" s="234"/>
      <c r="ED92" s="234"/>
      <c r="EE92" s="234"/>
      <c r="EF92" s="234"/>
      <c r="EG92" s="234"/>
      <c r="EH92" s="234"/>
      <c r="EI92" s="234"/>
      <c r="EJ92" s="234"/>
      <c r="EK92" s="234"/>
      <c r="EL92" s="234"/>
      <c r="EM92" s="234"/>
      <c r="EN92" s="234"/>
      <c r="EO92" s="234"/>
      <c r="EP92" s="234"/>
      <c r="EQ92" s="234"/>
      <c r="ER92" s="234"/>
      <c r="ES92" s="234"/>
      <c r="ET92" s="234"/>
      <c r="EU92" s="234"/>
      <c r="EV92" s="234"/>
      <c r="EW92" s="234"/>
      <c r="EX92" s="234"/>
      <c r="EY92" s="234"/>
      <c r="EZ92" s="234"/>
      <c r="FA92" s="234"/>
      <c r="FB92" s="234"/>
      <c r="FC92" s="234"/>
      <c r="FD92" s="234"/>
      <c r="FE92" s="234"/>
      <c r="FF92" s="234"/>
      <c r="FG92" s="234"/>
      <c r="FH92" s="234"/>
      <c r="FI92" s="234"/>
      <c r="FJ92" s="234"/>
      <c r="FK92" s="234"/>
      <c r="FL92" s="234"/>
      <c r="FM92" s="234"/>
      <c r="FN92" s="234"/>
      <c r="FO92" s="234"/>
      <c r="FP92" s="234"/>
      <c r="FQ92" s="234"/>
      <c r="FR92" s="234"/>
      <c r="FS92" s="234"/>
      <c r="FT92" s="234"/>
      <c r="FU92" s="234"/>
      <c r="FV92" s="234"/>
      <c r="FW92" s="234"/>
      <c r="FX92" s="234"/>
      <c r="FY92" s="234"/>
      <c r="FZ92" s="234"/>
      <c r="GA92" s="234"/>
      <c r="GB92" s="234"/>
      <c r="GC92" s="234"/>
      <c r="GD92" s="234"/>
      <c r="GE92" s="234"/>
      <c r="GF92" s="234"/>
      <c r="GG92" s="234"/>
      <c r="GH92" s="234"/>
      <c r="GI92" s="234"/>
      <c r="GJ92" s="234"/>
      <c r="GK92" s="234"/>
      <c r="GL92" s="234"/>
      <c r="GM92" s="234"/>
      <c r="GN92" s="234"/>
      <c r="GO92" s="234"/>
      <c r="GP92" s="234"/>
      <c r="GQ92" s="234"/>
      <c r="GR92" s="234"/>
      <c r="GS92" s="234"/>
      <c r="GT92" s="234"/>
      <c r="GU92" s="234"/>
      <c r="GV92" s="234"/>
      <c r="GW92" s="234"/>
      <c r="GX92" s="234"/>
      <c r="GY92" s="234"/>
      <c r="GZ92" s="234"/>
      <c r="HA92" s="234"/>
      <c r="HB92" s="234"/>
      <c r="HC92" s="234"/>
      <c r="HD92" s="234"/>
      <c r="HE92" s="234"/>
      <c r="HF92" s="234"/>
      <c r="HG92" s="234"/>
      <c r="HH92" s="234"/>
      <c r="HI92" s="234"/>
      <c r="HJ92" s="234"/>
      <c r="HK92" s="234"/>
      <c r="HL92" s="234"/>
      <c r="HM92" s="234"/>
      <c r="HN92" s="234"/>
      <c r="HO92" s="234"/>
      <c r="HP92" s="234"/>
      <c r="HQ92" s="234"/>
      <c r="HR92" s="234"/>
      <c r="HS92" s="234"/>
      <c r="HT92" s="234"/>
      <c r="HU92" s="234"/>
      <c r="HV92" s="234"/>
      <c r="HW92" s="234"/>
      <c r="HX92" s="234"/>
      <c r="HY92" s="234"/>
      <c r="HZ92" s="234"/>
      <c r="IA92" s="234"/>
      <c r="IB92" s="234"/>
      <c r="IC92" s="234"/>
      <c r="ID92" s="234"/>
      <c r="IE92" s="234"/>
      <c r="IF92" s="234"/>
      <c r="IG92" s="234"/>
      <c r="IH92" s="234"/>
      <c r="II92" s="234"/>
      <c r="IJ92" s="234"/>
      <c r="IK92" s="234"/>
      <c r="IL92" s="234"/>
      <c r="IM92" s="234"/>
      <c r="IN92" s="234"/>
      <c r="IO92" s="234"/>
      <c r="IP92" s="234"/>
      <c r="IQ92" s="234"/>
      <c r="IR92" s="234"/>
      <c r="IS92" s="234"/>
      <c r="IT92" s="234"/>
      <c r="IU92" s="234"/>
      <c r="IV92" s="234"/>
    </row>
    <row r="93" spans="1:256" ht="176.25" customHeight="1" hidden="1">
      <c r="A93" s="242" t="s">
        <v>948</v>
      </c>
      <c r="B93" s="199" t="s">
        <v>949</v>
      </c>
      <c r="C93" s="256">
        <f>C95+C94</f>
        <v>0</v>
      </c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34"/>
      <c r="DO93" s="234"/>
      <c r="DP93" s="234"/>
      <c r="DQ93" s="234"/>
      <c r="DR93" s="234"/>
      <c r="DS93" s="234"/>
      <c r="DT93" s="234"/>
      <c r="DU93" s="234"/>
      <c r="DV93" s="234"/>
      <c r="DW93" s="234"/>
      <c r="DX93" s="234"/>
      <c r="DY93" s="234"/>
      <c r="DZ93" s="234"/>
      <c r="EA93" s="234"/>
      <c r="EB93" s="234"/>
      <c r="EC93" s="234"/>
      <c r="ED93" s="234"/>
      <c r="EE93" s="234"/>
      <c r="EF93" s="234"/>
      <c r="EG93" s="234"/>
      <c r="EH93" s="234"/>
      <c r="EI93" s="234"/>
      <c r="EJ93" s="234"/>
      <c r="EK93" s="234"/>
      <c r="EL93" s="234"/>
      <c r="EM93" s="234"/>
      <c r="EN93" s="234"/>
      <c r="EO93" s="234"/>
      <c r="EP93" s="234"/>
      <c r="EQ93" s="234"/>
      <c r="ER93" s="234"/>
      <c r="ES93" s="234"/>
      <c r="ET93" s="234"/>
      <c r="EU93" s="234"/>
      <c r="EV93" s="234"/>
      <c r="EW93" s="234"/>
      <c r="EX93" s="234"/>
      <c r="EY93" s="234"/>
      <c r="EZ93" s="234"/>
      <c r="FA93" s="234"/>
      <c r="FB93" s="234"/>
      <c r="FC93" s="234"/>
      <c r="FD93" s="234"/>
      <c r="FE93" s="234"/>
      <c r="FF93" s="234"/>
      <c r="FG93" s="234"/>
      <c r="FH93" s="234"/>
      <c r="FI93" s="234"/>
      <c r="FJ93" s="234"/>
      <c r="FK93" s="234"/>
      <c r="FL93" s="234"/>
      <c r="FM93" s="234"/>
      <c r="FN93" s="234"/>
      <c r="FO93" s="234"/>
      <c r="FP93" s="234"/>
      <c r="FQ93" s="234"/>
      <c r="FR93" s="234"/>
      <c r="FS93" s="234"/>
      <c r="FT93" s="234"/>
      <c r="FU93" s="234"/>
      <c r="FV93" s="234"/>
      <c r="FW93" s="234"/>
      <c r="FX93" s="234"/>
      <c r="FY93" s="234"/>
      <c r="FZ93" s="234"/>
      <c r="GA93" s="234"/>
      <c r="GB93" s="234"/>
      <c r="GC93" s="234"/>
      <c r="GD93" s="234"/>
      <c r="GE93" s="234"/>
      <c r="GF93" s="234"/>
      <c r="GG93" s="234"/>
      <c r="GH93" s="234"/>
      <c r="GI93" s="234"/>
      <c r="GJ93" s="234"/>
      <c r="GK93" s="234"/>
      <c r="GL93" s="234"/>
      <c r="GM93" s="234"/>
      <c r="GN93" s="234"/>
      <c r="GO93" s="234"/>
      <c r="GP93" s="234"/>
      <c r="GQ93" s="234"/>
      <c r="GR93" s="234"/>
      <c r="GS93" s="234"/>
      <c r="GT93" s="234"/>
      <c r="GU93" s="234"/>
      <c r="GV93" s="234"/>
      <c r="GW93" s="234"/>
      <c r="GX93" s="234"/>
      <c r="GY93" s="234"/>
      <c r="GZ93" s="234"/>
      <c r="HA93" s="234"/>
      <c r="HB93" s="234"/>
      <c r="HC93" s="234"/>
      <c r="HD93" s="234"/>
      <c r="HE93" s="234"/>
      <c r="HF93" s="234"/>
      <c r="HG93" s="234"/>
      <c r="HH93" s="234"/>
      <c r="HI93" s="234"/>
      <c r="HJ93" s="234"/>
      <c r="HK93" s="234"/>
      <c r="HL93" s="234"/>
      <c r="HM93" s="234"/>
      <c r="HN93" s="234"/>
      <c r="HO93" s="234"/>
      <c r="HP93" s="234"/>
      <c r="HQ93" s="234"/>
      <c r="HR93" s="234"/>
      <c r="HS93" s="234"/>
      <c r="HT93" s="234"/>
      <c r="HU93" s="234"/>
      <c r="HV93" s="234"/>
      <c r="HW93" s="234"/>
      <c r="HX93" s="234"/>
      <c r="HY93" s="234"/>
      <c r="HZ93" s="234"/>
      <c r="IA93" s="234"/>
      <c r="IB93" s="234"/>
      <c r="IC93" s="234"/>
      <c r="ID93" s="234"/>
      <c r="IE93" s="234"/>
      <c r="IF93" s="234"/>
      <c r="IG93" s="234"/>
      <c r="IH93" s="234"/>
      <c r="II93" s="234"/>
      <c r="IJ93" s="234"/>
      <c r="IK93" s="234"/>
      <c r="IL93" s="234"/>
      <c r="IM93" s="234"/>
      <c r="IN93" s="234"/>
      <c r="IO93" s="234"/>
      <c r="IP93" s="234"/>
      <c r="IQ93" s="234"/>
      <c r="IR93" s="234"/>
      <c r="IS93" s="234"/>
      <c r="IT93" s="234"/>
      <c r="IU93" s="234"/>
      <c r="IV93" s="234"/>
    </row>
    <row r="94" spans="1:256" ht="45" customHeight="1" hidden="1">
      <c r="A94" s="243" t="s">
        <v>950</v>
      </c>
      <c r="B94" s="201" t="s">
        <v>951</v>
      </c>
      <c r="C94" s="257">
        <v>0</v>
      </c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234"/>
      <c r="BO94" s="234"/>
      <c r="BP94" s="234"/>
      <c r="BQ94" s="234"/>
      <c r="BR94" s="234"/>
      <c r="BS94" s="234"/>
      <c r="BT94" s="234"/>
      <c r="BU94" s="234"/>
      <c r="BV94" s="234"/>
      <c r="BW94" s="234"/>
      <c r="BX94" s="234"/>
      <c r="BY94" s="234"/>
      <c r="BZ94" s="234"/>
      <c r="CA94" s="234"/>
      <c r="CB94" s="234"/>
      <c r="CC94" s="234"/>
      <c r="CD94" s="234"/>
      <c r="CE94" s="234"/>
      <c r="CF94" s="234"/>
      <c r="CG94" s="234"/>
      <c r="CH94" s="234"/>
      <c r="CI94" s="234"/>
      <c r="CJ94" s="234"/>
      <c r="CK94" s="234"/>
      <c r="CL94" s="234"/>
      <c r="CM94" s="234"/>
      <c r="CN94" s="234"/>
      <c r="CO94" s="234"/>
      <c r="CP94" s="234"/>
      <c r="CQ94" s="234"/>
      <c r="CR94" s="234"/>
      <c r="CS94" s="234"/>
      <c r="CT94" s="234"/>
      <c r="CU94" s="234"/>
      <c r="CV94" s="234"/>
      <c r="CW94" s="234"/>
      <c r="CX94" s="234"/>
      <c r="CY94" s="234"/>
      <c r="CZ94" s="234"/>
      <c r="DA94" s="234"/>
      <c r="DB94" s="234"/>
      <c r="DC94" s="234"/>
      <c r="DD94" s="234"/>
      <c r="DE94" s="234"/>
      <c r="DF94" s="234"/>
      <c r="DG94" s="234"/>
      <c r="DH94" s="234"/>
      <c r="DI94" s="234"/>
      <c r="DJ94" s="234"/>
      <c r="DK94" s="234"/>
      <c r="DL94" s="234"/>
      <c r="DM94" s="234"/>
      <c r="DN94" s="234"/>
      <c r="DO94" s="234"/>
      <c r="DP94" s="234"/>
      <c r="DQ94" s="234"/>
      <c r="DR94" s="234"/>
      <c r="DS94" s="234"/>
      <c r="DT94" s="234"/>
      <c r="DU94" s="234"/>
      <c r="DV94" s="234"/>
      <c r="DW94" s="234"/>
      <c r="DX94" s="234"/>
      <c r="DY94" s="234"/>
      <c r="DZ94" s="234"/>
      <c r="EA94" s="234"/>
      <c r="EB94" s="234"/>
      <c r="EC94" s="234"/>
      <c r="ED94" s="234"/>
      <c r="EE94" s="234"/>
      <c r="EF94" s="234"/>
      <c r="EG94" s="234"/>
      <c r="EH94" s="234"/>
      <c r="EI94" s="234"/>
      <c r="EJ94" s="234"/>
      <c r="EK94" s="234"/>
      <c r="EL94" s="234"/>
      <c r="EM94" s="234"/>
      <c r="EN94" s="234"/>
      <c r="EO94" s="234"/>
      <c r="EP94" s="234"/>
      <c r="EQ94" s="234"/>
      <c r="ER94" s="234"/>
      <c r="ES94" s="234"/>
      <c r="ET94" s="234"/>
      <c r="EU94" s="234"/>
      <c r="EV94" s="234"/>
      <c r="EW94" s="234"/>
      <c r="EX94" s="234"/>
      <c r="EY94" s="234"/>
      <c r="EZ94" s="234"/>
      <c r="FA94" s="234"/>
      <c r="FB94" s="234"/>
      <c r="FC94" s="234"/>
      <c r="FD94" s="234"/>
      <c r="FE94" s="234"/>
      <c r="FF94" s="234"/>
      <c r="FG94" s="234"/>
      <c r="FH94" s="234"/>
      <c r="FI94" s="234"/>
      <c r="FJ94" s="234"/>
      <c r="FK94" s="234"/>
      <c r="FL94" s="234"/>
      <c r="FM94" s="234"/>
      <c r="FN94" s="234"/>
      <c r="FO94" s="234"/>
      <c r="FP94" s="234"/>
      <c r="FQ94" s="234"/>
      <c r="FR94" s="234"/>
      <c r="FS94" s="234"/>
      <c r="FT94" s="234"/>
      <c r="FU94" s="234"/>
      <c r="FV94" s="234"/>
      <c r="FW94" s="234"/>
      <c r="FX94" s="234"/>
      <c r="FY94" s="234"/>
      <c r="FZ94" s="234"/>
      <c r="GA94" s="234"/>
      <c r="GB94" s="234"/>
      <c r="GC94" s="234"/>
      <c r="GD94" s="234"/>
      <c r="GE94" s="234"/>
      <c r="GF94" s="234"/>
      <c r="GG94" s="234"/>
      <c r="GH94" s="234"/>
      <c r="GI94" s="234"/>
      <c r="GJ94" s="234"/>
      <c r="GK94" s="234"/>
      <c r="GL94" s="234"/>
      <c r="GM94" s="234"/>
      <c r="GN94" s="234"/>
      <c r="GO94" s="234"/>
      <c r="GP94" s="234"/>
      <c r="GQ94" s="234"/>
      <c r="GR94" s="234"/>
      <c r="GS94" s="234"/>
      <c r="GT94" s="234"/>
      <c r="GU94" s="234"/>
      <c r="GV94" s="234"/>
      <c r="GW94" s="234"/>
      <c r="GX94" s="234"/>
      <c r="GY94" s="234"/>
      <c r="GZ94" s="234"/>
      <c r="HA94" s="234"/>
      <c r="HB94" s="234"/>
      <c r="HC94" s="234"/>
      <c r="HD94" s="234"/>
      <c r="HE94" s="234"/>
      <c r="HF94" s="234"/>
      <c r="HG94" s="234"/>
      <c r="HH94" s="234"/>
      <c r="HI94" s="234"/>
      <c r="HJ94" s="234"/>
      <c r="HK94" s="234"/>
      <c r="HL94" s="234"/>
      <c r="HM94" s="234"/>
      <c r="HN94" s="234"/>
      <c r="HO94" s="234"/>
      <c r="HP94" s="234"/>
      <c r="HQ94" s="234"/>
      <c r="HR94" s="234"/>
      <c r="HS94" s="234"/>
      <c r="HT94" s="234"/>
      <c r="HU94" s="234"/>
      <c r="HV94" s="234"/>
      <c r="HW94" s="234"/>
      <c r="HX94" s="234"/>
      <c r="HY94" s="234"/>
      <c r="HZ94" s="234"/>
      <c r="IA94" s="234"/>
      <c r="IB94" s="234"/>
      <c r="IC94" s="234"/>
      <c r="ID94" s="234"/>
      <c r="IE94" s="234"/>
      <c r="IF94" s="234"/>
      <c r="IG94" s="234"/>
      <c r="IH94" s="234"/>
      <c r="II94" s="234"/>
      <c r="IJ94" s="234"/>
      <c r="IK94" s="234"/>
      <c r="IL94" s="234"/>
      <c r="IM94" s="234"/>
      <c r="IN94" s="234"/>
      <c r="IO94" s="234"/>
      <c r="IP94" s="234"/>
      <c r="IQ94" s="234"/>
      <c r="IR94" s="234"/>
      <c r="IS94" s="234"/>
      <c r="IT94" s="234"/>
      <c r="IU94" s="234"/>
      <c r="IV94" s="234"/>
    </row>
    <row r="95" spans="1:256" ht="35.25" customHeight="1" hidden="1">
      <c r="A95" s="243" t="s">
        <v>952</v>
      </c>
      <c r="B95" s="201" t="s">
        <v>953</v>
      </c>
      <c r="C95" s="257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DI95" s="234"/>
      <c r="DJ95" s="234"/>
      <c r="DK95" s="234"/>
      <c r="DL95" s="234"/>
      <c r="DM95" s="234"/>
      <c r="DN95" s="234"/>
      <c r="DO95" s="234"/>
      <c r="DP95" s="234"/>
      <c r="DQ95" s="234"/>
      <c r="DR95" s="234"/>
      <c r="DS95" s="234"/>
      <c r="DT95" s="234"/>
      <c r="DU95" s="234"/>
      <c r="DV95" s="234"/>
      <c r="DW95" s="234"/>
      <c r="DX95" s="234"/>
      <c r="DY95" s="234"/>
      <c r="DZ95" s="234"/>
      <c r="EA95" s="234"/>
      <c r="EB95" s="234"/>
      <c r="EC95" s="234"/>
      <c r="ED95" s="234"/>
      <c r="EE95" s="234"/>
      <c r="EF95" s="234"/>
      <c r="EG95" s="234"/>
      <c r="EH95" s="234"/>
      <c r="EI95" s="234"/>
      <c r="EJ95" s="234"/>
      <c r="EK95" s="234"/>
      <c r="EL95" s="234"/>
      <c r="EM95" s="234"/>
      <c r="EN95" s="234"/>
      <c r="EO95" s="234"/>
      <c r="EP95" s="234"/>
      <c r="EQ95" s="234"/>
      <c r="ER95" s="234"/>
      <c r="ES95" s="234"/>
      <c r="ET95" s="234"/>
      <c r="EU95" s="234"/>
      <c r="EV95" s="234"/>
      <c r="EW95" s="234"/>
      <c r="EX95" s="234"/>
      <c r="EY95" s="234"/>
      <c r="EZ95" s="234"/>
      <c r="FA95" s="234"/>
      <c r="FB95" s="234"/>
      <c r="FC95" s="234"/>
      <c r="FD95" s="234"/>
      <c r="FE95" s="234"/>
      <c r="FF95" s="234"/>
      <c r="FG95" s="234"/>
      <c r="FH95" s="234"/>
      <c r="FI95" s="234"/>
      <c r="FJ95" s="234"/>
      <c r="FK95" s="234"/>
      <c r="FL95" s="234"/>
      <c r="FM95" s="234"/>
      <c r="FN95" s="234"/>
      <c r="FO95" s="234"/>
      <c r="FP95" s="234"/>
      <c r="FQ95" s="234"/>
      <c r="FR95" s="234"/>
      <c r="FS95" s="234"/>
      <c r="FT95" s="234"/>
      <c r="FU95" s="234"/>
      <c r="FV95" s="234"/>
      <c r="FW95" s="234"/>
      <c r="FX95" s="234"/>
      <c r="FY95" s="234"/>
      <c r="FZ95" s="234"/>
      <c r="GA95" s="234"/>
      <c r="GB95" s="234"/>
      <c r="GC95" s="234"/>
      <c r="GD95" s="234"/>
      <c r="GE95" s="234"/>
      <c r="GF95" s="234"/>
      <c r="GG95" s="234"/>
      <c r="GH95" s="234"/>
      <c r="GI95" s="234"/>
      <c r="GJ95" s="234"/>
      <c r="GK95" s="234"/>
      <c r="GL95" s="234"/>
      <c r="GM95" s="234"/>
      <c r="GN95" s="234"/>
      <c r="GO95" s="234"/>
      <c r="GP95" s="234"/>
      <c r="GQ95" s="234"/>
      <c r="GR95" s="234"/>
      <c r="GS95" s="234"/>
      <c r="GT95" s="234"/>
      <c r="GU95" s="234"/>
      <c r="GV95" s="234"/>
      <c r="GW95" s="234"/>
      <c r="GX95" s="234"/>
      <c r="GY95" s="234"/>
      <c r="GZ95" s="234"/>
      <c r="HA95" s="234"/>
      <c r="HB95" s="234"/>
      <c r="HC95" s="234"/>
      <c r="HD95" s="234"/>
      <c r="HE95" s="234"/>
      <c r="HF95" s="234"/>
      <c r="HG95" s="234"/>
      <c r="HH95" s="234"/>
      <c r="HI95" s="234"/>
      <c r="HJ95" s="234"/>
      <c r="HK95" s="234"/>
      <c r="HL95" s="234"/>
      <c r="HM95" s="234"/>
      <c r="HN95" s="234"/>
      <c r="HO95" s="234"/>
      <c r="HP95" s="234"/>
      <c r="HQ95" s="234"/>
      <c r="HR95" s="234"/>
      <c r="HS95" s="234"/>
      <c r="HT95" s="234"/>
      <c r="HU95" s="234"/>
      <c r="HV95" s="234"/>
      <c r="HW95" s="234"/>
      <c r="HX95" s="234"/>
      <c r="HY95" s="234"/>
      <c r="HZ95" s="234"/>
      <c r="IA95" s="234"/>
      <c r="IB95" s="234"/>
      <c r="IC95" s="234"/>
      <c r="ID95" s="234"/>
      <c r="IE95" s="234"/>
      <c r="IF95" s="234"/>
      <c r="IG95" s="234"/>
      <c r="IH95" s="234"/>
      <c r="II95" s="234"/>
      <c r="IJ95" s="234"/>
      <c r="IK95" s="234"/>
      <c r="IL95" s="234"/>
      <c r="IM95" s="234"/>
      <c r="IN95" s="234"/>
      <c r="IO95" s="234"/>
      <c r="IP95" s="234"/>
      <c r="IQ95" s="234"/>
      <c r="IR95" s="234"/>
      <c r="IS95" s="234"/>
      <c r="IT95" s="234"/>
      <c r="IU95" s="234"/>
      <c r="IV95" s="234"/>
    </row>
    <row r="96" spans="1:256" s="203" customFormat="1" ht="87" customHeight="1">
      <c r="A96" s="236" t="s">
        <v>954</v>
      </c>
      <c r="B96" s="182" t="s">
        <v>955</v>
      </c>
      <c r="C96" s="250">
        <f>79500+599050</f>
        <v>678550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  <c r="BV96" s="245"/>
      <c r="BW96" s="245"/>
      <c r="BX96" s="245"/>
      <c r="BY96" s="245"/>
      <c r="BZ96" s="245"/>
      <c r="CA96" s="245"/>
      <c r="CB96" s="245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5"/>
      <c r="DK96" s="245"/>
      <c r="DL96" s="245"/>
      <c r="DM96" s="245"/>
      <c r="DN96" s="245"/>
      <c r="DO96" s="245"/>
      <c r="DP96" s="245"/>
      <c r="DQ96" s="245"/>
      <c r="DR96" s="245"/>
      <c r="DS96" s="245"/>
      <c r="DT96" s="245"/>
      <c r="DU96" s="245"/>
      <c r="DV96" s="245"/>
      <c r="DW96" s="245"/>
      <c r="DX96" s="245"/>
      <c r="DY96" s="245"/>
      <c r="DZ96" s="245"/>
      <c r="EA96" s="245"/>
      <c r="EB96" s="245"/>
      <c r="EC96" s="245"/>
      <c r="ED96" s="245"/>
      <c r="EE96" s="245"/>
      <c r="EF96" s="245"/>
      <c r="EG96" s="245"/>
      <c r="EH96" s="245"/>
      <c r="EI96" s="245"/>
      <c r="EJ96" s="245"/>
      <c r="EK96" s="245"/>
      <c r="EL96" s="245"/>
      <c r="EM96" s="245"/>
      <c r="EN96" s="245"/>
      <c r="EO96" s="245"/>
      <c r="EP96" s="245"/>
      <c r="EQ96" s="245"/>
      <c r="ER96" s="245"/>
      <c r="ES96" s="245"/>
      <c r="ET96" s="245"/>
      <c r="EU96" s="245"/>
      <c r="EV96" s="245"/>
      <c r="EW96" s="245"/>
      <c r="EX96" s="245"/>
      <c r="EY96" s="245"/>
      <c r="EZ96" s="245"/>
      <c r="FA96" s="245"/>
      <c r="FB96" s="245"/>
      <c r="FC96" s="245"/>
      <c r="FD96" s="245"/>
      <c r="FE96" s="245"/>
      <c r="FF96" s="245"/>
      <c r="FG96" s="245"/>
      <c r="FH96" s="245"/>
      <c r="FI96" s="245"/>
      <c r="FJ96" s="245"/>
      <c r="FK96" s="245"/>
      <c r="FL96" s="245"/>
      <c r="FM96" s="245"/>
      <c r="FN96" s="245"/>
      <c r="FO96" s="245"/>
      <c r="FP96" s="245"/>
      <c r="FQ96" s="245"/>
      <c r="FR96" s="245"/>
      <c r="FS96" s="245"/>
      <c r="FT96" s="245"/>
      <c r="FU96" s="245"/>
      <c r="FV96" s="245"/>
      <c r="FW96" s="245"/>
      <c r="FX96" s="245"/>
      <c r="FY96" s="245"/>
      <c r="FZ96" s="245"/>
      <c r="GA96" s="245"/>
      <c r="GB96" s="245"/>
      <c r="GC96" s="245"/>
      <c r="GD96" s="245"/>
      <c r="GE96" s="245"/>
      <c r="GF96" s="245"/>
      <c r="GG96" s="245"/>
      <c r="GH96" s="245"/>
      <c r="GI96" s="245"/>
      <c r="GJ96" s="245"/>
      <c r="GK96" s="245"/>
      <c r="GL96" s="245"/>
      <c r="GM96" s="245"/>
      <c r="GN96" s="245"/>
      <c r="GO96" s="245"/>
      <c r="GP96" s="245"/>
      <c r="GQ96" s="245"/>
      <c r="GR96" s="245"/>
      <c r="GS96" s="245"/>
      <c r="GT96" s="245"/>
      <c r="GU96" s="245"/>
      <c r="GV96" s="245"/>
      <c r="GW96" s="245"/>
      <c r="GX96" s="245"/>
      <c r="GY96" s="245"/>
      <c r="GZ96" s="245"/>
      <c r="HA96" s="245"/>
      <c r="HB96" s="245"/>
      <c r="HC96" s="245"/>
      <c r="HD96" s="245"/>
      <c r="HE96" s="245"/>
      <c r="HF96" s="245"/>
      <c r="HG96" s="245"/>
      <c r="HH96" s="245"/>
      <c r="HI96" s="245"/>
      <c r="HJ96" s="245"/>
      <c r="HK96" s="245"/>
      <c r="HL96" s="245"/>
      <c r="HM96" s="245"/>
      <c r="HN96" s="245"/>
      <c r="HO96" s="245"/>
      <c r="HP96" s="245"/>
      <c r="HQ96" s="245"/>
      <c r="HR96" s="245"/>
      <c r="HS96" s="245"/>
      <c r="HT96" s="245"/>
      <c r="HU96" s="245"/>
      <c r="HV96" s="245"/>
      <c r="HW96" s="245"/>
      <c r="HX96" s="245"/>
      <c r="HY96" s="245"/>
      <c r="HZ96" s="245"/>
      <c r="IA96" s="245"/>
      <c r="IB96" s="245"/>
      <c r="IC96" s="245"/>
      <c r="ID96" s="245"/>
      <c r="IE96" s="245"/>
      <c r="IF96" s="245"/>
      <c r="IG96" s="245"/>
      <c r="IH96" s="245"/>
      <c r="II96" s="245"/>
      <c r="IJ96" s="245"/>
      <c r="IK96" s="245"/>
      <c r="IL96" s="245"/>
      <c r="IM96" s="245"/>
      <c r="IN96" s="245"/>
      <c r="IO96" s="245"/>
      <c r="IP96" s="245"/>
      <c r="IQ96" s="245"/>
      <c r="IR96" s="245"/>
      <c r="IS96" s="245"/>
      <c r="IT96" s="245"/>
      <c r="IU96" s="245"/>
      <c r="IV96" s="245"/>
    </row>
    <row r="97" spans="1:256" s="203" customFormat="1" ht="48.75" customHeight="1">
      <c r="A97" s="236" t="s">
        <v>956</v>
      </c>
      <c r="B97" s="182" t="s">
        <v>957</v>
      </c>
      <c r="C97" s="250">
        <f>C98</f>
        <v>1429000</v>
      </c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5"/>
      <c r="BN97" s="245"/>
      <c r="BO97" s="245"/>
      <c r="BP97" s="245"/>
      <c r="BQ97" s="245"/>
      <c r="BR97" s="245"/>
      <c r="BS97" s="245"/>
      <c r="BT97" s="245"/>
      <c r="BU97" s="245"/>
      <c r="BV97" s="245"/>
      <c r="BW97" s="245"/>
      <c r="BX97" s="245"/>
      <c r="BY97" s="245"/>
      <c r="BZ97" s="245"/>
      <c r="CA97" s="245"/>
      <c r="CB97" s="245"/>
      <c r="CC97" s="245"/>
      <c r="CD97" s="245"/>
      <c r="CE97" s="245"/>
      <c r="CF97" s="245"/>
      <c r="CG97" s="245"/>
      <c r="CH97" s="245"/>
      <c r="CI97" s="245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45"/>
      <c r="DC97" s="245"/>
      <c r="DD97" s="245"/>
      <c r="DE97" s="245"/>
      <c r="DF97" s="245"/>
      <c r="DG97" s="245"/>
      <c r="DH97" s="245"/>
      <c r="DI97" s="245"/>
      <c r="DJ97" s="245"/>
      <c r="DK97" s="245"/>
      <c r="DL97" s="245"/>
      <c r="DM97" s="245"/>
      <c r="DN97" s="245"/>
      <c r="DO97" s="245"/>
      <c r="DP97" s="245"/>
      <c r="DQ97" s="245"/>
      <c r="DR97" s="245"/>
      <c r="DS97" s="245"/>
      <c r="DT97" s="245"/>
      <c r="DU97" s="245"/>
      <c r="DV97" s="245"/>
      <c r="DW97" s="245"/>
      <c r="DX97" s="245"/>
      <c r="DY97" s="245"/>
      <c r="DZ97" s="245"/>
      <c r="EA97" s="245"/>
      <c r="EB97" s="245"/>
      <c r="EC97" s="245"/>
      <c r="ED97" s="245"/>
      <c r="EE97" s="245"/>
      <c r="EF97" s="245"/>
      <c r="EG97" s="245"/>
      <c r="EH97" s="245"/>
      <c r="EI97" s="245"/>
      <c r="EJ97" s="245"/>
      <c r="EK97" s="245"/>
      <c r="EL97" s="245"/>
      <c r="EM97" s="245"/>
      <c r="EN97" s="245"/>
      <c r="EO97" s="245"/>
      <c r="EP97" s="245"/>
      <c r="EQ97" s="245"/>
      <c r="ER97" s="245"/>
      <c r="ES97" s="245"/>
      <c r="ET97" s="245"/>
      <c r="EU97" s="245"/>
      <c r="EV97" s="245"/>
      <c r="EW97" s="245"/>
      <c r="EX97" s="245"/>
      <c r="EY97" s="245"/>
      <c r="EZ97" s="245"/>
      <c r="FA97" s="245"/>
      <c r="FB97" s="245"/>
      <c r="FC97" s="245"/>
      <c r="FD97" s="245"/>
      <c r="FE97" s="245"/>
      <c r="FF97" s="245"/>
      <c r="FG97" s="245"/>
      <c r="FH97" s="245"/>
      <c r="FI97" s="245"/>
      <c r="FJ97" s="245"/>
      <c r="FK97" s="245"/>
      <c r="FL97" s="245"/>
      <c r="FM97" s="245"/>
      <c r="FN97" s="245"/>
      <c r="FO97" s="245"/>
      <c r="FP97" s="245"/>
      <c r="FQ97" s="245"/>
      <c r="FR97" s="245"/>
      <c r="FS97" s="245"/>
      <c r="FT97" s="245"/>
      <c r="FU97" s="245"/>
      <c r="FV97" s="245"/>
      <c r="FW97" s="245"/>
      <c r="FX97" s="245"/>
      <c r="FY97" s="245"/>
      <c r="FZ97" s="245"/>
      <c r="GA97" s="245"/>
      <c r="GB97" s="245"/>
      <c r="GC97" s="245"/>
      <c r="GD97" s="245"/>
      <c r="GE97" s="245"/>
      <c r="GF97" s="245"/>
      <c r="GG97" s="245"/>
      <c r="GH97" s="245"/>
      <c r="GI97" s="245"/>
      <c r="GJ97" s="245"/>
      <c r="GK97" s="245"/>
      <c r="GL97" s="245"/>
      <c r="GM97" s="245"/>
      <c r="GN97" s="245"/>
      <c r="GO97" s="245"/>
      <c r="GP97" s="245"/>
      <c r="GQ97" s="245"/>
      <c r="GR97" s="245"/>
      <c r="GS97" s="245"/>
      <c r="GT97" s="245"/>
      <c r="GU97" s="245"/>
      <c r="GV97" s="245"/>
      <c r="GW97" s="245"/>
      <c r="GX97" s="245"/>
      <c r="GY97" s="245"/>
      <c r="GZ97" s="245"/>
      <c r="HA97" s="245"/>
      <c r="HB97" s="245"/>
      <c r="HC97" s="245"/>
      <c r="HD97" s="245"/>
      <c r="HE97" s="245"/>
      <c r="HF97" s="245"/>
      <c r="HG97" s="245"/>
      <c r="HH97" s="245"/>
      <c r="HI97" s="245"/>
      <c r="HJ97" s="245"/>
      <c r="HK97" s="245"/>
      <c r="HL97" s="245"/>
      <c r="HM97" s="245"/>
      <c r="HN97" s="245"/>
      <c r="HO97" s="245"/>
      <c r="HP97" s="245"/>
      <c r="HQ97" s="245"/>
      <c r="HR97" s="245"/>
      <c r="HS97" s="245"/>
      <c r="HT97" s="245"/>
      <c r="HU97" s="245"/>
      <c r="HV97" s="245"/>
      <c r="HW97" s="245"/>
      <c r="HX97" s="245"/>
      <c r="HY97" s="245"/>
      <c r="HZ97" s="245"/>
      <c r="IA97" s="245"/>
      <c r="IB97" s="245"/>
      <c r="IC97" s="245"/>
      <c r="ID97" s="245"/>
      <c r="IE97" s="245"/>
      <c r="IF97" s="245"/>
      <c r="IG97" s="245"/>
      <c r="IH97" s="245"/>
      <c r="II97" s="245"/>
      <c r="IJ97" s="245"/>
      <c r="IK97" s="245"/>
      <c r="IL97" s="245"/>
      <c r="IM97" s="245"/>
      <c r="IN97" s="245"/>
      <c r="IO97" s="245"/>
      <c r="IP97" s="245"/>
      <c r="IQ97" s="245"/>
      <c r="IR97" s="245"/>
      <c r="IS97" s="245"/>
      <c r="IT97" s="245"/>
      <c r="IU97" s="245"/>
      <c r="IV97" s="245"/>
    </row>
    <row r="98" spans="1:256" s="203" customFormat="1" ht="30.75" customHeight="1">
      <c r="A98" s="237" t="s">
        <v>958</v>
      </c>
      <c r="B98" s="180" t="s">
        <v>959</v>
      </c>
      <c r="C98" s="252">
        <v>1429000</v>
      </c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245"/>
      <c r="BR98" s="245"/>
      <c r="BS98" s="245"/>
      <c r="BT98" s="245"/>
      <c r="BU98" s="245"/>
      <c r="BV98" s="245"/>
      <c r="BW98" s="245"/>
      <c r="BX98" s="245"/>
      <c r="BY98" s="245"/>
      <c r="BZ98" s="245"/>
      <c r="CA98" s="245"/>
      <c r="CB98" s="245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  <c r="DB98" s="245"/>
      <c r="DC98" s="245"/>
      <c r="DD98" s="245"/>
      <c r="DE98" s="245"/>
      <c r="DF98" s="245"/>
      <c r="DG98" s="245"/>
      <c r="DH98" s="245"/>
      <c r="DI98" s="245"/>
      <c r="DJ98" s="245"/>
      <c r="DK98" s="245"/>
      <c r="DL98" s="245"/>
      <c r="DM98" s="245"/>
      <c r="DN98" s="245"/>
      <c r="DO98" s="245"/>
      <c r="DP98" s="245"/>
      <c r="DQ98" s="245"/>
      <c r="DR98" s="245"/>
      <c r="DS98" s="245"/>
      <c r="DT98" s="245"/>
      <c r="DU98" s="245"/>
      <c r="DV98" s="245"/>
      <c r="DW98" s="245"/>
      <c r="DX98" s="245"/>
      <c r="DY98" s="245"/>
      <c r="DZ98" s="245"/>
      <c r="EA98" s="245"/>
      <c r="EB98" s="245"/>
      <c r="EC98" s="245"/>
      <c r="ED98" s="245"/>
      <c r="EE98" s="245"/>
      <c r="EF98" s="245"/>
      <c r="EG98" s="245"/>
      <c r="EH98" s="245"/>
      <c r="EI98" s="245"/>
      <c r="EJ98" s="245"/>
      <c r="EK98" s="245"/>
      <c r="EL98" s="245"/>
      <c r="EM98" s="245"/>
      <c r="EN98" s="245"/>
      <c r="EO98" s="245"/>
      <c r="EP98" s="245"/>
      <c r="EQ98" s="245"/>
      <c r="ER98" s="245"/>
      <c r="ES98" s="245"/>
      <c r="ET98" s="245"/>
      <c r="EU98" s="245"/>
      <c r="EV98" s="245"/>
      <c r="EW98" s="245"/>
      <c r="EX98" s="245"/>
      <c r="EY98" s="245"/>
      <c r="EZ98" s="245"/>
      <c r="FA98" s="245"/>
      <c r="FB98" s="245"/>
      <c r="FC98" s="245"/>
      <c r="FD98" s="245"/>
      <c r="FE98" s="245"/>
      <c r="FF98" s="245"/>
      <c r="FG98" s="245"/>
      <c r="FH98" s="245"/>
      <c r="FI98" s="245"/>
      <c r="FJ98" s="245"/>
      <c r="FK98" s="245"/>
      <c r="FL98" s="245"/>
      <c r="FM98" s="245"/>
      <c r="FN98" s="245"/>
      <c r="FO98" s="245"/>
      <c r="FP98" s="245"/>
      <c r="FQ98" s="245"/>
      <c r="FR98" s="245"/>
      <c r="FS98" s="245"/>
      <c r="FT98" s="245"/>
      <c r="FU98" s="245"/>
      <c r="FV98" s="245"/>
      <c r="FW98" s="245"/>
      <c r="FX98" s="245"/>
      <c r="FY98" s="245"/>
      <c r="FZ98" s="245"/>
      <c r="GA98" s="245"/>
      <c r="GB98" s="245"/>
      <c r="GC98" s="245"/>
      <c r="GD98" s="245"/>
      <c r="GE98" s="245"/>
      <c r="GF98" s="245"/>
      <c r="GG98" s="245"/>
      <c r="GH98" s="245"/>
      <c r="GI98" s="245"/>
      <c r="GJ98" s="245"/>
      <c r="GK98" s="245"/>
      <c r="GL98" s="245"/>
      <c r="GM98" s="245"/>
      <c r="GN98" s="245"/>
      <c r="GO98" s="245"/>
      <c r="GP98" s="245"/>
      <c r="GQ98" s="245"/>
      <c r="GR98" s="245"/>
      <c r="GS98" s="245"/>
      <c r="GT98" s="245"/>
      <c r="GU98" s="245"/>
      <c r="GV98" s="245"/>
      <c r="GW98" s="245"/>
      <c r="GX98" s="245"/>
      <c r="GY98" s="245"/>
      <c r="GZ98" s="245"/>
      <c r="HA98" s="245"/>
      <c r="HB98" s="245"/>
      <c r="HC98" s="245"/>
      <c r="HD98" s="245"/>
      <c r="HE98" s="245"/>
      <c r="HF98" s="245"/>
      <c r="HG98" s="245"/>
      <c r="HH98" s="245"/>
      <c r="HI98" s="245"/>
      <c r="HJ98" s="245"/>
      <c r="HK98" s="245"/>
      <c r="HL98" s="245"/>
      <c r="HM98" s="245"/>
      <c r="HN98" s="245"/>
      <c r="HO98" s="245"/>
      <c r="HP98" s="245"/>
      <c r="HQ98" s="245"/>
      <c r="HR98" s="245"/>
      <c r="HS98" s="245"/>
      <c r="HT98" s="245"/>
      <c r="HU98" s="245"/>
      <c r="HV98" s="245"/>
      <c r="HW98" s="245"/>
      <c r="HX98" s="245"/>
      <c r="HY98" s="245"/>
      <c r="HZ98" s="245"/>
      <c r="IA98" s="245"/>
      <c r="IB98" s="245"/>
      <c r="IC98" s="245"/>
      <c r="ID98" s="245"/>
      <c r="IE98" s="245"/>
      <c r="IF98" s="245"/>
      <c r="IG98" s="245"/>
      <c r="IH98" s="245"/>
      <c r="II98" s="245"/>
      <c r="IJ98" s="245"/>
      <c r="IK98" s="245"/>
      <c r="IL98" s="245"/>
      <c r="IM98" s="245"/>
      <c r="IN98" s="245"/>
      <c r="IO98" s="245"/>
      <c r="IP98" s="245"/>
      <c r="IQ98" s="245"/>
      <c r="IR98" s="245"/>
      <c r="IS98" s="245"/>
      <c r="IT98" s="245"/>
      <c r="IU98" s="245"/>
      <c r="IV98" s="245"/>
    </row>
    <row r="99" spans="1:256" s="203" customFormat="1" ht="95.25" customHeight="1">
      <c r="A99" s="236" t="s">
        <v>960</v>
      </c>
      <c r="B99" s="182" t="s">
        <v>961</v>
      </c>
      <c r="C99" s="250">
        <f>C100</f>
        <v>151210.2</v>
      </c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45"/>
      <c r="CB99" s="245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5"/>
      <c r="DD99" s="245"/>
      <c r="DE99" s="245"/>
      <c r="DF99" s="245"/>
      <c r="DG99" s="245"/>
      <c r="DH99" s="245"/>
      <c r="DI99" s="245"/>
      <c r="DJ99" s="245"/>
      <c r="DK99" s="245"/>
      <c r="DL99" s="245"/>
      <c r="DM99" s="245"/>
      <c r="DN99" s="245"/>
      <c r="DO99" s="245"/>
      <c r="DP99" s="245"/>
      <c r="DQ99" s="245"/>
      <c r="DR99" s="245"/>
      <c r="DS99" s="245"/>
      <c r="DT99" s="245"/>
      <c r="DU99" s="245"/>
      <c r="DV99" s="245"/>
      <c r="DW99" s="245"/>
      <c r="DX99" s="245"/>
      <c r="DY99" s="245"/>
      <c r="DZ99" s="245"/>
      <c r="EA99" s="245"/>
      <c r="EB99" s="245"/>
      <c r="EC99" s="245"/>
      <c r="ED99" s="245"/>
      <c r="EE99" s="245"/>
      <c r="EF99" s="245"/>
      <c r="EG99" s="245"/>
      <c r="EH99" s="245"/>
      <c r="EI99" s="245"/>
      <c r="EJ99" s="245"/>
      <c r="EK99" s="245"/>
      <c r="EL99" s="245"/>
      <c r="EM99" s="245"/>
      <c r="EN99" s="245"/>
      <c r="EO99" s="245"/>
      <c r="EP99" s="245"/>
      <c r="EQ99" s="245"/>
      <c r="ER99" s="245"/>
      <c r="ES99" s="245"/>
      <c r="ET99" s="245"/>
      <c r="EU99" s="245"/>
      <c r="EV99" s="245"/>
      <c r="EW99" s="245"/>
      <c r="EX99" s="245"/>
      <c r="EY99" s="245"/>
      <c r="EZ99" s="245"/>
      <c r="FA99" s="245"/>
      <c r="FB99" s="245"/>
      <c r="FC99" s="245"/>
      <c r="FD99" s="245"/>
      <c r="FE99" s="245"/>
      <c r="FF99" s="245"/>
      <c r="FG99" s="245"/>
      <c r="FH99" s="245"/>
      <c r="FI99" s="245"/>
      <c r="FJ99" s="245"/>
      <c r="FK99" s="245"/>
      <c r="FL99" s="245"/>
      <c r="FM99" s="245"/>
      <c r="FN99" s="245"/>
      <c r="FO99" s="245"/>
      <c r="FP99" s="245"/>
      <c r="FQ99" s="245"/>
      <c r="FR99" s="245"/>
      <c r="FS99" s="245"/>
      <c r="FT99" s="245"/>
      <c r="FU99" s="245"/>
      <c r="FV99" s="245"/>
      <c r="FW99" s="245"/>
      <c r="FX99" s="245"/>
      <c r="FY99" s="245"/>
      <c r="FZ99" s="245"/>
      <c r="GA99" s="245"/>
      <c r="GB99" s="245"/>
      <c r="GC99" s="245"/>
      <c r="GD99" s="245"/>
      <c r="GE99" s="245"/>
      <c r="GF99" s="245"/>
      <c r="GG99" s="245"/>
      <c r="GH99" s="245"/>
      <c r="GI99" s="245"/>
      <c r="GJ99" s="245"/>
      <c r="GK99" s="245"/>
      <c r="GL99" s="245"/>
      <c r="GM99" s="245"/>
      <c r="GN99" s="245"/>
      <c r="GO99" s="245"/>
      <c r="GP99" s="245"/>
      <c r="GQ99" s="245"/>
      <c r="GR99" s="245"/>
      <c r="GS99" s="245"/>
      <c r="GT99" s="245"/>
      <c r="GU99" s="245"/>
      <c r="GV99" s="245"/>
      <c r="GW99" s="245"/>
      <c r="GX99" s="245"/>
      <c r="GY99" s="245"/>
      <c r="GZ99" s="245"/>
      <c r="HA99" s="245"/>
      <c r="HB99" s="245"/>
      <c r="HC99" s="245"/>
      <c r="HD99" s="245"/>
      <c r="HE99" s="245"/>
      <c r="HF99" s="245"/>
      <c r="HG99" s="245"/>
      <c r="HH99" s="245"/>
      <c r="HI99" s="245"/>
      <c r="HJ99" s="245"/>
      <c r="HK99" s="245"/>
      <c r="HL99" s="245"/>
      <c r="HM99" s="245"/>
      <c r="HN99" s="245"/>
      <c r="HO99" s="245"/>
      <c r="HP99" s="245"/>
      <c r="HQ99" s="245"/>
      <c r="HR99" s="245"/>
      <c r="HS99" s="245"/>
      <c r="HT99" s="245"/>
      <c r="HU99" s="245"/>
      <c r="HV99" s="245"/>
      <c r="HW99" s="245"/>
      <c r="HX99" s="245"/>
      <c r="HY99" s="245"/>
      <c r="HZ99" s="245"/>
      <c r="IA99" s="245"/>
      <c r="IB99" s="245"/>
      <c r="IC99" s="245"/>
      <c r="ID99" s="245"/>
      <c r="IE99" s="245"/>
      <c r="IF99" s="245"/>
      <c r="IG99" s="245"/>
      <c r="IH99" s="245"/>
      <c r="II99" s="245"/>
      <c r="IJ99" s="245"/>
      <c r="IK99" s="245"/>
      <c r="IL99" s="245"/>
      <c r="IM99" s="245"/>
      <c r="IN99" s="245"/>
      <c r="IO99" s="245"/>
      <c r="IP99" s="245"/>
      <c r="IQ99" s="245"/>
      <c r="IR99" s="245"/>
      <c r="IS99" s="245"/>
      <c r="IT99" s="245"/>
      <c r="IU99" s="245"/>
      <c r="IV99" s="245"/>
    </row>
    <row r="100" spans="1:256" s="203" customFormat="1" ht="84.75" customHeight="1">
      <c r="A100" s="237" t="s">
        <v>962</v>
      </c>
      <c r="B100" s="180" t="s">
        <v>963</v>
      </c>
      <c r="C100" s="252">
        <v>151210.2</v>
      </c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5"/>
      <c r="BN100" s="245"/>
      <c r="BO100" s="245"/>
      <c r="BP100" s="245"/>
      <c r="BQ100" s="245"/>
      <c r="BR100" s="245"/>
      <c r="BS100" s="245"/>
      <c r="BT100" s="245"/>
      <c r="BU100" s="245"/>
      <c r="BV100" s="245"/>
      <c r="BW100" s="245"/>
      <c r="BX100" s="245"/>
      <c r="BY100" s="245"/>
      <c r="BZ100" s="245"/>
      <c r="CA100" s="245"/>
      <c r="CB100" s="245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5"/>
      <c r="DA100" s="245"/>
      <c r="DB100" s="245"/>
      <c r="DC100" s="245"/>
      <c r="DD100" s="245"/>
      <c r="DE100" s="245"/>
      <c r="DF100" s="245"/>
      <c r="DG100" s="245"/>
      <c r="DH100" s="245"/>
      <c r="DI100" s="245"/>
      <c r="DJ100" s="245"/>
      <c r="DK100" s="245"/>
      <c r="DL100" s="245"/>
      <c r="DM100" s="245"/>
      <c r="DN100" s="245"/>
      <c r="DO100" s="245"/>
      <c r="DP100" s="245"/>
      <c r="DQ100" s="245"/>
      <c r="DR100" s="245"/>
      <c r="DS100" s="245"/>
      <c r="DT100" s="245"/>
      <c r="DU100" s="245"/>
      <c r="DV100" s="245"/>
      <c r="DW100" s="245"/>
      <c r="DX100" s="245"/>
      <c r="DY100" s="245"/>
      <c r="DZ100" s="245"/>
      <c r="EA100" s="245"/>
      <c r="EB100" s="245"/>
      <c r="EC100" s="245"/>
      <c r="ED100" s="245"/>
      <c r="EE100" s="245"/>
      <c r="EF100" s="245"/>
      <c r="EG100" s="245"/>
      <c r="EH100" s="245"/>
      <c r="EI100" s="245"/>
      <c r="EJ100" s="245"/>
      <c r="EK100" s="245"/>
      <c r="EL100" s="245"/>
      <c r="EM100" s="245"/>
      <c r="EN100" s="245"/>
      <c r="EO100" s="245"/>
      <c r="EP100" s="245"/>
      <c r="EQ100" s="245"/>
      <c r="ER100" s="245"/>
      <c r="ES100" s="245"/>
      <c r="ET100" s="245"/>
      <c r="EU100" s="245"/>
      <c r="EV100" s="245"/>
      <c r="EW100" s="245"/>
      <c r="EX100" s="245"/>
      <c r="EY100" s="245"/>
      <c r="EZ100" s="245"/>
      <c r="FA100" s="245"/>
      <c r="FB100" s="245"/>
      <c r="FC100" s="245"/>
      <c r="FD100" s="245"/>
      <c r="FE100" s="245"/>
      <c r="FF100" s="245"/>
      <c r="FG100" s="245"/>
      <c r="FH100" s="245"/>
      <c r="FI100" s="245"/>
      <c r="FJ100" s="245"/>
      <c r="FK100" s="245"/>
      <c r="FL100" s="245"/>
      <c r="FM100" s="245"/>
      <c r="FN100" s="245"/>
      <c r="FO100" s="245"/>
      <c r="FP100" s="245"/>
      <c r="FQ100" s="245"/>
      <c r="FR100" s="245"/>
      <c r="FS100" s="245"/>
      <c r="FT100" s="245"/>
      <c r="FU100" s="245"/>
      <c r="FV100" s="245"/>
      <c r="FW100" s="245"/>
      <c r="FX100" s="245"/>
      <c r="FY100" s="245"/>
      <c r="FZ100" s="245"/>
      <c r="GA100" s="245"/>
      <c r="GB100" s="245"/>
      <c r="GC100" s="245"/>
      <c r="GD100" s="245"/>
      <c r="GE100" s="245"/>
      <c r="GF100" s="245"/>
      <c r="GG100" s="245"/>
      <c r="GH100" s="245"/>
      <c r="GI100" s="245"/>
      <c r="GJ100" s="245"/>
      <c r="GK100" s="245"/>
      <c r="GL100" s="245"/>
      <c r="GM100" s="245"/>
      <c r="GN100" s="245"/>
      <c r="GO100" s="245"/>
      <c r="GP100" s="245"/>
      <c r="GQ100" s="245"/>
      <c r="GR100" s="245"/>
      <c r="GS100" s="245"/>
      <c r="GT100" s="245"/>
      <c r="GU100" s="245"/>
      <c r="GV100" s="245"/>
      <c r="GW100" s="245"/>
      <c r="GX100" s="245"/>
      <c r="GY100" s="245"/>
      <c r="GZ100" s="245"/>
      <c r="HA100" s="245"/>
      <c r="HB100" s="245"/>
      <c r="HC100" s="245"/>
      <c r="HD100" s="245"/>
      <c r="HE100" s="245"/>
      <c r="HF100" s="245"/>
      <c r="HG100" s="245"/>
      <c r="HH100" s="245"/>
      <c r="HI100" s="245"/>
      <c r="HJ100" s="245"/>
      <c r="HK100" s="245"/>
      <c r="HL100" s="245"/>
      <c r="HM100" s="245"/>
      <c r="HN100" s="245"/>
      <c r="HO100" s="245"/>
      <c r="HP100" s="245"/>
      <c r="HQ100" s="245"/>
      <c r="HR100" s="245"/>
      <c r="HS100" s="245"/>
      <c r="HT100" s="245"/>
      <c r="HU100" s="245"/>
      <c r="HV100" s="245"/>
      <c r="HW100" s="245"/>
      <c r="HX100" s="245"/>
      <c r="HY100" s="245"/>
      <c r="HZ100" s="245"/>
      <c r="IA100" s="245"/>
      <c r="IB100" s="245"/>
      <c r="IC100" s="245"/>
      <c r="ID100" s="245"/>
      <c r="IE100" s="245"/>
      <c r="IF100" s="245"/>
      <c r="IG100" s="245"/>
      <c r="IH100" s="245"/>
      <c r="II100" s="245"/>
      <c r="IJ100" s="245"/>
      <c r="IK100" s="245"/>
      <c r="IL100" s="245"/>
      <c r="IM100" s="245"/>
      <c r="IN100" s="245"/>
      <c r="IO100" s="245"/>
      <c r="IP100" s="245"/>
      <c r="IQ100" s="245"/>
      <c r="IR100" s="245"/>
      <c r="IS100" s="245"/>
      <c r="IT100" s="245"/>
      <c r="IU100" s="245"/>
      <c r="IV100" s="245"/>
    </row>
    <row r="101" spans="1:256" ht="120.75" customHeight="1">
      <c r="A101" s="242" t="s">
        <v>964</v>
      </c>
      <c r="B101" s="199" t="s">
        <v>965</v>
      </c>
      <c r="C101" s="256">
        <f>24900+30000</f>
        <v>54900</v>
      </c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4"/>
      <c r="DE101" s="234"/>
      <c r="DF101" s="234"/>
      <c r="DG101" s="234"/>
      <c r="DH101" s="234"/>
      <c r="DI101" s="234"/>
      <c r="DJ101" s="234"/>
      <c r="DK101" s="234"/>
      <c r="DL101" s="234"/>
      <c r="DM101" s="234"/>
      <c r="DN101" s="234"/>
      <c r="DO101" s="234"/>
      <c r="DP101" s="234"/>
      <c r="DQ101" s="234"/>
      <c r="DR101" s="234"/>
      <c r="DS101" s="234"/>
      <c r="DT101" s="234"/>
      <c r="DU101" s="234"/>
      <c r="DV101" s="234"/>
      <c r="DW101" s="234"/>
      <c r="DX101" s="234"/>
      <c r="DY101" s="234"/>
      <c r="DZ101" s="234"/>
      <c r="EA101" s="234"/>
      <c r="EB101" s="234"/>
      <c r="EC101" s="234"/>
      <c r="ED101" s="234"/>
      <c r="EE101" s="234"/>
      <c r="EF101" s="234"/>
      <c r="EG101" s="234"/>
      <c r="EH101" s="234"/>
      <c r="EI101" s="234"/>
      <c r="EJ101" s="234"/>
      <c r="EK101" s="234"/>
      <c r="EL101" s="234"/>
      <c r="EM101" s="234"/>
      <c r="EN101" s="234"/>
      <c r="EO101" s="234"/>
      <c r="EP101" s="234"/>
      <c r="EQ101" s="234"/>
      <c r="ER101" s="234"/>
      <c r="ES101" s="234"/>
      <c r="ET101" s="234"/>
      <c r="EU101" s="234"/>
      <c r="EV101" s="234"/>
      <c r="EW101" s="234"/>
      <c r="EX101" s="234"/>
      <c r="EY101" s="234"/>
      <c r="EZ101" s="234"/>
      <c r="FA101" s="234"/>
      <c r="FB101" s="234"/>
      <c r="FC101" s="234"/>
      <c r="FD101" s="234"/>
      <c r="FE101" s="234"/>
      <c r="FF101" s="234"/>
      <c r="FG101" s="234"/>
      <c r="FH101" s="234"/>
      <c r="FI101" s="234"/>
      <c r="FJ101" s="234"/>
      <c r="FK101" s="234"/>
      <c r="FL101" s="234"/>
      <c r="FM101" s="234"/>
      <c r="FN101" s="234"/>
      <c r="FO101" s="234"/>
      <c r="FP101" s="234"/>
      <c r="FQ101" s="234"/>
      <c r="FR101" s="234"/>
      <c r="FS101" s="234"/>
      <c r="FT101" s="234"/>
      <c r="FU101" s="234"/>
      <c r="FV101" s="234"/>
      <c r="FW101" s="234"/>
      <c r="FX101" s="234"/>
      <c r="FY101" s="234"/>
      <c r="FZ101" s="234"/>
      <c r="GA101" s="234"/>
      <c r="GB101" s="234"/>
      <c r="GC101" s="234"/>
      <c r="GD101" s="234"/>
      <c r="GE101" s="234"/>
      <c r="GF101" s="234"/>
      <c r="GG101" s="234"/>
      <c r="GH101" s="234"/>
      <c r="GI101" s="234"/>
      <c r="GJ101" s="234"/>
      <c r="GK101" s="234"/>
      <c r="GL101" s="234"/>
      <c r="GM101" s="234"/>
      <c r="GN101" s="234"/>
      <c r="GO101" s="234"/>
      <c r="GP101" s="234"/>
      <c r="GQ101" s="234"/>
      <c r="GR101" s="234"/>
      <c r="GS101" s="234"/>
      <c r="GT101" s="234"/>
      <c r="GU101" s="234"/>
      <c r="GV101" s="234"/>
      <c r="GW101" s="234"/>
      <c r="GX101" s="234"/>
      <c r="GY101" s="234"/>
      <c r="GZ101" s="234"/>
      <c r="HA101" s="234"/>
      <c r="HB101" s="234"/>
      <c r="HC101" s="234"/>
      <c r="HD101" s="234"/>
      <c r="HE101" s="234"/>
      <c r="HF101" s="234"/>
      <c r="HG101" s="234"/>
      <c r="HH101" s="234"/>
      <c r="HI101" s="234"/>
      <c r="HJ101" s="234"/>
      <c r="HK101" s="234"/>
      <c r="HL101" s="234"/>
      <c r="HM101" s="234"/>
      <c r="HN101" s="234"/>
      <c r="HO101" s="234"/>
      <c r="HP101" s="234"/>
      <c r="HQ101" s="234"/>
      <c r="HR101" s="234"/>
      <c r="HS101" s="234"/>
      <c r="HT101" s="234"/>
      <c r="HU101" s="234"/>
      <c r="HV101" s="234"/>
      <c r="HW101" s="234"/>
      <c r="HX101" s="234"/>
      <c r="HY101" s="234"/>
      <c r="HZ101" s="234"/>
      <c r="IA101" s="234"/>
      <c r="IB101" s="234"/>
      <c r="IC101" s="234"/>
      <c r="ID101" s="234"/>
      <c r="IE101" s="234"/>
      <c r="IF101" s="234"/>
      <c r="IG101" s="234"/>
      <c r="IH101" s="234"/>
      <c r="II101" s="234"/>
      <c r="IJ101" s="234"/>
      <c r="IK101" s="234"/>
      <c r="IL101" s="234"/>
      <c r="IM101" s="234"/>
      <c r="IN101" s="234"/>
      <c r="IO101" s="234"/>
      <c r="IP101" s="234"/>
      <c r="IQ101" s="234"/>
      <c r="IR101" s="234"/>
      <c r="IS101" s="234"/>
      <c r="IT101" s="234"/>
      <c r="IU101" s="234"/>
      <c r="IV101" s="234"/>
    </row>
    <row r="102" spans="1:256" ht="36.75" customHeight="1">
      <c r="A102" s="242" t="s">
        <v>966</v>
      </c>
      <c r="B102" s="199" t="s">
        <v>967</v>
      </c>
      <c r="C102" s="256">
        <f>C103</f>
        <v>3142290.87</v>
      </c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4"/>
      <c r="CL102" s="234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4"/>
      <c r="DE102" s="234"/>
      <c r="DF102" s="234"/>
      <c r="DG102" s="234"/>
      <c r="DH102" s="234"/>
      <c r="DI102" s="234"/>
      <c r="DJ102" s="234"/>
      <c r="DK102" s="234"/>
      <c r="DL102" s="234"/>
      <c r="DM102" s="234"/>
      <c r="DN102" s="234"/>
      <c r="DO102" s="234"/>
      <c r="DP102" s="234"/>
      <c r="DQ102" s="234"/>
      <c r="DR102" s="234"/>
      <c r="DS102" s="234"/>
      <c r="DT102" s="234"/>
      <c r="DU102" s="234"/>
      <c r="DV102" s="234"/>
      <c r="DW102" s="234"/>
      <c r="DX102" s="234"/>
      <c r="DY102" s="234"/>
      <c r="DZ102" s="234"/>
      <c r="EA102" s="234"/>
      <c r="EB102" s="234"/>
      <c r="EC102" s="234"/>
      <c r="ED102" s="234"/>
      <c r="EE102" s="234"/>
      <c r="EF102" s="234"/>
      <c r="EG102" s="234"/>
      <c r="EH102" s="234"/>
      <c r="EI102" s="234"/>
      <c r="EJ102" s="234"/>
      <c r="EK102" s="234"/>
      <c r="EL102" s="234"/>
      <c r="EM102" s="234"/>
      <c r="EN102" s="234"/>
      <c r="EO102" s="234"/>
      <c r="EP102" s="234"/>
      <c r="EQ102" s="234"/>
      <c r="ER102" s="234"/>
      <c r="ES102" s="234"/>
      <c r="ET102" s="234"/>
      <c r="EU102" s="234"/>
      <c r="EV102" s="234"/>
      <c r="EW102" s="234"/>
      <c r="EX102" s="234"/>
      <c r="EY102" s="234"/>
      <c r="EZ102" s="234"/>
      <c r="FA102" s="234"/>
      <c r="FB102" s="234"/>
      <c r="FC102" s="234"/>
      <c r="FD102" s="234"/>
      <c r="FE102" s="234"/>
      <c r="FF102" s="234"/>
      <c r="FG102" s="234"/>
      <c r="FH102" s="234"/>
      <c r="FI102" s="234"/>
      <c r="FJ102" s="234"/>
      <c r="FK102" s="234"/>
      <c r="FL102" s="234"/>
      <c r="FM102" s="234"/>
      <c r="FN102" s="234"/>
      <c r="FO102" s="234"/>
      <c r="FP102" s="234"/>
      <c r="FQ102" s="234"/>
      <c r="FR102" s="234"/>
      <c r="FS102" s="234"/>
      <c r="FT102" s="234"/>
      <c r="FU102" s="234"/>
      <c r="FV102" s="234"/>
      <c r="FW102" s="234"/>
      <c r="FX102" s="234"/>
      <c r="FY102" s="234"/>
      <c r="FZ102" s="234"/>
      <c r="GA102" s="234"/>
      <c r="GB102" s="234"/>
      <c r="GC102" s="234"/>
      <c r="GD102" s="234"/>
      <c r="GE102" s="234"/>
      <c r="GF102" s="234"/>
      <c r="GG102" s="234"/>
      <c r="GH102" s="234"/>
      <c r="GI102" s="234"/>
      <c r="GJ102" s="234"/>
      <c r="GK102" s="234"/>
      <c r="GL102" s="234"/>
      <c r="GM102" s="234"/>
      <c r="GN102" s="234"/>
      <c r="GO102" s="234"/>
      <c r="GP102" s="234"/>
      <c r="GQ102" s="234"/>
      <c r="GR102" s="234"/>
      <c r="GS102" s="234"/>
      <c r="GT102" s="234"/>
      <c r="GU102" s="234"/>
      <c r="GV102" s="234"/>
      <c r="GW102" s="234"/>
      <c r="GX102" s="234"/>
      <c r="GY102" s="234"/>
      <c r="GZ102" s="234"/>
      <c r="HA102" s="234"/>
      <c r="HB102" s="234"/>
      <c r="HC102" s="234"/>
      <c r="HD102" s="234"/>
      <c r="HE102" s="234"/>
      <c r="HF102" s="234"/>
      <c r="HG102" s="234"/>
      <c r="HH102" s="234"/>
      <c r="HI102" s="234"/>
      <c r="HJ102" s="234"/>
      <c r="HK102" s="234"/>
      <c r="HL102" s="234"/>
      <c r="HM102" s="234"/>
      <c r="HN102" s="234"/>
      <c r="HO102" s="234"/>
      <c r="HP102" s="234"/>
      <c r="HQ102" s="234"/>
      <c r="HR102" s="234"/>
      <c r="HS102" s="234"/>
      <c r="HT102" s="234"/>
      <c r="HU102" s="234"/>
      <c r="HV102" s="234"/>
      <c r="HW102" s="234"/>
      <c r="HX102" s="234"/>
      <c r="HY102" s="234"/>
      <c r="HZ102" s="234"/>
      <c r="IA102" s="234"/>
      <c r="IB102" s="234"/>
      <c r="IC102" s="234"/>
      <c r="ID102" s="234"/>
      <c r="IE102" s="234"/>
      <c r="IF102" s="234"/>
      <c r="IG102" s="234"/>
      <c r="IH102" s="234"/>
      <c r="II102" s="234"/>
      <c r="IJ102" s="234"/>
      <c r="IK102" s="234"/>
      <c r="IL102" s="234"/>
      <c r="IM102" s="234"/>
      <c r="IN102" s="234"/>
      <c r="IO102" s="234"/>
      <c r="IP102" s="234"/>
      <c r="IQ102" s="234"/>
      <c r="IR102" s="234"/>
      <c r="IS102" s="234"/>
      <c r="IT102" s="234"/>
      <c r="IU102" s="234"/>
      <c r="IV102" s="234"/>
    </row>
    <row r="103" spans="1:256" ht="49.5" customHeight="1">
      <c r="A103" s="243" t="s">
        <v>968</v>
      </c>
      <c r="B103" s="201" t="s">
        <v>779</v>
      </c>
      <c r="C103" s="257">
        <f>902000+20000+436947.62+1685343.42+97999.83</f>
        <v>3142290.87</v>
      </c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4"/>
      <c r="CL103" s="234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4"/>
      <c r="DE103" s="234"/>
      <c r="DF103" s="234"/>
      <c r="DG103" s="234"/>
      <c r="DH103" s="234"/>
      <c r="DI103" s="234"/>
      <c r="DJ103" s="234"/>
      <c r="DK103" s="234"/>
      <c r="DL103" s="234"/>
      <c r="DM103" s="234"/>
      <c r="DN103" s="234"/>
      <c r="DO103" s="234"/>
      <c r="DP103" s="234"/>
      <c r="DQ103" s="234"/>
      <c r="DR103" s="234"/>
      <c r="DS103" s="234"/>
      <c r="DT103" s="234"/>
      <c r="DU103" s="234"/>
      <c r="DV103" s="234"/>
      <c r="DW103" s="234"/>
      <c r="DX103" s="234"/>
      <c r="DY103" s="234"/>
      <c r="DZ103" s="234"/>
      <c r="EA103" s="234"/>
      <c r="EB103" s="234"/>
      <c r="EC103" s="234"/>
      <c r="ED103" s="234"/>
      <c r="EE103" s="234"/>
      <c r="EF103" s="234"/>
      <c r="EG103" s="234"/>
      <c r="EH103" s="234"/>
      <c r="EI103" s="234"/>
      <c r="EJ103" s="234"/>
      <c r="EK103" s="234"/>
      <c r="EL103" s="234"/>
      <c r="EM103" s="234"/>
      <c r="EN103" s="234"/>
      <c r="EO103" s="234"/>
      <c r="EP103" s="234"/>
      <c r="EQ103" s="234"/>
      <c r="ER103" s="234"/>
      <c r="ES103" s="234"/>
      <c r="ET103" s="234"/>
      <c r="EU103" s="234"/>
      <c r="EV103" s="234"/>
      <c r="EW103" s="234"/>
      <c r="EX103" s="234"/>
      <c r="EY103" s="234"/>
      <c r="EZ103" s="234"/>
      <c r="FA103" s="234"/>
      <c r="FB103" s="234"/>
      <c r="FC103" s="234"/>
      <c r="FD103" s="234"/>
      <c r="FE103" s="234"/>
      <c r="FF103" s="234"/>
      <c r="FG103" s="234"/>
      <c r="FH103" s="234"/>
      <c r="FI103" s="234"/>
      <c r="FJ103" s="234"/>
      <c r="FK103" s="234"/>
      <c r="FL103" s="234"/>
      <c r="FM103" s="234"/>
      <c r="FN103" s="234"/>
      <c r="FO103" s="234"/>
      <c r="FP103" s="234"/>
      <c r="FQ103" s="234"/>
      <c r="FR103" s="234"/>
      <c r="FS103" s="234"/>
      <c r="FT103" s="234"/>
      <c r="FU103" s="234"/>
      <c r="FV103" s="234"/>
      <c r="FW103" s="234"/>
      <c r="FX103" s="234"/>
      <c r="FY103" s="234"/>
      <c r="FZ103" s="234"/>
      <c r="GA103" s="234"/>
      <c r="GB103" s="234"/>
      <c r="GC103" s="234"/>
      <c r="GD103" s="234"/>
      <c r="GE103" s="234"/>
      <c r="GF103" s="234"/>
      <c r="GG103" s="234"/>
      <c r="GH103" s="234"/>
      <c r="GI103" s="234"/>
      <c r="GJ103" s="234"/>
      <c r="GK103" s="234"/>
      <c r="GL103" s="234"/>
      <c r="GM103" s="234"/>
      <c r="GN103" s="234"/>
      <c r="GO103" s="234"/>
      <c r="GP103" s="234"/>
      <c r="GQ103" s="234"/>
      <c r="GR103" s="234"/>
      <c r="GS103" s="234"/>
      <c r="GT103" s="234"/>
      <c r="GU103" s="234"/>
      <c r="GV103" s="234"/>
      <c r="GW103" s="234"/>
      <c r="GX103" s="234"/>
      <c r="GY103" s="234"/>
      <c r="GZ103" s="234"/>
      <c r="HA103" s="234"/>
      <c r="HB103" s="234"/>
      <c r="HC103" s="234"/>
      <c r="HD103" s="234"/>
      <c r="HE103" s="234"/>
      <c r="HF103" s="234"/>
      <c r="HG103" s="234"/>
      <c r="HH103" s="234"/>
      <c r="HI103" s="234"/>
      <c r="HJ103" s="234"/>
      <c r="HK103" s="234"/>
      <c r="HL103" s="234"/>
      <c r="HM103" s="234"/>
      <c r="HN103" s="234"/>
      <c r="HO103" s="234"/>
      <c r="HP103" s="234"/>
      <c r="HQ103" s="234"/>
      <c r="HR103" s="234"/>
      <c r="HS103" s="234"/>
      <c r="HT103" s="234"/>
      <c r="HU103" s="234"/>
      <c r="HV103" s="234"/>
      <c r="HW103" s="234"/>
      <c r="HX103" s="234"/>
      <c r="HY103" s="234"/>
      <c r="HZ103" s="234"/>
      <c r="IA103" s="234"/>
      <c r="IB103" s="234"/>
      <c r="IC103" s="234"/>
      <c r="ID103" s="234"/>
      <c r="IE103" s="234"/>
      <c r="IF103" s="234"/>
      <c r="IG103" s="234"/>
      <c r="IH103" s="234"/>
      <c r="II103" s="234"/>
      <c r="IJ103" s="234"/>
      <c r="IK103" s="234"/>
      <c r="IL103" s="234"/>
      <c r="IM103" s="234"/>
      <c r="IN103" s="234"/>
      <c r="IO103" s="234"/>
      <c r="IP103" s="234"/>
      <c r="IQ103" s="234"/>
      <c r="IR103" s="234"/>
      <c r="IS103" s="234"/>
      <c r="IT103" s="234"/>
      <c r="IU103" s="234"/>
      <c r="IV103" s="234"/>
    </row>
    <row r="104" spans="1:256" s="154" customFormat="1" ht="26.25" customHeight="1">
      <c r="A104" s="233" t="s">
        <v>1319</v>
      </c>
      <c r="B104" s="198" t="s">
        <v>1320</v>
      </c>
      <c r="C104" s="247">
        <f>C105</f>
        <v>9</v>
      </c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  <c r="BU104" s="288"/>
      <c r="BV104" s="288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  <c r="CQ104" s="288"/>
      <c r="CR104" s="288"/>
      <c r="CS104" s="288"/>
      <c r="CT104" s="288"/>
      <c r="CU104" s="288"/>
      <c r="CV104" s="288"/>
      <c r="CW104" s="288"/>
      <c r="CX104" s="288"/>
      <c r="CY104" s="288"/>
      <c r="CZ104" s="288"/>
      <c r="DA104" s="288"/>
      <c r="DB104" s="288"/>
      <c r="DC104" s="288"/>
      <c r="DD104" s="288"/>
      <c r="DE104" s="288"/>
      <c r="DF104" s="288"/>
      <c r="DG104" s="288"/>
      <c r="DH104" s="288"/>
      <c r="DI104" s="288"/>
      <c r="DJ104" s="288"/>
      <c r="DK104" s="288"/>
      <c r="DL104" s="288"/>
      <c r="DM104" s="288"/>
      <c r="DN104" s="288"/>
      <c r="DO104" s="288"/>
      <c r="DP104" s="288"/>
      <c r="DQ104" s="288"/>
      <c r="DR104" s="288"/>
      <c r="DS104" s="288"/>
      <c r="DT104" s="288"/>
      <c r="DU104" s="288"/>
      <c r="DV104" s="288"/>
      <c r="DW104" s="288"/>
      <c r="DX104" s="288"/>
      <c r="DY104" s="288"/>
      <c r="DZ104" s="288"/>
      <c r="EA104" s="288"/>
      <c r="EB104" s="288"/>
      <c r="EC104" s="288"/>
      <c r="ED104" s="288"/>
      <c r="EE104" s="288"/>
      <c r="EF104" s="288"/>
      <c r="EG104" s="288"/>
      <c r="EH104" s="288"/>
      <c r="EI104" s="288"/>
      <c r="EJ104" s="288"/>
      <c r="EK104" s="288"/>
      <c r="EL104" s="288"/>
      <c r="EM104" s="288"/>
      <c r="EN104" s="288"/>
      <c r="EO104" s="288"/>
      <c r="EP104" s="288"/>
      <c r="EQ104" s="288"/>
      <c r="ER104" s="288"/>
      <c r="ES104" s="288"/>
      <c r="ET104" s="288"/>
      <c r="EU104" s="288"/>
      <c r="EV104" s="288"/>
      <c r="EW104" s="288"/>
      <c r="EX104" s="288"/>
      <c r="EY104" s="288"/>
      <c r="EZ104" s="288"/>
      <c r="FA104" s="288"/>
      <c r="FB104" s="288"/>
      <c r="FC104" s="288"/>
      <c r="FD104" s="288"/>
      <c r="FE104" s="288"/>
      <c r="FF104" s="288"/>
      <c r="FG104" s="288"/>
      <c r="FH104" s="288"/>
      <c r="FI104" s="288"/>
      <c r="FJ104" s="288"/>
      <c r="FK104" s="288"/>
      <c r="FL104" s="288"/>
      <c r="FM104" s="288"/>
      <c r="FN104" s="288"/>
      <c r="FO104" s="288"/>
      <c r="FP104" s="288"/>
      <c r="FQ104" s="288"/>
      <c r="FR104" s="288"/>
      <c r="FS104" s="288"/>
      <c r="FT104" s="288"/>
      <c r="FU104" s="288"/>
      <c r="FV104" s="288"/>
      <c r="FW104" s="288"/>
      <c r="FX104" s="288"/>
      <c r="FY104" s="288"/>
      <c r="FZ104" s="288"/>
      <c r="GA104" s="288"/>
      <c r="GB104" s="288"/>
      <c r="GC104" s="288"/>
      <c r="GD104" s="288"/>
      <c r="GE104" s="288"/>
      <c r="GF104" s="288"/>
      <c r="GG104" s="288"/>
      <c r="GH104" s="288"/>
      <c r="GI104" s="288"/>
      <c r="GJ104" s="288"/>
      <c r="GK104" s="288"/>
      <c r="GL104" s="288"/>
      <c r="GM104" s="288"/>
      <c r="GN104" s="288"/>
      <c r="GO104" s="288"/>
      <c r="GP104" s="288"/>
      <c r="GQ104" s="288"/>
      <c r="GR104" s="288"/>
      <c r="GS104" s="288"/>
      <c r="GT104" s="288"/>
      <c r="GU104" s="288"/>
      <c r="GV104" s="288"/>
      <c r="GW104" s="288"/>
      <c r="GX104" s="288"/>
      <c r="GY104" s="288"/>
      <c r="GZ104" s="288"/>
      <c r="HA104" s="288"/>
      <c r="HB104" s="288"/>
      <c r="HC104" s="288"/>
      <c r="HD104" s="288"/>
      <c r="HE104" s="288"/>
      <c r="HF104" s="288"/>
      <c r="HG104" s="288"/>
      <c r="HH104" s="288"/>
      <c r="HI104" s="288"/>
      <c r="HJ104" s="288"/>
      <c r="HK104" s="288"/>
      <c r="HL104" s="288"/>
      <c r="HM104" s="288"/>
      <c r="HN104" s="288"/>
      <c r="HO104" s="288"/>
      <c r="HP104" s="288"/>
      <c r="HQ104" s="288"/>
      <c r="HR104" s="288"/>
      <c r="HS104" s="288"/>
      <c r="HT104" s="288"/>
      <c r="HU104" s="288"/>
      <c r="HV104" s="288"/>
      <c r="HW104" s="288"/>
      <c r="HX104" s="288"/>
      <c r="HY104" s="288"/>
      <c r="HZ104" s="288"/>
      <c r="IA104" s="288"/>
      <c r="IB104" s="288"/>
      <c r="IC104" s="288"/>
      <c r="ID104" s="288"/>
      <c r="IE104" s="288"/>
      <c r="IF104" s="288"/>
      <c r="IG104" s="288"/>
      <c r="IH104" s="288"/>
      <c r="II104" s="288"/>
      <c r="IJ104" s="288"/>
      <c r="IK104" s="288"/>
      <c r="IL104" s="288"/>
      <c r="IM104" s="288"/>
      <c r="IN104" s="288"/>
      <c r="IO104" s="288"/>
      <c r="IP104" s="288"/>
      <c r="IQ104" s="288"/>
      <c r="IR104" s="288"/>
      <c r="IS104" s="288"/>
      <c r="IT104" s="288"/>
      <c r="IU104" s="288"/>
      <c r="IV104" s="288"/>
    </row>
    <row r="105" spans="1:3" s="290" customFormat="1" ht="32.25" customHeight="1">
      <c r="A105" s="242" t="s">
        <v>1321</v>
      </c>
      <c r="B105" s="199" t="s">
        <v>1320</v>
      </c>
      <c r="C105" s="289">
        <f>C106</f>
        <v>9</v>
      </c>
    </row>
    <row r="106" spans="1:3" s="292" customFormat="1" ht="32.25" customHeight="1">
      <c r="A106" s="243" t="s">
        <v>1322</v>
      </c>
      <c r="B106" s="201" t="s">
        <v>1236</v>
      </c>
      <c r="C106" s="291">
        <v>9</v>
      </c>
    </row>
    <row r="107" spans="1:256" ht="31.5">
      <c r="A107" s="233" t="s">
        <v>969</v>
      </c>
      <c r="B107" s="145" t="s">
        <v>970</v>
      </c>
      <c r="C107" s="247">
        <f>C108</f>
        <v>1448615819.82</v>
      </c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234"/>
      <c r="CR107" s="234"/>
      <c r="CS107" s="234"/>
      <c r="CT107" s="234"/>
      <c r="CU107" s="234"/>
      <c r="CV107" s="234"/>
      <c r="CW107" s="234"/>
      <c r="CX107" s="234"/>
      <c r="CY107" s="234"/>
      <c r="CZ107" s="234"/>
      <c r="DA107" s="234"/>
      <c r="DB107" s="234"/>
      <c r="DC107" s="234"/>
      <c r="DD107" s="234"/>
      <c r="DE107" s="234"/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  <c r="IM107" s="234"/>
      <c r="IN107" s="234"/>
      <c r="IO107" s="234"/>
      <c r="IP107" s="234"/>
      <c r="IQ107" s="234"/>
      <c r="IR107" s="234"/>
      <c r="IS107" s="234"/>
      <c r="IT107" s="234"/>
      <c r="IU107" s="234"/>
      <c r="IV107" s="234"/>
    </row>
    <row r="108" spans="1:256" ht="47.25">
      <c r="A108" s="233" t="s">
        <v>971</v>
      </c>
      <c r="B108" s="145" t="s">
        <v>972</v>
      </c>
      <c r="C108" s="248">
        <f>C109+C116+C125+C134</f>
        <v>1448615819.82</v>
      </c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  <c r="CM108" s="234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4"/>
      <c r="DI108" s="234"/>
      <c r="DJ108" s="234"/>
      <c r="DK108" s="234"/>
      <c r="DL108" s="234"/>
      <c r="DM108" s="234"/>
      <c r="DN108" s="234"/>
      <c r="DO108" s="234"/>
      <c r="DP108" s="234"/>
      <c r="DQ108" s="234"/>
      <c r="DR108" s="234"/>
      <c r="DS108" s="234"/>
      <c r="DT108" s="234"/>
      <c r="DU108" s="234"/>
      <c r="DV108" s="234"/>
      <c r="DW108" s="234"/>
      <c r="DX108" s="234"/>
      <c r="DY108" s="234"/>
      <c r="DZ108" s="234"/>
      <c r="EA108" s="234"/>
      <c r="EB108" s="234"/>
      <c r="EC108" s="234"/>
      <c r="ED108" s="234"/>
      <c r="EE108" s="234"/>
      <c r="EF108" s="234"/>
      <c r="EG108" s="234"/>
      <c r="EH108" s="234"/>
      <c r="EI108" s="234"/>
      <c r="EJ108" s="234"/>
      <c r="EK108" s="234"/>
      <c r="EL108" s="234"/>
      <c r="EM108" s="234"/>
      <c r="EN108" s="234"/>
      <c r="EO108" s="234"/>
      <c r="EP108" s="234"/>
      <c r="EQ108" s="234"/>
      <c r="ER108" s="234"/>
      <c r="ES108" s="234"/>
      <c r="ET108" s="234"/>
      <c r="EU108" s="234"/>
      <c r="EV108" s="234"/>
      <c r="EW108" s="234"/>
      <c r="EX108" s="234"/>
      <c r="EY108" s="234"/>
      <c r="EZ108" s="234"/>
      <c r="FA108" s="234"/>
      <c r="FB108" s="234"/>
      <c r="FC108" s="234"/>
      <c r="FD108" s="234"/>
      <c r="FE108" s="234"/>
      <c r="FF108" s="234"/>
      <c r="FG108" s="234"/>
      <c r="FH108" s="234"/>
      <c r="FI108" s="234"/>
      <c r="FJ108" s="234"/>
      <c r="FK108" s="234"/>
      <c r="FL108" s="234"/>
      <c r="FM108" s="234"/>
      <c r="FN108" s="234"/>
      <c r="FO108" s="234"/>
      <c r="FP108" s="234"/>
      <c r="FQ108" s="234"/>
      <c r="FR108" s="234"/>
      <c r="FS108" s="234"/>
      <c r="FT108" s="234"/>
      <c r="FU108" s="234"/>
      <c r="FV108" s="234"/>
      <c r="FW108" s="234"/>
      <c r="FX108" s="234"/>
      <c r="FY108" s="234"/>
      <c r="FZ108" s="234"/>
      <c r="GA108" s="234"/>
      <c r="GB108" s="234"/>
      <c r="GC108" s="234"/>
      <c r="GD108" s="234"/>
      <c r="GE108" s="234"/>
      <c r="GF108" s="234"/>
      <c r="GG108" s="234"/>
      <c r="GH108" s="234"/>
      <c r="GI108" s="234"/>
      <c r="GJ108" s="234"/>
      <c r="GK108" s="234"/>
      <c r="GL108" s="234"/>
      <c r="GM108" s="234"/>
      <c r="GN108" s="234"/>
      <c r="GO108" s="234"/>
      <c r="GP108" s="234"/>
      <c r="GQ108" s="234"/>
      <c r="GR108" s="234"/>
      <c r="GS108" s="234"/>
      <c r="GT108" s="234"/>
      <c r="GU108" s="234"/>
      <c r="GV108" s="234"/>
      <c r="GW108" s="234"/>
      <c r="GX108" s="234"/>
      <c r="GY108" s="234"/>
      <c r="GZ108" s="234"/>
      <c r="HA108" s="234"/>
      <c r="HB108" s="234"/>
      <c r="HC108" s="234"/>
      <c r="HD108" s="234"/>
      <c r="HE108" s="234"/>
      <c r="HF108" s="234"/>
      <c r="HG108" s="234"/>
      <c r="HH108" s="234"/>
      <c r="HI108" s="234"/>
      <c r="HJ108" s="234"/>
      <c r="HK108" s="234"/>
      <c r="HL108" s="234"/>
      <c r="HM108" s="234"/>
      <c r="HN108" s="234"/>
      <c r="HO108" s="234"/>
      <c r="HP108" s="234"/>
      <c r="HQ108" s="234"/>
      <c r="HR108" s="234"/>
      <c r="HS108" s="234"/>
      <c r="HT108" s="234"/>
      <c r="HU108" s="234"/>
      <c r="HV108" s="234"/>
      <c r="HW108" s="234"/>
      <c r="HX108" s="234"/>
      <c r="HY108" s="234"/>
      <c r="HZ108" s="234"/>
      <c r="IA108" s="234"/>
      <c r="IB108" s="234"/>
      <c r="IC108" s="234"/>
      <c r="ID108" s="234"/>
      <c r="IE108" s="234"/>
      <c r="IF108" s="234"/>
      <c r="IG108" s="234"/>
      <c r="IH108" s="234"/>
      <c r="II108" s="234"/>
      <c r="IJ108" s="234"/>
      <c r="IK108" s="234"/>
      <c r="IL108" s="234"/>
      <c r="IM108" s="234"/>
      <c r="IN108" s="234"/>
      <c r="IO108" s="234"/>
      <c r="IP108" s="234"/>
      <c r="IQ108" s="234"/>
      <c r="IR108" s="234"/>
      <c r="IS108" s="234"/>
      <c r="IT108" s="234"/>
      <c r="IU108" s="234"/>
      <c r="IV108" s="234"/>
    </row>
    <row r="109" spans="1:256" ht="42" customHeight="1">
      <c r="A109" s="233" t="s">
        <v>973</v>
      </c>
      <c r="B109" s="145" t="s">
        <v>974</v>
      </c>
      <c r="C109" s="247">
        <f>C110+C114+C112</f>
        <v>594051849</v>
      </c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  <c r="CM109" s="234"/>
      <c r="CN109" s="234"/>
      <c r="CO109" s="234"/>
      <c r="CP109" s="234"/>
      <c r="CQ109" s="234"/>
      <c r="CR109" s="234"/>
      <c r="CS109" s="234"/>
      <c r="CT109" s="234"/>
      <c r="CU109" s="234"/>
      <c r="CV109" s="234"/>
      <c r="CW109" s="234"/>
      <c r="CX109" s="234"/>
      <c r="CY109" s="234"/>
      <c r="CZ109" s="234"/>
      <c r="DA109" s="234"/>
      <c r="DB109" s="234"/>
      <c r="DC109" s="234"/>
      <c r="DD109" s="234"/>
      <c r="DE109" s="234"/>
      <c r="DF109" s="234"/>
      <c r="DG109" s="234"/>
      <c r="DH109" s="234"/>
      <c r="DI109" s="234"/>
      <c r="DJ109" s="234"/>
      <c r="DK109" s="234"/>
      <c r="DL109" s="234"/>
      <c r="DM109" s="234"/>
      <c r="DN109" s="234"/>
      <c r="DO109" s="234"/>
      <c r="DP109" s="234"/>
      <c r="DQ109" s="234"/>
      <c r="DR109" s="234"/>
      <c r="DS109" s="234"/>
      <c r="DT109" s="234"/>
      <c r="DU109" s="234"/>
      <c r="DV109" s="234"/>
      <c r="DW109" s="234"/>
      <c r="DX109" s="234"/>
      <c r="DY109" s="234"/>
      <c r="DZ109" s="234"/>
      <c r="EA109" s="234"/>
      <c r="EB109" s="234"/>
      <c r="EC109" s="234"/>
      <c r="ED109" s="234"/>
      <c r="EE109" s="234"/>
      <c r="EF109" s="234"/>
      <c r="EG109" s="234"/>
      <c r="EH109" s="234"/>
      <c r="EI109" s="234"/>
      <c r="EJ109" s="234"/>
      <c r="EK109" s="234"/>
      <c r="EL109" s="234"/>
      <c r="EM109" s="234"/>
      <c r="EN109" s="234"/>
      <c r="EO109" s="234"/>
      <c r="EP109" s="234"/>
      <c r="EQ109" s="234"/>
      <c r="ER109" s="234"/>
      <c r="ES109" s="234"/>
      <c r="ET109" s="234"/>
      <c r="EU109" s="234"/>
      <c r="EV109" s="234"/>
      <c r="EW109" s="234"/>
      <c r="EX109" s="234"/>
      <c r="EY109" s="234"/>
      <c r="EZ109" s="234"/>
      <c r="FA109" s="234"/>
      <c r="FB109" s="234"/>
      <c r="FC109" s="234"/>
      <c r="FD109" s="234"/>
      <c r="FE109" s="234"/>
      <c r="FF109" s="234"/>
      <c r="FG109" s="234"/>
      <c r="FH109" s="234"/>
      <c r="FI109" s="234"/>
      <c r="FJ109" s="234"/>
      <c r="FK109" s="234"/>
      <c r="FL109" s="234"/>
      <c r="FM109" s="234"/>
      <c r="FN109" s="234"/>
      <c r="FO109" s="234"/>
      <c r="FP109" s="234"/>
      <c r="FQ109" s="234"/>
      <c r="FR109" s="234"/>
      <c r="FS109" s="234"/>
      <c r="FT109" s="234"/>
      <c r="FU109" s="234"/>
      <c r="FV109" s="234"/>
      <c r="FW109" s="234"/>
      <c r="FX109" s="234"/>
      <c r="FY109" s="234"/>
      <c r="FZ109" s="234"/>
      <c r="GA109" s="234"/>
      <c r="GB109" s="234"/>
      <c r="GC109" s="234"/>
      <c r="GD109" s="234"/>
      <c r="GE109" s="234"/>
      <c r="GF109" s="234"/>
      <c r="GG109" s="234"/>
      <c r="GH109" s="234"/>
      <c r="GI109" s="234"/>
      <c r="GJ109" s="234"/>
      <c r="GK109" s="234"/>
      <c r="GL109" s="234"/>
      <c r="GM109" s="234"/>
      <c r="GN109" s="234"/>
      <c r="GO109" s="234"/>
      <c r="GP109" s="234"/>
      <c r="GQ109" s="234"/>
      <c r="GR109" s="234"/>
      <c r="GS109" s="234"/>
      <c r="GT109" s="234"/>
      <c r="GU109" s="234"/>
      <c r="GV109" s="234"/>
      <c r="GW109" s="234"/>
      <c r="GX109" s="234"/>
      <c r="GY109" s="234"/>
      <c r="GZ109" s="234"/>
      <c r="HA109" s="234"/>
      <c r="HB109" s="234"/>
      <c r="HC109" s="234"/>
      <c r="HD109" s="234"/>
      <c r="HE109" s="234"/>
      <c r="HF109" s="234"/>
      <c r="HG109" s="234"/>
      <c r="HH109" s="234"/>
      <c r="HI109" s="234"/>
      <c r="HJ109" s="234"/>
      <c r="HK109" s="234"/>
      <c r="HL109" s="234"/>
      <c r="HM109" s="234"/>
      <c r="HN109" s="234"/>
      <c r="HO109" s="234"/>
      <c r="HP109" s="234"/>
      <c r="HQ109" s="234"/>
      <c r="HR109" s="234"/>
      <c r="HS109" s="234"/>
      <c r="HT109" s="234"/>
      <c r="HU109" s="234"/>
      <c r="HV109" s="234"/>
      <c r="HW109" s="234"/>
      <c r="HX109" s="234"/>
      <c r="HY109" s="234"/>
      <c r="HZ109" s="234"/>
      <c r="IA109" s="234"/>
      <c r="IB109" s="234"/>
      <c r="IC109" s="234"/>
      <c r="ID109" s="234"/>
      <c r="IE109" s="234"/>
      <c r="IF109" s="234"/>
      <c r="IG109" s="234"/>
      <c r="IH109" s="234"/>
      <c r="II109" s="234"/>
      <c r="IJ109" s="234"/>
      <c r="IK109" s="234"/>
      <c r="IL109" s="234"/>
      <c r="IM109" s="234"/>
      <c r="IN109" s="234"/>
      <c r="IO109" s="234"/>
      <c r="IP109" s="234"/>
      <c r="IQ109" s="234"/>
      <c r="IR109" s="234"/>
      <c r="IS109" s="234"/>
      <c r="IT109" s="234"/>
      <c r="IU109" s="234"/>
      <c r="IV109" s="234"/>
    </row>
    <row r="110" spans="1:256" ht="34.5" customHeight="1">
      <c r="A110" s="242" t="s">
        <v>975</v>
      </c>
      <c r="B110" s="199" t="s">
        <v>976</v>
      </c>
      <c r="C110" s="256">
        <f>C111</f>
        <v>14143300</v>
      </c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CN110" s="234"/>
      <c r="CO110" s="234"/>
      <c r="CP110" s="234"/>
      <c r="CQ110" s="234"/>
      <c r="CR110" s="234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34"/>
      <c r="DD110" s="234"/>
      <c r="DE110" s="234"/>
      <c r="DF110" s="234"/>
      <c r="DG110" s="234"/>
      <c r="DH110" s="234"/>
      <c r="DI110" s="234"/>
      <c r="DJ110" s="234"/>
      <c r="DK110" s="234"/>
      <c r="DL110" s="234"/>
      <c r="DM110" s="234"/>
      <c r="DN110" s="234"/>
      <c r="DO110" s="234"/>
      <c r="DP110" s="234"/>
      <c r="DQ110" s="234"/>
      <c r="DR110" s="234"/>
      <c r="DS110" s="234"/>
      <c r="DT110" s="234"/>
      <c r="DU110" s="234"/>
      <c r="DV110" s="234"/>
      <c r="DW110" s="234"/>
      <c r="DX110" s="234"/>
      <c r="DY110" s="234"/>
      <c r="DZ110" s="234"/>
      <c r="EA110" s="234"/>
      <c r="EB110" s="234"/>
      <c r="EC110" s="234"/>
      <c r="ED110" s="234"/>
      <c r="EE110" s="234"/>
      <c r="EF110" s="234"/>
      <c r="EG110" s="234"/>
      <c r="EH110" s="234"/>
      <c r="EI110" s="234"/>
      <c r="EJ110" s="234"/>
      <c r="EK110" s="234"/>
      <c r="EL110" s="234"/>
      <c r="EM110" s="234"/>
      <c r="EN110" s="234"/>
      <c r="EO110" s="234"/>
      <c r="EP110" s="234"/>
      <c r="EQ110" s="234"/>
      <c r="ER110" s="234"/>
      <c r="ES110" s="234"/>
      <c r="ET110" s="234"/>
      <c r="EU110" s="234"/>
      <c r="EV110" s="234"/>
      <c r="EW110" s="234"/>
      <c r="EX110" s="234"/>
      <c r="EY110" s="234"/>
      <c r="EZ110" s="234"/>
      <c r="FA110" s="234"/>
      <c r="FB110" s="234"/>
      <c r="FC110" s="234"/>
      <c r="FD110" s="234"/>
      <c r="FE110" s="234"/>
      <c r="FF110" s="234"/>
      <c r="FG110" s="234"/>
      <c r="FH110" s="234"/>
      <c r="FI110" s="234"/>
      <c r="FJ110" s="234"/>
      <c r="FK110" s="234"/>
      <c r="FL110" s="234"/>
      <c r="FM110" s="234"/>
      <c r="FN110" s="234"/>
      <c r="FO110" s="234"/>
      <c r="FP110" s="234"/>
      <c r="FQ110" s="234"/>
      <c r="FR110" s="234"/>
      <c r="FS110" s="234"/>
      <c r="FT110" s="234"/>
      <c r="FU110" s="234"/>
      <c r="FV110" s="234"/>
      <c r="FW110" s="234"/>
      <c r="FX110" s="234"/>
      <c r="FY110" s="234"/>
      <c r="FZ110" s="234"/>
      <c r="GA110" s="234"/>
      <c r="GB110" s="234"/>
      <c r="GC110" s="234"/>
      <c r="GD110" s="234"/>
      <c r="GE110" s="234"/>
      <c r="GF110" s="234"/>
      <c r="GG110" s="234"/>
      <c r="GH110" s="234"/>
      <c r="GI110" s="234"/>
      <c r="GJ110" s="234"/>
      <c r="GK110" s="234"/>
      <c r="GL110" s="234"/>
      <c r="GM110" s="234"/>
      <c r="GN110" s="234"/>
      <c r="GO110" s="234"/>
      <c r="GP110" s="234"/>
      <c r="GQ110" s="234"/>
      <c r="GR110" s="234"/>
      <c r="GS110" s="234"/>
      <c r="GT110" s="234"/>
      <c r="GU110" s="234"/>
      <c r="GV110" s="234"/>
      <c r="GW110" s="234"/>
      <c r="GX110" s="234"/>
      <c r="GY110" s="234"/>
      <c r="GZ110" s="234"/>
      <c r="HA110" s="234"/>
      <c r="HB110" s="234"/>
      <c r="HC110" s="234"/>
      <c r="HD110" s="234"/>
      <c r="HE110" s="234"/>
      <c r="HF110" s="234"/>
      <c r="HG110" s="234"/>
      <c r="HH110" s="234"/>
      <c r="HI110" s="234"/>
      <c r="HJ110" s="234"/>
      <c r="HK110" s="234"/>
      <c r="HL110" s="234"/>
      <c r="HM110" s="234"/>
      <c r="HN110" s="234"/>
      <c r="HO110" s="234"/>
      <c r="HP110" s="234"/>
      <c r="HQ110" s="234"/>
      <c r="HR110" s="234"/>
      <c r="HS110" s="234"/>
      <c r="HT110" s="234"/>
      <c r="HU110" s="234"/>
      <c r="HV110" s="234"/>
      <c r="HW110" s="234"/>
      <c r="HX110" s="234"/>
      <c r="HY110" s="234"/>
      <c r="HZ110" s="234"/>
      <c r="IA110" s="234"/>
      <c r="IB110" s="234"/>
      <c r="IC110" s="234"/>
      <c r="ID110" s="234"/>
      <c r="IE110" s="234"/>
      <c r="IF110" s="234"/>
      <c r="IG110" s="234"/>
      <c r="IH110" s="234"/>
      <c r="II110" s="234"/>
      <c r="IJ110" s="234"/>
      <c r="IK110" s="234"/>
      <c r="IL110" s="234"/>
      <c r="IM110" s="234"/>
      <c r="IN110" s="234"/>
      <c r="IO110" s="234"/>
      <c r="IP110" s="234"/>
      <c r="IQ110" s="234"/>
      <c r="IR110" s="234"/>
      <c r="IS110" s="234"/>
      <c r="IT110" s="234"/>
      <c r="IU110" s="234"/>
      <c r="IV110" s="234"/>
    </row>
    <row r="111" spans="1:256" ht="30">
      <c r="A111" s="243" t="s">
        <v>977</v>
      </c>
      <c r="B111" s="201" t="s">
        <v>978</v>
      </c>
      <c r="C111" s="257">
        <v>14143300</v>
      </c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4"/>
      <c r="BR111" s="234"/>
      <c r="BS111" s="234"/>
      <c r="BT111" s="234"/>
      <c r="BU111" s="234"/>
      <c r="BV111" s="234"/>
      <c r="BW111" s="234"/>
      <c r="BX111" s="234"/>
      <c r="BY111" s="234"/>
      <c r="BZ111" s="234"/>
      <c r="CA111" s="234"/>
      <c r="CB111" s="234"/>
      <c r="CC111" s="234"/>
      <c r="CD111" s="234"/>
      <c r="CE111" s="234"/>
      <c r="CF111" s="234"/>
      <c r="CG111" s="234"/>
      <c r="CH111" s="234"/>
      <c r="CI111" s="234"/>
      <c r="CJ111" s="234"/>
      <c r="CK111" s="234"/>
      <c r="CL111" s="234"/>
      <c r="CM111" s="234"/>
      <c r="CN111" s="234"/>
      <c r="CO111" s="234"/>
      <c r="CP111" s="234"/>
      <c r="CQ111" s="234"/>
      <c r="CR111" s="234"/>
      <c r="CS111" s="234"/>
      <c r="CT111" s="234"/>
      <c r="CU111" s="234"/>
      <c r="CV111" s="234"/>
      <c r="CW111" s="234"/>
      <c r="CX111" s="234"/>
      <c r="CY111" s="234"/>
      <c r="CZ111" s="234"/>
      <c r="DA111" s="234"/>
      <c r="DB111" s="234"/>
      <c r="DC111" s="234"/>
      <c r="DD111" s="234"/>
      <c r="DE111" s="234"/>
      <c r="DF111" s="234"/>
      <c r="DG111" s="234"/>
      <c r="DH111" s="234"/>
      <c r="DI111" s="234"/>
      <c r="DJ111" s="234"/>
      <c r="DK111" s="234"/>
      <c r="DL111" s="234"/>
      <c r="DM111" s="234"/>
      <c r="DN111" s="234"/>
      <c r="DO111" s="234"/>
      <c r="DP111" s="234"/>
      <c r="DQ111" s="234"/>
      <c r="DR111" s="234"/>
      <c r="DS111" s="234"/>
      <c r="DT111" s="234"/>
      <c r="DU111" s="234"/>
      <c r="DV111" s="234"/>
      <c r="DW111" s="234"/>
      <c r="DX111" s="234"/>
      <c r="DY111" s="234"/>
      <c r="DZ111" s="234"/>
      <c r="EA111" s="234"/>
      <c r="EB111" s="234"/>
      <c r="EC111" s="234"/>
      <c r="ED111" s="234"/>
      <c r="EE111" s="234"/>
      <c r="EF111" s="234"/>
      <c r="EG111" s="234"/>
      <c r="EH111" s="234"/>
      <c r="EI111" s="234"/>
      <c r="EJ111" s="234"/>
      <c r="EK111" s="234"/>
      <c r="EL111" s="234"/>
      <c r="EM111" s="234"/>
      <c r="EN111" s="234"/>
      <c r="EO111" s="234"/>
      <c r="EP111" s="234"/>
      <c r="EQ111" s="234"/>
      <c r="ER111" s="234"/>
      <c r="ES111" s="234"/>
      <c r="ET111" s="234"/>
      <c r="EU111" s="234"/>
      <c r="EV111" s="234"/>
      <c r="EW111" s="234"/>
      <c r="EX111" s="234"/>
      <c r="EY111" s="234"/>
      <c r="EZ111" s="234"/>
      <c r="FA111" s="234"/>
      <c r="FB111" s="234"/>
      <c r="FC111" s="234"/>
      <c r="FD111" s="234"/>
      <c r="FE111" s="234"/>
      <c r="FF111" s="234"/>
      <c r="FG111" s="234"/>
      <c r="FH111" s="234"/>
      <c r="FI111" s="234"/>
      <c r="FJ111" s="234"/>
      <c r="FK111" s="234"/>
      <c r="FL111" s="234"/>
      <c r="FM111" s="234"/>
      <c r="FN111" s="234"/>
      <c r="FO111" s="234"/>
      <c r="FP111" s="234"/>
      <c r="FQ111" s="234"/>
      <c r="FR111" s="234"/>
      <c r="FS111" s="234"/>
      <c r="FT111" s="234"/>
      <c r="FU111" s="234"/>
      <c r="FV111" s="234"/>
      <c r="FW111" s="234"/>
      <c r="FX111" s="234"/>
      <c r="FY111" s="234"/>
      <c r="FZ111" s="234"/>
      <c r="GA111" s="234"/>
      <c r="GB111" s="234"/>
      <c r="GC111" s="234"/>
      <c r="GD111" s="234"/>
      <c r="GE111" s="234"/>
      <c r="GF111" s="234"/>
      <c r="GG111" s="234"/>
      <c r="GH111" s="234"/>
      <c r="GI111" s="234"/>
      <c r="GJ111" s="234"/>
      <c r="GK111" s="234"/>
      <c r="GL111" s="234"/>
      <c r="GM111" s="234"/>
      <c r="GN111" s="234"/>
      <c r="GO111" s="234"/>
      <c r="GP111" s="234"/>
      <c r="GQ111" s="234"/>
      <c r="GR111" s="234"/>
      <c r="GS111" s="234"/>
      <c r="GT111" s="234"/>
      <c r="GU111" s="234"/>
      <c r="GV111" s="234"/>
      <c r="GW111" s="234"/>
      <c r="GX111" s="234"/>
      <c r="GY111" s="234"/>
      <c r="GZ111" s="234"/>
      <c r="HA111" s="234"/>
      <c r="HB111" s="234"/>
      <c r="HC111" s="234"/>
      <c r="HD111" s="234"/>
      <c r="HE111" s="234"/>
      <c r="HF111" s="234"/>
      <c r="HG111" s="234"/>
      <c r="HH111" s="234"/>
      <c r="HI111" s="234"/>
      <c r="HJ111" s="234"/>
      <c r="HK111" s="234"/>
      <c r="HL111" s="234"/>
      <c r="HM111" s="234"/>
      <c r="HN111" s="234"/>
      <c r="HO111" s="234"/>
      <c r="HP111" s="234"/>
      <c r="HQ111" s="234"/>
      <c r="HR111" s="234"/>
      <c r="HS111" s="234"/>
      <c r="HT111" s="234"/>
      <c r="HU111" s="234"/>
      <c r="HV111" s="234"/>
      <c r="HW111" s="234"/>
      <c r="HX111" s="234"/>
      <c r="HY111" s="234"/>
      <c r="HZ111" s="234"/>
      <c r="IA111" s="234"/>
      <c r="IB111" s="234"/>
      <c r="IC111" s="234"/>
      <c r="ID111" s="234"/>
      <c r="IE111" s="234"/>
      <c r="IF111" s="234"/>
      <c r="IG111" s="234"/>
      <c r="IH111" s="234"/>
      <c r="II111" s="234"/>
      <c r="IJ111" s="234"/>
      <c r="IK111" s="234"/>
      <c r="IL111" s="234"/>
      <c r="IM111" s="234"/>
      <c r="IN111" s="234"/>
      <c r="IO111" s="234"/>
      <c r="IP111" s="234"/>
      <c r="IQ111" s="234"/>
      <c r="IR111" s="234"/>
      <c r="IS111" s="234"/>
      <c r="IT111" s="234"/>
      <c r="IU111" s="234"/>
      <c r="IV111" s="234"/>
    </row>
    <row r="112" spans="1:256" ht="47.25">
      <c r="A112" s="242" t="s">
        <v>1323</v>
      </c>
      <c r="B112" s="199" t="s">
        <v>1324</v>
      </c>
      <c r="C112" s="257">
        <f>C113</f>
        <v>2653549</v>
      </c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4"/>
      <c r="CU112" s="234"/>
      <c r="CV112" s="234"/>
      <c r="CW112" s="234"/>
      <c r="CX112" s="234"/>
      <c r="CY112" s="234"/>
      <c r="CZ112" s="234"/>
      <c r="DA112" s="234"/>
      <c r="DB112" s="234"/>
      <c r="DC112" s="234"/>
      <c r="DD112" s="234"/>
      <c r="DE112" s="234"/>
      <c r="DF112" s="234"/>
      <c r="DG112" s="234"/>
      <c r="DH112" s="234"/>
      <c r="DI112" s="234"/>
      <c r="DJ112" s="234"/>
      <c r="DK112" s="234"/>
      <c r="DL112" s="234"/>
      <c r="DM112" s="234"/>
      <c r="DN112" s="234"/>
      <c r="DO112" s="234"/>
      <c r="DP112" s="234"/>
      <c r="DQ112" s="234"/>
      <c r="DR112" s="234"/>
      <c r="DS112" s="234"/>
      <c r="DT112" s="234"/>
      <c r="DU112" s="234"/>
      <c r="DV112" s="234"/>
      <c r="DW112" s="234"/>
      <c r="DX112" s="234"/>
      <c r="DY112" s="234"/>
      <c r="DZ112" s="234"/>
      <c r="EA112" s="234"/>
      <c r="EB112" s="234"/>
      <c r="EC112" s="234"/>
      <c r="ED112" s="234"/>
      <c r="EE112" s="234"/>
      <c r="EF112" s="234"/>
      <c r="EG112" s="234"/>
      <c r="EH112" s="234"/>
      <c r="EI112" s="234"/>
      <c r="EJ112" s="234"/>
      <c r="EK112" s="234"/>
      <c r="EL112" s="234"/>
      <c r="EM112" s="234"/>
      <c r="EN112" s="234"/>
      <c r="EO112" s="234"/>
      <c r="EP112" s="234"/>
      <c r="EQ112" s="234"/>
      <c r="ER112" s="234"/>
      <c r="ES112" s="234"/>
      <c r="ET112" s="234"/>
      <c r="EU112" s="234"/>
      <c r="EV112" s="234"/>
      <c r="EW112" s="234"/>
      <c r="EX112" s="234"/>
      <c r="EY112" s="234"/>
      <c r="EZ112" s="234"/>
      <c r="FA112" s="234"/>
      <c r="FB112" s="234"/>
      <c r="FC112" s="234"/>
      <c r="FD112" s="234"/>
      <c r="FE112" s="234"/>
      <c r="FF112" s="234"/>
      <c r="FG112" s="234"/>
      <c r="FH112" s="234"/>
      <c r="FI112" s="234"/>
      <c r="FJ112" s="234"/>
      <c r="FK112" s="234"/>
      <c r="FL112" s="234"/>
      <c r="FM112" s="234"/>
      <c r="FN112" s="234"/>
      <c r="FO112" s="234"/>
      <c r="FP112" s="234"/>
      <c r="FQ112" s="234"/>
      <c r="FR112" s="234"/>
      <c r="FS112" s="234"/>
      <c r="FT112" s="234"/>
      <c r="FU112" s="234"/>
      <c r="FV112" s="234"/>
      <c r="FW112" s="234"/>
      <c r="FX112" s="234"/>
      <c r="FY112" s="234"/>
      <c r="FZ112" s="234"/>
      <c r="GA112" s="234"/>
      <c r="GB112" s="234"/>
      <c r="GC112" s="234"/>
      <c r="GD112" s="234"/>
      <c r="GE112" s="234"/>
      <c r="GF112" s="234"/>
      <c r="GG112" s="234"/>
      <c r="GH112" s="234"/>
      <c r="GI112" s="234"/>
      <c r="GJ112" s="234"/>
      <c r="GK112" s="234"/>
      <c r="GL112" s="234"/>
      <c r="GM112" s="234"/>
      <c r="GN112" s="234"/>
      <c r="GO112" s="234"/>
      <c r="GP112" s="234"/>
      <c r="GQ112" s="234"/>
      <c r="GR112" s="234"/>
      <c r="GS112" s="234"/>
      <c r="GT112" s="234"/>
      <c r="GU112" s="234"/>
      <c r="GV112" s="234"/>
      <c r="GW112" s="234"/>
      <c r="GX112" s="234"/>
      <c r="GY112" s="234"/>
      <c r="GZ112" s="234"/>
      <c r="HA112" s="234"/>
      <c r="HB112" s="234"/>
      <c r="HC112" s="234"/>
      <c r="HD112" s="234"/>
      <c r="HE112" s="234"/>
      <c r="HF112" s="234"/>
      <c r="HG112" s="234"/>
      <c r="HH112" s="234"/>
      <c r="HI112" s="234"/>
      <c r="HJ112" s="234"/>
      <c r="HK112" s="234"/>
      <c r="HL112" s="234"/>
      <c r="HM112" s="234"/>
      <c r="HN112" s="234"/>
      <c r="HO112" s="234"/>
      <c r="HP112" s="234"/>
      <c r="HQ112" s="234"/>
      <c r="HR112" s="234"/>
      <c r="HS112" s="234"/>
      <c r="HT112" s="234"/>
      <c r="HU112" s="234"/>
      <c r="HV112" s="234"/>
      <c r="HW112" s="234"/>
      <c r="HX112" s="234"/>
      <c r="HY112" s="234"/>
      <c r="HZ112" s="234"/>
      <c r="IA112" s="234"/>
      <c r="IB112" s="234"/>
      <c r="IC112" s="234"/>
      <c r="ID112" s="234"/>
      <c r="IE112" s="234"/>
      <c r="IF112" s="234"/>
      <c r="IG112" s="234"/>
      <c r="IH112" s="234"/>
      <c r="II112" s="234"/>
      <c r="IJ112" s="234"/>
      <c r="IK112" s="234"/>
      <c r="IL112" s="234"/>
      <c r="IM112" s="234"/>
      <c r="IN112" s="234"/>
      <c r="IO112" s="234"/>
      <c r="IP112" s="234"/>
      <c r="IQ112" s="234"/>
      <c r="IR112" s="234"/>
      <c r="IS112" s="234"/>
      <c r="IT112" s="234"/>
      <c r="IU112" s="234"/>
      <c r="IV112" s="234"/>
    </row>
    <row r="113" spans="1:256" ht="45">
      <c r="A113" s="243" t="s">
        <v>1325</v>
      </c>
      <c r="B113" s="201" t="s">
        <v>1317</v>
      </c>
      <c r="C113" s="257">
        <v>2653549</v>
      </c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  <c r="CM113" s="234"/>
      <c r="CN113" s="234"/>
      <c r="CO113" s="234"/>
      <c r="CP113" s="234"/>
      <c r="CQ113" s="234"/>
      <c r="CR113" s="234"/>
      <c r="CS113" s="234"/>
      <c r="CT113" s="234"/>
      <c r="CU113" s="234"/>
      <c r="CV113" s="234"/>
      <c r="CW113" s="234"/>
      <c r="CX113" s="234"/>
      <c r="CY113" s="234"/>
      <c r="CZ113" s="234"/>
      <c r="DA113" s="234"/>
      <c r="DB113" s="234"/>
      <c r="DC113" s="234"/>
      <c r="DD113" s="234"/>
      <c r="DE113" s="234"/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  <c r="IM113" s="234"/>
      <c r="IN113" s="234"/>
      <c r="IO113" s="234"/>
      <c r="IP113" s="234"/>
      <c r="IQ113" s="234"/>
      <c r="IR113" s="234"/>
      <c r="IS113" s="234"/>
      <c r="IT113" s="234"/>
      <c r="IU113" s="234"/>
      <c r="IV113" s="234"/>
    </row>
    <row r="114" spans="1:256" ht="63">
      <c r="A114" s="242" t="s">
        <v>979</v>
      </c>
      <c r="B114" s="199" t="s">
        <v>980</v>
      </c>
      <c r="C114" s="256">
        <f>C115</f>
        <v>577255000</v>
      </c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  <c r="CM114" s="234"/>
      <c r="CN114" s="234"/>
      <c r="CO114" s="234"/>
      <c r="CP114" s="234"/>
      <c r="CQ114" s="234"/>
      <c r="CR114" s="234"/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4"/>
      <c r="DU114" s="234"/>
      <c r="DV114" s="234"/>
      <c r="DW114" s="234"/>
      <c r="DX114" s="234"/>
      <c r="DY114" s="234"/>
      <c r="DZ114" s="234"/>
      <c r="EA114" s="234"/>
      <c r="EB114" s="234"/>
      <c r="EC114" s="234"/>
      <c r="ED114" s="234"/>
      <c r="EE114" s="234"/>
      <c r="EF114" s="234"/>
      <c r="EG114" s="234"/>
      <c r="EH114" s="234"/>
      <c r="EI114" s="234"/>
      <c r="EJ114" s="234"/>
      <c r="EK114" s="234"/>
      <c r="EL114" s="234"/>
      <c r="EM114" s="234"/>
      <c r="EN114" s="234"/>
      <c r="EO114" s="234"/>
      <c r="EP114" s="234"/>
      <c r="EQ114" s="234"/>
      <c r="ER114" s="234"/>
      <c r="ES114" s="234"/>
      <c r="ET114" s="234"/>
      <c r="EU114" s="234"/>
      <c r="EV114" s="234"/>
      <c r="EW114" s="234"/>
      <c r="EX114" s="234"/>
      <c r="EY114" s="234"/>
      <c r="EZ114" s="234"/>
      <c r="FA114" s="234"/>
      <c r="FB114" s="234"/>
      <c r="FC114" s="234"/>
      <c r="FD114" s="234"/>
      <c r="FE114" s="234"/>
      <c r="FF114" s="234"/>
      <c r="FG114" s="234"/>
      <c r="FH114" s="234"/>
      <c r="FI114" s="234"/>
      <c r="FJ114" s="234"/>
      <c r="FK114" s="234"/>
      <c r="FL114" s="234"/>
      <c r="FM114" s="234"/>
      <c r="FN114" s="234"/>
      <c r="FO114" s="234"/>
      <c r="FP114" s="234"/>
      <c r="FQ114" s="234"/>
      <c r="FR114" s="234"/>
      <c r="FS114" s="234"/>
      <c r="FT114" s="234"/>
      <c r="FU114" s="234"/>
      <c r="FV114" s="234"/>
      <c r="FW114" s="234"/>
      <c r="FX114" s="234"/>
      <c r="FY114" s="234"/>
      <c r="FZ114" s="234"/>
      <c r="GA114" s="234"/>
      <c r="GB114" s="234"/>
      <c r="GC114" s="234"/>
      <c r="GD114" s="234"/>
      <c r="GE114" s="234"/>
      <c r="GF114" s="234"/>
      <c r="GG114" s="234"/>
      <c r="GH114" s="234"/>
      <c r="GI114" s="234"/>
      <c r="GJ114" s="234"/>
      <c r="GK114" s="234"/>
      <c r="GL114" s="234"/>
      <c r="GM114" s="234"/>
      <c r="GN114" s="234"/>
      <c r="GO114" s="234"/>
      <c r="GP114" s="234"/>
      <c r="GQ114" s="234"/>
      <c r="GR114" s="234"/>
      <c r="GS114" s="234"/>
      <c r="GT114" s="234"/>
      <c r="GU114" s="234"/>
      <c r="GV114" s="234"/>
      <c r="GW114" s="234"/>
      <c r="GX114" s="234"/>
      <c r="GY114" s="234"/>
      <c r="GZ114" s="234"/>
      <c r="HA114" s="234"/>
      <c r="HB114" s="234"/>
      <c r="HC114" s="234"/>
      <c r="HD114" s="234"/>
      <c r="HE114" s="234"/>
      <c r="HF114" s="234"/>
      <c r="HG114" s="234"/>
      <c r="HH114" s="234"/>
      <c r="HI114" s="234"/>
      <c r="HJ114" s="234"/>
      <c r="HK114" s="234"/>
      <c r="HL114" s="234"/>
      <c r="HM114" s="234"/>
      <c r="HN114" s="234"/>
      <c r="HO114" s="234"/>
      <c r="HP114" s="234"/>
      <c r="HQ114" s="234"/>
      <c r="HR114" s="234"/>
      <c r="HS114" s="234"/>
      <c r="HT114" s="234"/>
      <c r="HU114" s="234"/>
      <c r="HV114" s="234"/>
      <c r="HW114" s="234"/>
      <c r="HX114" s="234"/>
      <c r="HY114" s="234"/>
      <c r="HZ114" s="234"/>
      <c r="IA114" s="234"/>
      <c r="IB114" s="234"/>
      <c r="IC114" s="234"/>
      <c r="ID114" s="234"/>
      <c r="IE114" s="234"/>
      <c r="IF114" s="234"/>
      <c r="IG114" s="234"/>
      <c r="IH114" s="234"/>
      <c r="II114" s="234"/>
      <c r="IJ114" s="234"/>
      <c r="IK114" s="234"/>
      <c r="IL114" s="234"/>
      <c r="IM114" s="234"/>
      <c r="IN114" s="234"/>
      <c r="IO114" s="234"/>
      <c r="IP114" s="234"/>
      <c r="IQ114" s="234"/>
      <c r="IR114" s="234"/>
      <c r="IS114" s="234"/>
      <c r="IT114" s="234"/>
      <c r="IU114" s="234"/>
      <c r="IV114" s="234"/>
    </row>
    <row r="115" spans="1:256" ht="60">
      <c r="A115" s="243" t="s">
        <v>981</v>
      </c>
      <c r="B115" s="201" t="s">
        <v>756</v>
      </c>
      <c r="C115" s="257">
        <v>577255000</v>
      </c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  <c r="CM115" s="234"/>
      <c r="CN115" s="234"/>
      <c r="CO115" s="234"/>
      <c r="CP115" s="234"/>
      <c r="CQ115" s="234"/>
      <c r="CR115" s="234"/>
      <c r="CS115" s="234"/>
      <c r="CT115" s="234"/>
      <c r="CU115" s="234"/>
      <c r="CV115" s="234"/>
      <c r="CW115" s="234"/>
      <c r="CX115" s="234"/>
      <c r="CY115" s="234"/>
      <c r="CZ115" s="234"/>
      <c r="DA115" s="234"/>
      <c r="DB115" s="234"/>
      <c r="DC115" s="234"/>
      <c r="DD115" s="234"/>
      <c r="DE115" s="234"/>
      <c r="DF115" s="234"/>
      <c r="DG115" s="234"/>
      <c r="DH115" s="234"/>
      <c r="DI115" s="234"/>
      <c r="DJ115" s="234"/>
      <c r="DK115" s="234"/>
      <c r="DL115" s="234"/>
      <c r="DM115" s="234"/>
      <c r="DN115" s="234"/>
      <c r="DO115" s="234"/>
      <c r="DP115" s="234"/>
      <c r="DQ115" s="234"/>
      <c r="DR115" s="234"/>
      <c r="DS115" s="234"/>
      <c r="DT115" s="234"/>
      <c r="DU115" s="234"/>
      <c r="DV115" s="234"/>
      <c r="DW115" s="234"/>
      <c r="DX115" s="234"/>
      <c r="DY115" s="234"/>
      <c r="DZ115" s="234"/>
      <c r="EA115" s="234"/>
      <c r="EB115" s="234"/>
      <c r="EC115" s="234"/>
      <c r="ED115" s="234"/>
      <c r="EE115" s="234"/>
      <c r="EF115" s="234"/>
      <c r="EG115" s="234"/>
      <c r="EH115" s="234"/>
      <c r="EI115" s="234"/>
      <c r="EJ115" s="234"/>
      <c r="EK115" s="234"/>
      <c r="EL115" s="234"/>
      <c r="EM115" s="234"/>
      <c r="EN115" s="234"/>
      <c r="EO115" s="234"/>
      <c r="EP115" s="234"/>
      <c r="EQ115" s="234"/>
      <c r="ER115" s="234"/>
      <c r="ES115" s="234"/>
      <c r="ET115" s="234"/>
      <c r="EU115" s="234"/>
      <c r="EV115" s="234"/>
      <c r="EW115" s="234"/>
      <c r="EX115" s="234"/>
      <c r="EY115" s="234"/>
      <c r="EZ115" s="234"/>
      <c r="FA115" s="234"/>
      <c r="FB115" s="234"/>
      <c r="FC115" s="234"/>
      <c r="FD115" s="234"/>
      <c r="FE115" s="234"/>
      <c r="FF115" s="234"/>
      <c r="FG115" s="234"/>
      <c r="FH115" s="234"/>
      <c r="FI115" s="234"/>
      <c r="FJ115" s="234"/>
      <c r="FK115" s="234"/>
      <c r="FL115" s="234"/>
      <c r="FM115" s="234"/>
      <c r="FN115" s="234"/>
      <c r="FO115" s="234"/>
      <c r="FP115" s="234"/>
      <c r="FQ115" s="234"/>
      <c r="FR115" s="234"/>
      <c r="FS115" s="234"/>
      <c r="FT115" s="234"/>
      <c r="FU115" s="234"/>
      <c r="FV115" s="234"/>
      <c r="FW115" s="234"/>
      <c r="FX115" s="234"/>
      <c r="FY115" s="234"/>
      <c r="FZ115" s="234"/>
      <c r="GA115" s="234"/>
      <c r="GB115" s="234"/>
      <c r="GC115" s="234"/>
      <c r="GD115" s="234"/>
      <c r="GE115" s="234"/>
      <c r="GF115" s="234"/>
      <c r="GG115" s="234"/>
      <c r="GH115" s="234"/>
      <c r="GI115" s="234"/>
      <c r="GJ115" s="234"/>
      <c r="GK115" s="234"/>
      <c r="GL115" s="234"/>
      <c r="GM115" s="234"/>
      <c r="GN115" s="234"/>
      <c r="GO115" s="234"/>
      <c r="GP115" s="234"/>
      <c r="GQ115" s="234"/>
      <c r="GR115" s="234"/>
      <c r="GS115" s="234"/>
      <c r="GT115" s="234"/>
      <c r="GU115" s="234"/>
      <c r="GV115" s="234"/>
      <c r="GW115" s="234"/>
      <c r="GX115" s="234"/>
      <c r="GY115" s="234"/>
      <c r="GZ115" s="234"/>
      <c r="HA115" s="234"/>
      <c r="HB115" s="234"/>
      <c r="HC115" s="234"/>
      <c r="HD115" s="234"/>
      <c r="HE115" s="234"/>
      <c r="HF115" s="234"/>
      <c r="HG115" s="234"/>
      <c r="HH115" s="234"/>
      <c r="HI115" s="234"/>
      <c r="HJ115" s="234"/>
      <c r="HK115" s="234"/>
      <c r="HL115" s="234"/>
      <c r="HM115" s="234"/>
      <c r="HN115" s="234"/>
      <c r="HO115" s="234"/>
      <c r="HP115" s="234"/>
      <c r="HQ115" s="234"/>
      <c r="HR115" s="234"/>
      <c r="HS115" s="234"/>
      <c r="HT115" s="234"/>
      <c r="HU115" s="234"/>
      <c r="HV115" s="234"/>
      <c r="HW115" s="234"/>
      <c r="HX115" s="234"/>
      <c r="HY115" s="234"/>
      <c r="HZ115" s="234"/>
      <c r="IA115" s="234"/>
      <c r="IB115" s="234"/>
      <c r="IC115" s="234"/>
      <c r="ID115" s="234"/>
      <c r="IE115" s="234"/>
      <c r="IF115" s="234"/>
      <c r="IG115" s="234"/>
      <c r="IH115" s="234"/>
      <c r="II115" s="234"/>
      <c r="IJ115" s="234"/>
      <c r="IK115" s="234"/>
      <c r="IL115" s="234"/>
      <c r="IM115" s="234"/>
      <c r="IN115" s="234"/>
      <c r="IO115" s="234"/>
      <c r="IP115" s="234"/>
      <c r="IQ115" s="234"/>
      <c r="IR115" s="234"/>
      <c r="IS115" s="234"/>
      <c r="IT115" s="234"/>
      <c r="IU115" s="234"/>
      <c r="IV115" s="234"/>
    </row>
    <row r="116" spans="1:256" ht="47.25">
      <c r="A116" s="233" t="s">
        <v>982</v>
      </c>
      <c r="B116" s="198" t="s">
        <v>983</v>
      </c>
      <c r="C116" s="247">
        <f>C123+C117+C119+C121</f>
        <v>82942624.02</v>
      </c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  <c r="CM116" s="234"/>
      <c r="CN116" s="234"/>
      <c r="CO116" s="234"/>
      <c r="CP116" s="234"/>
      <c r="CQ116" s="234"/>
      <c r="CR116" s="234"/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4"/>
      <c r="DU116" s="234"/>
      <c r="DV116" s="234"/>
      <c r="DW116" s="234"/>
      <c r="DX116" s="234"/>
      <c r="DY116" s="234"/>
      <c r="DZ116" s="234"/>
      <c r="EA116" s="234"/>
      <c r="EB116" s="234"/>
      <c r="EC116" s="234"/>
      <c r="ED116" s="234"/>
      <c r="EE116" s="234"/>
      <c r="EF116" s="234"/>
      <c r="EG116" s="234"/>
      <c r="EH116" s="234"/>
      <c r="EI116" s="234"/>
      <c r="EJ116" s="234"/>
      <c r="EK116" s="234"/>
      <c r="EL116" s="234"/>
      <c r="EM116" s="234"/>
      <c r="EN116" s="234"/>
      <c r="EO116" s="234"/>
      <c r="EP116" s="234"/>
      <c r="EQ116" s="234"/>
      <c r="ER116" s="234"/>
      <c r="ES116" s="234"/>
      <c r="ET116" s="234"/>
      <c r="EU116" s="234"/>
      <c r="EV116" s="234"/>
      <c r="EW116" s="234"/>
      <c r="EX116" s="234"/>
      <c r="EY116" s="234"/>
      <c r="EZ116" s="234"/>
      <c r="FA116" s="234"/>
      <c r="FB116" s="234"/>
      <c r="FC116" s="234"/>
      <c r="FD116" s="234"/>
      <c r="FE116" s="234"/>
      <c r="FF116" s="234"/>
      <c r="FG116" s="234"/>
      <c r="FH116" s="234"/>
      <c r="FI116" s="234"/>
      <c r="FJ116" s="234"/>
      <c r="FK116" s="234"/>
      <c r="FL116" s="234"/>
      <c r="FM116" s="234"/>
      <c r="FN116" s="234"/>
      <c r="FO116" s="234"/>
      <c r="FP116" s="234"/>
      <c r="FQ116" s="234"/>
      <c r="FR116" s="234"/>
      <c r="FS116" s="234"/>
      <c r="FT116" s="234"/>
      <c r="FU116" s="234"/>
      <c r="FV116" s="234"/>
      <c r="FW116" s="234"/>
      <c r="FX116" s="234"/>
      <c r="FY116" s="234"/>
      <c r="FZ116" s="234"/>
      <c r="GA116" s="234"/>
      <c r="GB116" s="234"/>
      <c r="GC116" s="234"/>
      <c r="GD116" s="234"/>
      <c r="GE116" s="234"/>
      <c r="GF116" s="234"/>
      <c r="GG116" s="234"/>
      <c r="GH116" s="234"/>
      <c r="GI116" s="234"/>
      <c r="GJ116" s="234"/>
      <c r="GK116" s="234"/>
      <c r="GL116" s="234"/>
      <c r="GM116" s="234"/>
      <c r="GN116" s="234"/>
      <c r="GO116" s="234"/>
      <c r="GP116" s="234"/>
      <c r="GQ116" s="234"/>
      <c r="GR116" s="234"/>
      <c r="GS116" s="234"/>
      <c r="GT116" s="234"/>
      <c r="GU116" s="234"/>
      <c r="GV116" s="234"/>
      <c r="GW116" s="234"/>
      <c r="GX116" s="234"/>
      <c r="GY116" s="234"/>
      <c r="GZ116" s="234"/>
      <c r="HA116" s="234"/>
      <c r="HB116" s="234"/>
      <c r="HC116" s="234"/>
      <c r="HD116" s="234"/>
      <c r="HE116" s="234"/>
      <c r="HF116" s="234"/>
      <c r="HG116" s="234"/>
      <c r="HH116" s="234"/>
      <c r="HI116" s="234"/>
      <c r="HJ116" s="234"/>
      <c r="HK116" s="234"/>
      <c r="HL116" s="234"/>
      <c r="HM116" s="234"/>
      <c r="HN116" s="234"/>
      <c r="HO116" s="234"/>
      <c r="HP116" s="234"/>
      <c r="HQ116" s="234"/>
      <c r="HR116" s="234"/>
      <c r="HS116" s="234"/>
      <c r="HT116" s="234"/>
      <c r="HU116" s="234"/>
      <c r="HV116" s="234"/>
      <c r="HW116" s="234"/>
      <c r="HX116" s="234"/>
      <c r="HY116" s="234"/>
      <c r="HZ116" s="234"/>
      <c r="IA116" s="234"/>
      <c r="IB116" s="234"/>
      <c r="IC116" s="234"/>
      <c r="ID116" s="234"/>
      <c r="IE116" s="234"/>
      <c r="IF116" s="234"/>
      <c r="IG116" s="234"/>
      <c r="IH116" s="234"/>
      <c r="II116" s="234"/>
      <c r="IJ116" s="234"/>
      <c r="IK116" s="234"/>
      <c r="IL116" s="234"/>
      <c r="IM116" s="234"/>
      <c r="IN116" s="234"/>
      <c r="IO116" s="234"/>
      <c r="IP116" s="234"/>
      <c r="IQ116" s="234"/>
      <c r="IR116" s="234"/>
      <c r="IS116" s="234"/>
      <c r="IT116" s="234"/>
      <c r="IU116" s="234"/>
      <c r="IV116" s="234"/>
    </row>
    <row r="117" spans="1:256" ht="102" customHeight="1">
      <c r="A117" s="244" t="s">
        <v>1283</v>
      </c>
      <c r="B117" s="228" t="s">
        <v>1284</v>
      </c>
      <c r="C117" s="258">
        <f>C118</f>
        <v>20366038.32</v>
      </c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  <c r="FF117" s="234"/>
      <c r="FG117" s="234"/>
      <c r="FH117" s="234"/>
      <c r="FI117" s="234"/>
      <c r="FJ117" s="234"/>
      <c r="FK117" s="234"/>
      <c r="FL117" s="234"/>
      <c r="FM117" s="234"/>
      <c r="FN117" s="234"/>
      <c r="FO117" s="234"/>
      <c r="FP117" s="234"/>
      <c r="FQ117" s="234"/>
      <c r="FR117" s="234"/>
      <c r="FS117" s="234"/>
      <c r="FT117" s="234"/>
      <c r="FU117" s="234"/>
      <c r="FV117" s="234"/>
      <c r="FW117" s="234"/>
      <c r="FX117" s="234"/>
      <c r="FY117" s="234"/>
      <c r="FZ117" s="234"/>
      <c r="GA117" s="234"/>
      <c r="GB117" s="234"/>
      <c r="GC117" s="234"/>
      <c r="GD117" s="234"/>
      <c r="GE117" s="234"/>
      <c r="GF117" s="234"/>
      <c r="GG117" s="234"/>
      <c r="GH117" s="234"/>
      <c r="GI117" s="234"/>
      <c r="GJ117" s="234"/>
      <c r="GK117" s="234"/>
      <c r="GL117" s="234"/>
      <c r="GM117" s="234"/>
      <c r="GN117" s="234"/>
      <c r="GO117" s="234"/>
      <c r="GP117" s="234"/>
      <c r="GQ117" s="234"/>
      <c r="GR117" s="234"/>
      <c r="GS117" s="234"/>
      <c r="GT117" s="234"/>
      <c r="GU117" s="234"/>
      <c r="GV117" s="234"/>
      <c r="GW117" s="234"/>
      <c r="GX117" s="234"/>
      <c r="GY117" s="234"/>
      <c r="GZ117" s="234"/>
      <c r="HA117" s="234"/>
      <c r="HB117" s="234"/>
      <c r="HC117" s="234"/>
      <c r="HD117" s="234"/>
      <c r="HE117" s="234"/>
      <c r="HF117" s="234"/>
      <c r="HG117" s="234"/>
      <c r="HH117" s="234"/>
      <c r="HI117" s="234"/>
      <c r="HJ117" s="234"/>
      <c r="HK117" s="234"/>
      <c r="HL117" s="234"/>
      <c r="HM117" s="234"/>
      <c r="HN117" s="234"/>
      <c r="HO117" s="234"/>
      <c r="HP117" s="234"/>
      <c r="HQ117" s="234"/>
      <c r="HR117" s="234"/>
      <c r="HS117" s="234"/>
      <c r="HT117" s="234"/>
      <c r="HU117" s="234"/>
      <c r="HV117" s="234"/>
      <c r="HW117" s="234"/>
      <c r="HX117" s="234"/>
      <c r="HY117" s="234"/>
      <c r="HZ117" s="234"/>
      <c r="IA117" s="234"/>
      <c r="IB117" s="234"/>
      <c r="IC117" s="234"/>
      <c r="ID117" s="234"/>
      <c r="IE117" s="234"/>
      <c r="IF117" s="234"/>
      <c r="IG117" s="234"/>
      <c r="IH117" s="234"/>
      <c r="II117" s="234"/>
      <c r="IJ117" s="234"/>
      <c r="IK117" s="234"/>
      <c r="IL117" s="234"/>
      <c r="IM117" s="234"/>
      <c r="IN117" s="234"/>
      <c r="IO117" s="234"/>
      <c r="IP117" s="234"/>
      <c r="IQ117" s="234"/>
      <c r="IR117" s="234"/>
      <c r="IS117" s="234"/>
      <c r="IT117" s="234"/>
      <c r="IU117" s="234"/>
      <c r="IV117" s="234"/>
    </row>
    <row r="118" spans="1:256" ht="92.25" customHeight="1">
      <c r="A118" s="239" t="s">
        <v>1277</v>
      </c>
      <c r="B118" s="229" t="s">
        <v>1285</v>
      </c>
      <c r="C118" s="253">
        <v>20366038.32</v>
      </c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234"/>
      <c r="DR118" s="234"/>
      <c r="DS118" s="234"/>
      <c r="DT118" s="234"/>
      <c r="DU118" s="234"/>
      <c r="DV118" s="234"/>
      <c r="DW118" s="234"/>
      <c r="DX118" s="234"/>
      <c r="DY118" s="234"/>
      <c r="DZ118" s="234"/>
      <c r="EA118" s="234"/>
      <c r="EB118" s="234"/>
      <c r="EC118" s="234"/>
      <c r="ED118" s="234"/>
      <c r="EE118" s="234"/>
      <c r="EF118" s="234"/>
      <c r="EG118" s="234"/>
      <c r="EH118" s="234"/>
      <c r="EI118" s="234"/>
      <c r="EJ118" s="234"/>
      <c r="EK118" s="234"/>
      <c r="EL118" s="234"/>
      <c r="EM118" s="234"/>
      <c r="EN118" s="234"/>
      <c r="EO118" s="234"/>
      <c r="EP118" s="234"/>
      <c r="EQ118" s="234"/>
      <c r="ER118" s="234"/>
      <c r="ES118" s="234"/>
      <c r="ET118" s="234"/>
      <c r="EU118" s="234"/>
      <c r="EV118" s="234"/>
      <c r="EW118" s="234"/>
      <c r="EX118" s="234"/>
      <c r="EY118" s="234"/>
      <c r="EZ118" s="234"/>
      <c r="FA118" s="234"/>
      <c r="FB118" s="234"/>
      <c r="FC118" s="234"/>
      <c r="FD118" s="234"/>
      <c r="FE118" s="234"/>
      <c r="FF118" s="234"/>
      <c r="FG118" s="234"/>
      <c r="FH118" s="234"/>
      <c r="FI118" s="234"/>
      <c r="FJ118" s="234"/>
      <c r="FK118" s="234"/>
      <c r="FL118" s="234"/>
      <c r="FM118" s="234"/>
      <c r="FN118" s="234"/>
      <c r="FO118" s="234"/>
      <c r="FP118" s="234"/>
      <c r="FQ118" s="234"/>
      <c r="FR118" s="234"/>
      <c r="FS118" s="234"/>
      <c r="FT118" s="234"/>
      <c r="FU118" s="234"/>
      <c r="FV118" s="234"/>
      <c r="FW118" s="234"/>
      <c r="FX118" s="234"/>
      <c r="FY118" s="234"/>
      <c r="FZ118" s="234"/>
      <c r="GA118" s="234"/>
      <c r="GB118" s="234"/>
      <c r="GC118" s="234"/>
      <c r="GD118" s="234"/>
      <c r="GE118" s="234"/>
      <c r="GF118" s="234"/>
      <c r="GG118" s="234"/>
      <c r="GH118" s="234"/>
      <c r="GI118" s="234"/>
      <c r="GJ118" s="234"/>
      <c r="GK118" s="234"/>
      <c r="GL118" s="234"/>
      <c r="GM118" s="234"/>
      <c r="GN118" s="234"/>
      <c r="GO118" s="234"/>
      <c r="GP118" s="234"/>
      <c r="GQ118" s="234"/>
      <c r="GR118" s="234"/>
      <c r="GS118" s="234"/>
      <c r="GT118" s="234"/>
      <c r="GU118" s="234"/>
      <c r="GV118" s="234"/>
      <c r="GW118" s="234"/>
      <c r="GX118" s="234"/>
      <c r="GY118" s="234"/>
      <c r="GZ118" s="234"/>
      <c r="HA118" s="234"/>
      <c r="HB118" s="234"/>
      <c r="HC118" s="234"/>
      <c r="HD118" s="234"/>
      <c r="HE118" s="234"/>
      <c r="HF118" s="234"/>
      <c r="HG118" s="234"/>
      <c r="HH118" s="234"/>
      <c r="HI118" s="234"/>
      <c r="HJ118" s="234"/>
      <c r="HK118" s="234"/>
      <c r="HL118" s="234"/>
      <c r="HM118" s="234"/>
      <c r="HN118" s="234"/>
      <c r="HO118" s="234"/>
      <c r="HP118" s="234"/>
      <c r="HQ118" s="234"/>
      <c r="HR118" s="234"/>
      <c r="HS118" s="234"/>
      <c r="HT118" s="234"/>
      <c r="HU118" s="234"/>
      <c r="HV118" s="234"/>
      <c r="HW118" s="234"/>
      <c r="HX118" s="234"/>
      <c r="HY118" s="234"/>
      <c r="HZ118" s="234"/>
      <c r="IA118" s="234"/>
      <c r="IB118" s="234"/>
      <c r="IC118" s="234"/>
      <c r="ID118" s="234"/>
      <c r="IE118" s="234"/>
      <c r="IF118" s="234"/>
      <c r="IG118" s="234"/>
      <c r="IH118" s="234"/>
      <c r="II118" s="234"/>
      <c r="IJ118" s="234"/>
      <c r="IK118" s="234"/>
      <c r="IL118" s="234"/>
      <c r="IM118" s="234"/>
      <c r="IN118" s="234"/>
      <c r="IO118" s="234"/>
      <c r="IP118" s="234"/>
      <c r="IQ118" s="234"/>
      <c r="IR118" s="234"/>
      <c r="IS118" s="234"/>
      <c r="IT118" s="234"/>
      <c r="IU118" s="234"/>
      <c r="IV118" s="234"/>
    </row>
    <row r="119" spans="1:256" ht="39" customHeight="1">
      <c r="A119" s="244" t="s">
        <v>1286</v>
      </c>
      <c r="B119" s="230" t="s">
        <v>1287</v>
      </c>
      <c r="C119" s="258">
        <f>C120</f>
        <v>84010.51000000001</v>
      </c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DI119" s="234"/>
      <c r="DJ119" s="234"/>
      <c r="DK119" s="234"/>
      <c r="DL119" s="234"/>
      <c r="DM119" s="234"/>
      <c r="DN119" s="234"/>
      <c r="DO119" s="234"/>
      <c r="DP119" s="234"/>
      <c r="DQ119" s="234"/>
      <c r="DR119" s="234"/>
      <c r="DS119" s="234"/>
      <c r="DT119" s="234"/>
      <c r="DU119" s="234"/>
      <c r="DV119" s="234"/>
      <c r="DW119" s="234"/>
      <c r="DX119" s="234"/>
      <c r="DY119" s="234"/>
      <c r="DZ119" s="234"/>
      <c r="EA119" s="234"/>
      <c r="EB119" s="234"/>
      <c r="EC119" s="234"/>
      <c r="ED119" s="234"/>
      <c r="EE119" s="234"/>
      <c r="EF119" s="234"/>
      <c r="EG119" s="234"/>
      <c r="EH119" s="234"/>
      <c r="EI119" s="234"/>
      <c r="EJ119" s="234"/>
      <c r="EK119" s="234"/>
      <c r="EL119" s="234"/>
      <c r="EM119" s="234"/>
      <c r="EN119" s="234"/>
      <c r="EO119" s="234"/>
      <c r="EP119" s="234"/>
      <c r="EQ119" s="234"/>
      <c r="ER119" s="234"/>
      <c r="ES119" s="234"/>
      <c r="ET119" s="234"/>
      <c r="EU119" s="234"/>
      <c r="EV119" s="234"/>
      <c r="EW119" s="234"/>
      <c r="EX119" s="234"/>
      <c r="EY119" s="234"/>
      <c r="EZ119" s="234"/>
      <c r="FA119" s="234"/>
      <c r="FB119" s="234"/>
      <c r="FC119" s="234"/>
      <c r="FD119" s="234"/>
      <c r="FE119" s="234"/>
      <c r="FF119" s="234"/>
      <c r="FG119" s="234"/>
      <c r="FH119" s="234"/>
      <c r="FI119" s="234"/>
      <c r="FJ119" s="234"/>
      <c r="FK119" s="234"/>
      <c r="FL119" s="234"/>
      <c r="FM119" s="234"/>
      <c r="FN119" s="234"/>
      <c r="FO119" s="234"/>
      <c r="FP119" s="234"/>
      <c r="FQ119" s="234"/>
      <c r="FR119" s="234"/>
      <c r="FS119" s="234"/>
      <c r="FT119" s="234"/>
      <c r="FU119" s="234"/>
      <c r="FV119" s="234"/>
      <c r="FW119" s="234"/>
      <c r="FX119" s="234"/>
      <c r="FY119" s="234"/>
      <c r="FZ119" s="234"/>
      <c r="GA119" s="234"/>
      <c r="GB119" s="234"/>
      <c r="GC119" s="234"/>
      <c r="GD119" s="234"/>
      <c r="GE119" s="234"/>
      <c r="GF119" s="234"/>
      <c r="GG119" s="234"/>
      <c r="GH119" s="234"/>
      <c r="GI119" s="234"/>
      <c r="GJ119" s="234"/>
      <c r="GK119" s="234"/>
      <c r="GL119" s="234"/>
      <c r="GM119" s="234"/>
      <c r="GN119" s="234"/>
      <c r="GO119" s="234"/>
      <c r="GP119" s="234"/>
      <c r="GQ119" s="234"/>
      <c r="GR119" s="234"/>
      <c r="GS119" s="234"/>
      <c r="GT119" s="234"/>
      <c r="GU119" s="234"/>
      <c r="GV119" s="234"/>
      <c r="GW119" s="234"/>
      <c r="GX119" s="234"/>
      <c r="GY119" s="234"/>
      <c r="GZ119" s="234"/>
      <c r="HA119" s="234"/>
      <c r="HB119" s="234"/>
      <c r="HC119" s="234"/>
      <c r="HD119" s="234"/>
      <c r="HE119" s="234"/>
      <c r="HF119" s="234"/>
      <c r="HG119" s="234"/>
      <c r="HH119" s="234"/>
      <c r="HI119" s="234"/>
      <c r="HJ119" s="234"/>
      <c r="HK119" s="234"/>
      <c r="HL119" s="234"/>
      <c r="HM119" s="234"/>
      <c r="HN119" s="234"/>
      <c r="HO119" s="234"/>
      <c r="HP119" s="234"/>
      <c r="HQ119" s="234"/>
      <c r="HR119" s="234"/>
      <c r="HS119" s="234"/>
      <c r="HT119" s="234"/>
      <c r="HU119" s="234"/>
      <c r="HV119" s="234"/>
      <c r="HW119" s="234"/>
      <c r="HX119" s="234"/>
      <c r="HY119" s="234"/>
      <c r="HZ119" s="234"/>
      <c r="IA119" s="234"/>
      <c r="IB119" s="234"/>
      <c r="IC119" s="234"/>
      <c r="ID119" s="234"/>
      <c r="IE119" s="234"/>
      <c r="IF119" s="234"/>
      <c r="IG119" s="234"/>
      <c r="IH119" s="234"/>
      <c r="II119" s="234"/>
      <c r="IJ119" s="234"/>
      <c r="IK119" s="234"/>
      <c r="IL119" s="234"/>
      <c r="IM119" s="234"/>
      <c r="IN119" s="234"/>
      <c r="IO119" s="234"/>
      <c r="IP119" s="234"/>
      <c r="IQ119" s="234"/>
      <c r="IR119" s="234"/>
      <c r="IS119" s="234"/>
      <c r="IT119" s="234"/>
      <c r="IU119" s="234"/>
      <c r="IV119" s="234"/>
    </row>
    <row r="120" spans="1:256" ht="39.75" customHeight="1">
      <c r="A120" s="239" t="s">
        <v>1281</v>
      </c>
      <c r="B120" s="231" t="s">
        <v>1282</v>
      </c>
      <c r="C120" s="253">
        <f>34010.51+50000</f>
        <v>84010.51000000001</v>
      </c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34"/>
      <c r="DB120" s="234"/>
      <c r="DC120" s="234"/>
      <c r="DD120" s="234"/>
      <c r="DE120" s="234"/>
      <c r="DF120" s="234"/>
      <c r="DG120" s="234"/>
      <c r="DH120" s="234"/>
      <c r="DI120" s="234"/>
      <c r="DJ120" s="234"/>
      <c r="DK120" s="234"/>
      <c r="DL120" s="234"/>
      <c r="DM120" s="234"/>
      <c r="DN120" s="234"/>
      <c r="DO120" s="234"/>
      <c r="DP120" s="234"/>
      <c r="DQ120" s="234"/>
      <c r="DR120" s="234"/>
      <c r="DS120" s="234"/>
      <c r="DT120" s="234"/>
      <c r="DU120" s="234"/>
      <c r="DV120" s="234"/>
      <c r="DW120" s="234"/>
      <c r="DX120" s="234"/>
      <c r="DY120" s="234"/>
      <c r="DZ120" s="234"/>
      <c r="EA120" s="234"/>
      <c r="EB120" s="234"/>
      <c r="EC120" s="234"/>
      <c r="ED120" s="234"/>
      <c r="EE120" s="234"/>
      <c r="EF120" s="234"/>
      <c r="EG120" s="234"/>
      <c r="EH120" s="234"/>
      <c r="EI120" s="234"/>
      <c r="EJ120" s="234"/>
      <c r="EK120" s="234"/>
      <c r="EL120" s="234"/>
      <c r="EM120" s="234"/>
      <c r="EN120" s="234"/>
      <c r="EO120" s="234"/>
      <c r="EP120" s="234"/>
      <c r="EQ120" s="234"/>
      <c r="ER120" s="234"/>
      <c r="ES120" s="234"/>
      <c r="ET120" s="234"/>
      <c r="EU120" s="234"/>
      <c r="EV120" s="234"/>
      <c r="EW120" s="234"/>
      <c r="EX120" s="234"/>
      <c r="EY120" s="234"/>
      <c r="EZ120" s="234"/>
      <c r="FA120" s="234"/>
      <c r="FB120" s="234"/>
      <c r="FC120" s="234"/>
      <c r="FD120" s="234"/>
      <c r="FE120" s="234"/>
      <c r="FF120" s="234"/>
      <c r="FG120" s="234"/>
      <c r="FH120" s="234"/>
      <c r="FI120" s="234"/>
      <c r="FJ120" s="234"/>
      <c r="FK120" s="234"/>
      <c r="FL120" s="234"/>
      <c r="FM120" s="234"/>
      <c r="FN120" s="234"/>
      <c r="FO120" s="234"/>
      <c r="FP120" s="234"/>
      <c r="FQ120" s="234"/>
      <c r="FR120" s="234"/>
      <c r="FS120" s="234"/>
      <c r="FT120" s="234"/>
      <c r="FU120" s="234"/>
      <c r="FV120" s="234"/>
      <c r="FW120" s="234"/>
      <c r="FX120" s="234"/>
      <c r="FY120" s="234"/>
      <c r="FZ120" s="234"/>
      <c r="GA120" s="234"/>
      <c r="GB120" s="234"/>
      <c r="GC120" s="234"/>
      <c r="GD120" s="234"/>
      <c r="GE120" s="234"/>
      <c r="GF120" s="234"/>
      <c r="GG120" s="234"/>
      <c r="GH120" s="234"/>
      <c r="GI120" s="234"/>
      <c r="GJ120" s="234"/>
      <c r="GK120" s="234"/>
      <c r="GL120" s="234"/>
      <c r="GM120" s="234"/>
      <c r="GN120" s="234"/>
      <c r="GO120" s="234"/>
      <c r="GP120" s="234"/>
      <c r="GQ120" s="234"/>
      <c r="GR120" s="234"/>
      <c r="GS120" s="234"/>
      <c r="GT120" s="234"/>
      <c r="GU120" s="234"/>
      <c r="GV120" s="234"/>
      <c r="GW120" s="234"/>
      <c r="GX120" s="234"/>
      <c r="GY120" s="234"/>
      <c r="GZ120" s="234"/>
      <c r="HA120" s="234"/>
      <c r="HB120" s="234"/>
      <c r="HC120" s="234"/>
      <c r="HD120" s="234"/>
      <c r="HE120" s="234"/>
      <c r="HF120" s="234"/>
      <c r="HG120" s="234"/>
      <c r="HH120" s="234"/>
      <c r="HI120" s="234"/>
      <c r="HJ120" s="234"/>
      <c r="HK120" s="234"/>
      <c r="HL120" s="234"/>
      <c r="HM120" s="234"/>
      <c r="HN120" s="234"/>
      <c r="HO120" s="234"/>
      <c r="HP120" s="234"/>
      <c r="HQ120" s="234"/>
      <c r="HR120" s="234"/>
      <c r="HS120" s="234"/>
      <c r="HT120" s="234"/>
      <c r="HU120" s="234"/>
      <c r="HV120" s="234"/>
      <c r="HW120" s="234"/>
      <c r="HX120" s="234"/>
      <c r="HY120" s="234"/>
      <c r="HZ120" s="234"/>
      <c r="IA120" s="234"/>
      <c r="IB120" s="234"/>
      <c r="IC120" s="234"/>
      <c r="ID120" s="234"/>
      <c r="IE120" s="234"/>
      <c r="IF120" s="234"/>
      <c r="IG120" s="234"/>
      <c r="IH120" s="234"/>
      <c r="II120" s="234"/>
      <c r="IJ120" s="234"/>
      <c r="IK120" s="234"/>
      <c r="IL120" s="234"/>
      <c r="IM120" s="234"/>
      <c r="IN120" s="234"/>
      <c r="IO120" s="234"/>
      <c r="IP120" s="234"/>
      <c r="IQ120" s="234"/>
      <c r="IR120" s="234"/>
      <c r="IS120" s="234"/>
      <c r="IT120" s="234"/>
      <c r="IU120" s="234"/>
      <c r="IV120" s="234"/>
    </row>
    <row r="121" spans="1:256" ht="87" customHeight="1">
      <c r="A121" s="244" t="s">
        <v>1288</v>
      </c>
      <c r="B121" s="232" t="s">
        <v>1289</v>
      </c>
      <c r="C121" s="258">
        <f>C122</f>
        <v>9588870</v>
      </c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/>
      <c r="BX121" s="234"/>
      <c r="BY121" s="234"/>
      <c r="BZ121" s="234"/>
      <c r="CA121" s="234"/>
      <c r="CB121" s="234"/>
      <c r="CC121" s="234"/>
      <c r="CD121" s="234"/>
      <c r="CE121" s="234"/>
      <c r="CF121" s="234"/>
      <c r="CG121" s="234"/>
      <c r="CH121" s="234"/>
      <c r="CI121" s="234"/>
      <c r="CJ121" s="234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DI121" s="234"/>
      <c r="DJ121" s="234"/>
      <c r="DK121" s="234"/>
      <c r="DL121" s="234"/>
      <c r="DM121" s="234"/>
      <c r="DN121" s="234"/>
      <c r="DO121" s="234"/>
      <c r="DP121" s="234"/>
      <c r="DQ121" s="234"/>
      <c r="DR121" s="234"/>
      <c r="DS121" s="234"/>
      <c r="DT121" s="234"/>
      <c r="DU121" s="234"/>
      <c r="DV121" s="234"/>
      <c r="DW121" s="234"/>
      <c r="DX121" s="234"/>
      <c r="DY121" s="234"/>
      <c r="DZ121" s="234"/>
      <c r="EA121" s="234"/>
      <c r="EB121" s="234"/>
      <c r="EC121" s="234"/>
      <c r="ED121" s="234"/>
      <c r="EE121" s="234"/>
      <c r="EF121" s="234"/>
      <c r="EG121" s="234"/>
      <c r="EH121" s="234"/>
      <c r="EI121" s="234"/>
      <c r="EJ121" s="234"/>
      <c r="EK121" s="234"/>
      <c r="EL121" s="234"/>
      <c r="EM121" s="234"/>
      <c r="EN121" s="234"/>
      <c r="EO121" s="234"/>
      <c r="EP121" s="234"/>
      <c r="EQ121" s="234"/>
      <c r="ER121" s="234"/>
      <c r="ES121" s="234"/>
      <c r="ET121" s="234"/>
      <c r="EU121" s="234"/>
      <c r="EV121" s="234"/>
      <c r="EW121" s="234"/>
      <c r="EX121" s="234"/>
      <c r="EY121" s="234"/>
      <c r="EZ121" s="234"/>
      <c r="FA121" s="234"/>
      <c r="FB121" s="234"/>
      <c r="FC121" s="234"/>
      <c r="FD121" s="234"/>
      <c r="FE121" s="234"/>
      <c r="FF121" s="234"/>
      <c r="FG121" s="234"/>
      <c r="FH121" s="234"/>
      <c r="FI121" s="234"/>
      <c r="FJ121" s="234"/>
      <c r="FK121" s="234"/>
      <c r="FL121" s="234"/>
      <c r="FM121" s="234"/>
      <c r="FN121" s="234"/>
      <c r="FO121" s="234"/>
      <c r="FP121" s="234"/>
      <c r="FQ121" s="234"/>
      <c r="FR121" s="234"/>
      <c r="FS121" s="234"/>
      <c r="FT121" s="234"/>
      <c r="FU121" s="234"/>
      <c r="FV121" s="234"/>
      <c r="FW121" s="234"/>
      <c r="FX121" s="234"/>
      <c r="FY121" s="234"/>
      <c r="FZ121" s="234"/>
      <c r="GA121" s="234"/>
      <c r="GB121" s="234"/>
      <c r="GC121" s="234"/>
      <c r="GD121" s="234"/>
      <c r="GE121" s="234"/>
      <c r="GF121" s="234"/>
      <c r="GG121" s="234"/>
      <c r="GH121" s="234"/>
      <c r="GI121" s="234"/>
      <c r="GJ121" s="234"/>
      <c r="GK121" s="234"/>
      <c r="GL121" s="234"/>
      <c r="GM121" s="234"/>
      <c r="GN121" s="234"/>
      <c r="GO121" s="234"/>
      <c r="GP121" s="234"/>
      <c r="GQ121" s="234"/>
      <c r="GR121" s="234"/>
      <c r="GS121" s="234"/>
      <c r="GT121" s="234"/>
      <c r="GU121" s="234"/>
      <c r="GV121" s="234"/>
      <c r="GW121" s="234"/>
      <c r="GX121" s="234"/>
      <c r="GY121" s="234"/>
      <c r="GZ121" s="234"/>
      <c r="HA121" s="234"/>
      <c r="HB121" s="234"/>
      <c r="HC121" s="234"/>
      <c r="HD121" s="234"/>
      <c r="HE121" s="234"/>
      <c r="HF121" s="234"/>
      <c r="HG121" s="234"/>
      <c r="HH121" s="234"/>
      <c r="HI121" s="234"/>
      <c r="HJ121" s="234"/>
      <c r="HK121" s="234"/>
      <c r="HL121" s="234"/>
      <c r="HM121" s="234"/>
      <c r="HN121" s="234"/>
      <c r="HO121" s="234"/>
      <c r="HP121" s="234"/>
      <c r="HQ121" s="234"/>
      <c r="HR121" s="234"/>
      <c r="HS121" s="234"/>
      <c r="HT121" s="234"/>
      <c r="HU121" s="234"/>
      <c r="HV121" s="234"/>
      <c r="HW121" s="234"/>
      <c r="HX121" s="234"/>
      <c r="HY121" s="234"/>
      <c r="HZ121" s="234"/>
      <c r="IA121" s="234"/>
      <c r="IB121" s="234"/>
      <c r="IC121" s="234"/>
      <c r="ID121" s="234"/>
      <c r="IE121" s="234"/>
      <c r="IF121" s="234"/>
      <c r="IG121" s="234"/>
      <c r="IH121" s="234"/>
      <c r="II121" s="234"/>
      <c r="IJ121" s="234"/>
      <c r="IK121" s="234"/>
      <c r="IL121" s="234"/>
      <c r="IM121" s="234"/>
      <c r="IN121" s="234"/>
      <c r="IO121" s="234"/>
      <c r="IP121" s="234"/>
      <c r="IQ121" s="234"/>
      <c r="IR121" s="234"/>
      <c r="IS121" s="234"/>
      <c r="IT121" s="234"/>
      <c r="IU121" s="234"/>
      <c r="IV121" s="234"/>
    </row>
    <row r="122" spans="1:256" ht="85.5" customHeight="1">
      <c r="A122" s="239" t="s">
        <v>1279</v>
      </c>
      <c r="B122" s="229" t="s">
        <v>1280</v>
      </c>
      <c r="C122" s="253">
        <v>9588870</v>
      </c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  <c r="CE122" s="234"/>
      <c r="CF122" s="234"/>
      <c r="CG122" s="234"/>
      <c r="CH122" s="234"/>
      <c r="CI122" s="234"/>
      <c r="CJ122" s="234"/>
      <c r="CK122" s="234"/>
      <c r="CL122" s="234"/>
      <c r="CM122" s="234"/>
      <c r="CN122" s="234"/>
      <c r="CO122" s="234"/>
      <c r="CP122" s="234"/>
      <c r="CQ122" s="234"/>
      <c r="CR122" s="234"/>
      <c r="CS122" s="234"/>
      <c r="CT122" s="234"/>
      <c r="CU122" s="234"/>
      <c r="CV122" s="234"/>
      <c r="CW122" s="234"/>
      <c r="CX122" s="234"/>
      <c r="CY122" s="234"/>
      <c r="CZ122" s="234"/>
      <c r="DA122" s="234"/>
      <c r="DB122" s="234"/>
      <c r="DC122" s="234"/>
      <c r="DD122" s="234"/>
      <c r="DE122" s="234"/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  <c r="IM122" s="234"/>
      <c r="IN122" s="234"/>
      <c r="IO122" s="234"/>
      <c r="IP122" s="234"/>
      <c r="IQ122" s="234"/>
      <c r="IR122" s="234"/>
      <c r="IS122" s="234"/>
      <c r="IT122" s="234"/>
      <c r="IU122" s="234"/>
      <c r="IV122" s="234"/>
    </row>
    <row r="123" spans="1:256" ht="21.75" customHeight="1">
      <c r="A123" s="242" t="s">
        <v>984</v>
      </c>
      <c r="B123" s="204" t="s">
        <v>985</v>
      </c>
      <c r="C123" s="256">
        <f>C124</f>
        <v>52903705.19</v>
      </c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  <c r="CE123" s="234"/>
      <c r="CF123" s="234"/>
      <c r="CG123" s="234"/>
      <c r="CH123" s="234"/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4"/>
      <c r="DF123" s="234"/>
      <c r="DG123" s="234"/>
      <c r="DH123" s="234"/>
      <c r="DI123" s="234"/>
      <c r="DJ123" s="234"/>
      <c r="DK123" s="234"/>
      <c r="DL123" s="234"/>
      <c r="DM123" s="234"/>
      <c r="DN123" s="234"/>
      <c r="DO123" s="234"/>
      <c r="DP123" s="234"/>
      <c r="DQ123" s="234"/>
      <c r="DR123" s="234"/>
      <c r="DS123" s="234"/>
      <c r="DT123" s="234"/>
      <c r="DU123" s="234"/>
      <c r="DV123" s="234"/>
      <c r="DW123" s="234"/>
      <c r="DX123" s="234"/>
      <c r="DY123" s="234"/>
      <c r="DZ123" s="234"/>
      <c r="EA123" s="234"/>
      <c r="EB123" s="234"/>
      <c r="EC123" s="234"/>
      <c r="ED123" s="234"/>
      <c r="EE123" s="234"/>
      <c r="EF123" s="234"/>
      <c r="EG123" s="234"/>
      <c r="EH123" s="234"/>
      <c r="EI123" s="234"/>
      <c r="EJ123" s="234"/>
      <c r="EK123" s="234"/>
      <c r="EL123" s="234"/>
      <c r="EM123" s="234"/>
      <c r="EN123" s="234"/>
      <c r="EO123" s="234"/>
      <c r="EP123" s="234"/>
      <c r="EQ123" s="234"/>
      <c r="ER123" s="234"/>
      <c r="ES123" s="234"/>
      <c r="ET123" s="234"/>
      <c r="EU123" s="234"/>
      <c r="EV123" s="234"/>
      <c r="EW123" s="234"/>
      <c r="EX123" s="234"/>
      <c r="EY123" s="234"/>
      <c r="EZ123" s="234"/>
      <c r="FA123" s="234"/>
      <c r="FB123" s="234"/>
      <c r="FC123" s="234"/>
      <c r="FD123" s="234"/>
      <c r="FE123" s="234"/>
      <c r="FF123" s="234"/>
      <c r="FG123" s="234"/>
      <c r="FH123" s="234"/>
      <c r="FI123" s="234"/>
      <c r="FJ123" s="234"/>
      <c r="FK123" s="234"/>
      <c r="FL123" s="234"/>
      <c r="FM123" s="234"/>
      <c r="FN123" s="234"/>
      <c r="FO123" s="234"/>
      <c r="FP123" s="234"/>
      <c r="FQ123" s="234"/>
      <c r="FR123" s="234"/>
      <c r="FS123" s="234"/>
      <c r="FT123" s="234"/>
      <c r="FU123" s="234"/>
      <c r="FV123" s="234"/>
      <c r="FW123" s="234"/>
      <c r="FX123" s="234"/>
      <c r="FY123" s="234"/>
      <c r="FZ123" s="234"/>
      <c r="GA123" s="234"/>
      <c r="GB123" s="234"/>
      <c r="GC123" s="234"/>
      <c r="GD123" s="234"/>
      <c r="GE123" s="234"/>
      <c r="GF123" s="234"/>
      <c r="GG123" s="234"/>
      <c r="GH123" s="234"/>
      <c r="GI123" s="234"/>
      <c r="GJ123" s="234"/>
      <c r="GK123" s="234"/>
      <c r="GL123" s="234"/>
      <c r="GM123" s="234"/>
      <c r="GN123" s="234"/>
      <c r="GO123" s="234"/>
      <c r="GP123" s="234"/>
      <c r="GQ123" s="234"/>
      <c r="GR123" s="234"/>
      <c r="GS123" s="234"/>
      <c r="GT123" s="234"/>
      <c r="GU123" s="234"/>
      <c r="GV123" s="234"/>
      <c r="GW123" s="234"/>
      <c r="GX123" s="234"/>
      <c r="GY123" s="234"/>
      <c r="GZ123" s="234"/>
      <c r="HA123" s="234"/>
      <c r="HB123" s="234"/>
      <c r="HC123" s="234"/>
      <c r="HD123" s="234"/>
      <c r="HE123" s="234"/>
      <c r="HF123" s="234"/>
      <c r="HG123" s="234"/>
      <c r="HH123" s="234"/>
      <c r="HI123" s="234"/>
      <c r="HJ123" s="234"/>
      <c r="HK123" s="234"/>
      <c r="HL123" s="234"/>
      <c r="HM123" s="234"/>
      <c r="HN123" s="234"/>
      <c r="HO123" s="234"/>
      <c r="HP123" s="234"/>
      <c r="HQ123" s="234"/>
      <c r="HR123" s="234"/>
      <c r="HS123" s="234"/>
      <c r="HT123" s="234"/>
      <c r="HU123" s="234"/>
      <c r="HV123" s="234"/>
      <c r="HW123" s="234"/>
      <c r="HX123" s="234"/>
      <c r="HY123" s="234"/>
      <c r="HZ123" s="234"/>
      <c r="IA123" s="234"/>
      <c r="IB123" s="234"/>
      <c r="IC123" s="234"/>
      <c r="ID123" s="234"/>
      <c r="IE123" s="234"/>
      <c r="IF123" s="234"/>
      <c r="IG123" s="234"/>
      <c r="IH123" s="234"/>
      <c r="II123" s="234"/>
      <c r="IJ123" s="234"/>
      <c r="IK123" s="234"/>
      <c r="IL123" s="234"/>
      <c r="IM123" s="234"/>
      <c r="IN123" s="234"/>
      <c r="IO123" s="234"/>
      <c r="IP123" s="234"/>
      <c r="IQ123" s="234"/>
      <c r="IR123" s="234"/>
      <c r="IS123" s="234"/>
      <c r="IT123" s="234"/>
      <c r="IU123" s="234"/>
      <c r="IV123" s="234"/>
    </row>
    <row r="124" spans="1:256" ht="39" customHeight="1">
      <c r="A124" s="243" t="s">
        <v>986</v>
      </c>
      <c r="B124" s="205" t="s">
        <v>783</v>
      </c>
      <c r="C124" s="257">
        <f>1601600+3866700+25602600+13042+21819763.19</f>
        <v>52903705.19</v>
      </c>
      <c r="D124" s="246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34"/>
      <c r="BV124" s="234"/>
      <c r="BW124" s="234"/>
      <c r="BX124" s="234"/>
      <c r="BY124" s="234"/>
      <c r="BZ124" s="234"/>
      <c r="CA124" s="234"/>
      <c r="CB124" s="234"/>
      <c r="CC124" s="234"/>
      <c r="CD124" s="234"/>
      <c r="CE124" s="234"/>
      <c r="CF124" s="234"/>
      <c r="CG124" s="234"/>
      <c r="CH124" s="234"/>
      <c r="CI124" s="234"/>
      <c r="CJ124" s="234"/>
      <c r="CK124" s="234"/>
      <c r="CL124" s="234"/>
      <c r="CM124" s="234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234"/>
      <c r="CX124" s="234"/>
      <c r="CY124" s="234"/>
      <c r="CZ124" s="234"/>
      <c r="DA124" s="234"/>
      <c r="DB124" s="234"/>
      <c r="DC124" s="234"/>
      <c r="DD124" s="234"/>
      <c r="DE124" s="234"/>
      <c r="DF124" s="234"/>
      <c r="DG124" s="234"/>
      <c r="DH124" s="234"/>
      <c r="DI124" s="234"/>
      <c r="DJ124" s="234"/>
      <c r="DK124" s="234"/>
      <c r="DL124" s="234"/>
      <c r="DM124" s="234"/>
      <c r="DN124" s="234"/>
      <c r="DO124" s="234"/>
      <c r="DP124" s="234"/>
      <c r="DQ124" s="234"/>
      <c r="DR124" s="234"/>
      <c r="DS124" s="234"/>
      <c r="DT124" s="234"/>
      <c r="DU124" s="234"/>
      <c r="DV124" s="234"/>
      <c r="DW124" s="234"/>
      <c r="DX124" s="234"/>
      <c r="DY124" s="234"/>
      <c r="DZ124" s="234"/>
      <c r="EA124" s="234"/>
      <c r="EB124" s="234"/>
      <c r="EC124" s="234"/>
      <c r="ED124" s="234"/>
      <c r="EE124" s="234"/>
      <c r="EF124" s="234"/>
      <c r="EG124" s="234"/>
      <c r="EH124" s="234"/>
      <c r="EI124" s="234"/>
      <c r="EJ124" s="234"/>
      <c r="EK124" s="234"/>
      <c r="EL124" s="234"/>
      <c r="EM124" s="234"/>
      <c r="EN124" s="234"/>
      <c r="EO124" s="234"/>
      <c r="EP124" s="234"/>
      <c r="EQ124" s="234"/>
      <c r="ER124" s="234"/>
      <c r="ES124" s="234"/>
      <c r="ET124" s="234"/>
      <c r="EU124" s="234"/>
      <c r="EV124" s="234"/>
      <c r="EW124" s="234"/>
      <c r="EX124" s="234"/>
      <c r="EY124" s="234"/>
      <c r="EZ124" s="234"/>
      <c r="FA124" s="234"/>
      <c r="FB124" s="234"/>
      <c r="FC124" s="234"/>
      <c r="FD124" s="234"/>
      <c r="FE124" s="234"/>
      <c r="FF124" s="234"/>
      <c r="FG124" s="234"/>
      <c r="FH124" s="234"/>
      <c r="FI124" s="234"/>
      <c r="FJ124" s="234"/>
      <c r="FK124" s="234"/>
      <c r="FL124" s="234"/>
      <c r="FM124" s="234"/>
      <c r="FN124" s="234"/>
      <c r="FO124" s="234"/>
      <c r="FP124" s="234"/>
      <c r="FQ124" s="234"/>
      <c r="FR124" s="234"/>
      <c r="FS124" s="234"/>
      <c r="FT124" s="234"/>
      <c r="FU124" s="234"/>
      <c r="FV124" s="234"/>
      <c r="FW124" s="234"/>
      <c r="FX124" s="234"/>
      <c r="FY124" s="234"/>
      <c r="FZ124" s="234"/>
      <c r="GA124" s="234"/>
      <c r="GB124" s="234"/>
      <c r="GC124" s="234"/>
      <c r="GD124" s="234"/>
      <c r="GE124" s="234"/>
      <c r="GF124" s="234"/>
      <c r="GG124" s="234"/>
      <c r="GH124" s="234"/>
      <c r="GI124" s="234"/>
      <c r="GJ124" s="234"/>
      <c r="GK124" s="234"/>
      <c r="GL124" s="234"/>
      <c r="GM124" s="234"/>
      <c r="GN124" s="234"/>
      <c r="GO124" s="234"/>
      <c r="GP124" s="234"/>
      <c r="GQ124" s="234"/>
      <c r="GR124" s="234"/>
      <c r="GS124" s="234"/>
      <c r="GT124" s="234"/>
      <c r="GU124" s="234"/>
      <c r="GV124" s="234"/>
      <c r="GW124" s="234"/>
      <c r="GX124" s="234"/>
      <c r="GY124" s="234"/>
      <c r="GZ124" s="234"/>
      <c r="HA124" s="234"/>
      <c r="HB124" s="234"/>
      <c r="HC124" s="234"/>
      <c r="HD124" s="234"/>
      <c r="HE124" s="234"/>
      <c r="HF124" s="234"/>
      <c r="HG124" s="234"/>
      <c r="HH124" s="234"/>
      <c r="HI124" s="234"/>
      <c r="HJ124" s="234"/>
      <c r="HK124" s="234"/>
      <c r="HL124" s="234"/>
      <c r="HM124" s="234"/>
      <c r="HN124" s="234"/>
      <c r="HO124" s="234"/>
      <c r="HP124" s="234"/>
      <c r="HQ124" s="234"/>
      <c r="HR124" s="234"/>
      <c r="HS124" s="234"/>
      <c r="HT124" s="234"/>
      <c r="HU124" s="234"/>
      <c r="HV124" s="234"/>
      <c r="HW124" s="234"/>
      <c r="HX124" s="234"/>
      <c r="HY124" s="234"/>
      <c r="HZ124" s="234"/>
      <c r="IA124" s="234"/>
      <c r="IB124" s="234"/>
      <c r="IC124" s="234"/>
      <c r="ID124" s="234"/>
      <c r="IE124" s="234"/>
      <c r="IF124" s="234"/>
      <c r="IG124" s="234"/>
      <c r="IH124" s="234"/>
      <c r="II124" s="234"/>
      <c r="IJ124" s="234"/>
      <c r="IK124" s="234"/>
      <c r="IL124" s="234"/>
      <c r="IM124" s="234"/>
      <c r="IN124" s="234"/>
      <c r="IO124" s="234"/>
      <c r="IP124" s="234"/>
      <c r="IQ124" s="234"/>
      <c r="IR124" s="234"/>
      <c r="IS124" s="234"/>
      <c r="IT124" s="234"/>
      <c r="IU124" s="234"/>
      <c r="IV124" s="234"/>
    </row>
    <row r="125" spans="1:256" ht="33.75" customHeight="1">
      <c r="A125" s="233" t="s">
        <v>987</v>
      </c>
      <c r="B125" s="198" t="s">
        <v>988</v>
      </c>
      <c r="C125" s="247">
        <f>C126+C128+C132+C130</f>
        <v>771621346.8</v>
      </c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4"/>
      <c r="BM125" s="234"/>
      <c r="BN125" s="234"/>
      <c r="BO125" s="234"/>
      <c r="BP125" s="234"/>
      <c r="BQ125" s="234"/>
      <c r="BR125" s="234"/>
      <c r="BS125" s="234"/>
      <c r="BT125" s="234"/>
      <c r="BU125" s="234"/>
      <c r="BV125" s="234"/>
      <c r="BW125" s="234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234"/>
      <c r="CV125" s="234"/>
      <c r="CW125" s="234"/>
      <c r="CX125" s="234"/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DI125" s="234"/>
      <c r="DJ125" s="234"/>
      <c r="DK125" s="234"/>
      <c r="DL125" s="234"/>
      <c r="DM125" s="234"/>
      <c r="DN125" s="234"/>
      <c r="DO125" s="234"/>
      <c r="DP125" s="234"/>
      <c r="DQ125" s="234"/>
      <c r="DR125" s="234"/>
      <c r="DS125" s="234"/>
      <c r="DT125" s="234"/>
      <c r="DU125" s="234"/>
      <c r="DV125" s="234"/>
      <c r="DW125" s="234"/>
      <c r="DX125" s="234"/>
      <c r="DY125" s="234"/>
      <c r="DZ125" s="234"/>
      <c r="EA125" s="234"/>
      <c r="EB125" s="234"/>
      <c r="EC125" s="234"/>
      <c r="ED125" s="234"/>
      <c r="EE125" s="234"/>
      <c r="EF125" s="234"/>
      <c r="EG125" s="234"/>
      <c r="EH125" s="234"/>
      <c r="EI125" s="234"/>
      <c r="EJ125" s="234"/>
      <c r="EK125" s="234"/>
      <c r="EL125" s="234"/>
      <c r="EM125" s="234"/>
      <c r="EN125" s="234"/>
      <c r="EO125" s="234"/>
      <c r="EP125" s="234"/>
      <c r="EQ125" s="234"/>
      <c r="ER125" s="234"/>
      <c r="ES125" s="234"/>
      <c r="ET125" s="234"/>
      <c r="EU125" s="234"/>
      <c r="EV125" s="234"/>
      <c r="EW125" s="234"/>
      <c r="EX125" s="234"/>
      <c r="EY125" s="234"/>
      <c r="EZ125" s="234"/>
      <c r="FA125" s="234"/>
      <c r="FB125" s="234"/>
      <c r="FC125" s="234"/>
      <c r="FD125" s="234"/>
      <c r="FE125" s="234"/>
      <c r="FF125" s="234"/>
      <c r="FG125" s="234"/>
      <c r="FH125" s="234"/>
      <c r="FI125" s="234"/>
      <c r="FJ125" s="234"/>
      <c r="FK125" s="234"/>
      <c r="FL125" s="234"/>
      <c r="FM125" s="234"/>
      <c r="FN125" s="234"/>
      <c r="FO125" s="234"/>
      <c r="FP125" s="234"/>
      <c r="FQ125" s="234"/>
      <c r="FR125" s="234"/>
      <c r="FS125" s="234"/>
      <c r="FT125" s="234"/>
      <c r="FU125" s="234"/>
      <c r="FV125" s="234"/>
      <c r="FW125" s="234"/>
      <c r="FX125" s="234"/>
      <c r="FY125" s="234"/>
      <c r="FZ125" s="234"/>
      <c r="GA125" s="234"/>
      <c r="GB125" s="234"/>
      <c r="GC125" s="234"/>
      <c r="GD125" s="234"/>
      <c r="GE125" s="234"/>
      <c r="GF125" s="234"/>
      <c r="GG125" s="234"/>
      <c r="GH125" s="234"/>
      <c r="GI125" s="234"/>
      <c r="GJ125" s="234"/>
      <c r="GK125" s="234"/>
      <c r="GL125" s="234"/>
      <c r="GM125" s="234"/>
      <c r="GN125" s="234"/>
      <c r="GO125" s="234"/>
      <c r="GP125" s="234"/>
      <c r="GQ125" s="234"/>
      <c r="GR125" s="234"/>
      <c r="GS125" s="234"/>
      <c r="GT125" s="234"/>
      <c r="GU125" s="234"/>
      <c r="GV125" s="234"/>
      <c r="GW125" s="234"/>
      <c r="GX125" s="234"/>
      <c r="GY125" s="234"/>
      <c r="GZ125" s="234"/>
      <c r="HA125" s="234"/>
      <c r="HB125" s="234"/>
      <c r="HC125" s="234"/>
      <c r="HD125" s="234"/>
      <c r="HE125" s="234"/>
      <c r="HF125" s="234"/>
      <c r="HG125" s="234"/>
      <c r="HH125" s="234"/>
      <c r="HI125" s="234"/>
      <c r="HJ125" s="234"/>
      <c r="HK125" s="234"/>
      <c r="HL125" s="234"/>
      <c r="HM125" s="234"/>
      <c r="HN125" s="234"/>
      <c r="HO125" s="234"/>
      <c r="HP125" s="234"/>
      <c r="HQ125" s="234"/>
      <c r="HR125" s="234"/>
      <c r="HS125" s="234"/>
      <c r="HT125" s="234"/>
      <c r="HU125" s="234"/>
      <c r="HV125" s="234"/>
      <c r="HW125" s="234"/>
      <c r="HX125" s="234"/>
      <c r="HY125" s="234"/>
      <c r="HZ125" s="234"/>
      <c r="IA125" s="234"/>
      <c r="IB125" s="234"/>
      <c r="IC125" s="234"/>
      <c r="ID125" s="234"/>
      <c r="IE125" s="234"/>
      <c r="IF125" s="234"/>
      <c r="IG125" s="234"/>
      <c r="IH125" s="234"/>
      <c r="II125" s="234"/>
      <c r="IJ125" s="234"/>
      <c r="IK125" s="234"/>
      <c r="IL125" s="234"/>
      <c r="IM125" s="234"/>
      <c r="IN125" s="234"/>
      <c r="IO125" s="234"/>
      <c r="IP125" s="234"/>
      <c r="IQ125" s="234"/>
      <c r="IR125" s="234"/>
      <c r="IS125" s="234"/>
      <c r="IT125" s="234"/>
      <c r="IU125" s="234"/>
      <c r="IV125" s="234"/>
    </row>
    <row r="126" spans="1:256" ht="78" customHeight="1">
      <c r="A126" s="242" t="s">
        <v>989</v>
      </c>
      <c r="B126" s="199" t="s">
        <v>990</v>
      </c>
      <c r="C126" s="257">
        <f>C127</f>
        <v>33397200</v>
      </c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/>
      <c r="DP126" s="234"/>
      <c r="DQ126" s="234"/>
      <c r="DR126" s="234"/>
      <c r="DS126" s="234"/>
      <c r="DT126" s="234"/>
      <c r="DU126" s="234"/>
      <c r="DV126" s="234"/>
      <c r="DW126" s="234"/>
      <c r="DX126" s="234"/>
      <c r="DY126" s="234"/>
      <c r="DZ126" s="234"/>
      <c r="EA126" s="234"/>
      <c r="EB126" s="234"/>
      <c r="EC126" s="234"/>
      <c r="ED126" s="234"/>
      <c r="EE126" s="234"/>
      <c r="EF126" s="234"/>
      <c r="EG126" s="234"/>
      <c r="EH126" s="234"/>
      <c r="EI126" s="234"/>
      <c r="EJ126" s="234"/>
      <c r="EK126" s="234"/>
      <c r="EL126" s="234"/>
      <c r="EM126" s="234"/>
      <c r="EN126" s="234"/>
      <c r="EO126" s="234"/>
      <c r="EP126" s="234"/>
      <c r="EQ126" s="234"/>
      <c r="ER126" s="234"/>
      <c r="ES126" s="234"/>
      <c r="ET126" s="234"/>
      <c r="EU126" s="234"/>
      <c r="EV126" s="234"/>
      <c r="EW126" s="234"/>
      <c r="EX126" s="234"/>
      <c r="EY126" s="234"/>
      <c r="EZ126" s="234"/>
      <c r="FA126" s="234"/>
      <c r="FB126" s="234"/>
      <c r="FC126" s="234"/>
      <c r="FD126" s="234"/>
      <c r="FE126" s="234"/>
      <c r="FF126" s="234"/>
      <c r="FG126" s="234"/>
      <c r="FH126" s="234"/>
      <c r="FI126" s="234"/>
      <c r="FJ126" s="234"/>
      <c r="FK126" s="234"/>
      <c r="FL126" s="234"/>
      <c r="FM126" s="234"/>
      <c r="FN126" s="234"/>
      <c r="FO126" s="234"/>
      <c r="FP126" s="234"/>
      <c r="FQ126" s="234"/>
      <c r="FR126" s="234"/>
      <c r="FS126" s="234"/>
      <c r="FT126" s="234"/>
      <c r="FU126" s="234"/>
      <c r="FV126" s="234"/>
      <c r="FW126" s="234"/>
      <c r="FX126" s="234"/>
      <c r="FY126" s="234"/>
      <c r="FZ126" s="234"/>
      <c r="GA126" s="234"/>
      <c r="GB126" s="234"/>
      <c r="GC126" s="234"/>
      <c r="GD126" s="234"/>
      <c r="GE126" s="234"/>
      <c r="GF126" s="234"/>
      <c r="GG126" s="234"/>
      <c r="GH126" s="234"/>
      <c r="GI126" s="234"/>
      <c r="GJ126" s="234"/>
      <c r="GK126" s="234"/>
      <c r="GL126" s="234"/>
      <c r="GM126" s="234"/>
      <c r="GN126" s="234"/>
      <c r="GO126" s="234"/>
      <c r="GP126" s="234"/>
      <c r="GQ126" s="234"/>
      <c r="GR126" s="234"/>
      <c r="GS126" s="234"/>
      <c r="GT126" s="234"/>
      <c r="GU126" s="234"/>
      <c r="GV126" s="234"/>
      <c r="GW126" s="234"/>
      <c r="GX126" s="234"/>
      <c r="GY126" s="234"/>
      <c r="GZ126" s="234"/>
      <c r="HA126" s="234"/>
      <c r="HB126" s="234"/>
      <c r="HC126" s="234"/>
      <c r="HD126" s="234"/>
      <c r="HE126" s="234"/>
      <c r="HF126" s="234"/>
      <c r="HG126" s="234"/>
      <c r="HH126" s="234"/>
      <c r="HI126" s="234"/>
      <c r="HJ126" s="234"/>
      <c r="HK126" s="234"/>
      <c r="HL126" s="234"/>
      <c r="HM126" s="234"/>
      <c r="HN126" s="234"/>
      <c r="HO126" s="234"/>
      <c r="HP126" s="234"/>
      <c r="HQ126" s="234"/>
      <c r="HR126" s="234"/>
      <c r="HS126" s="234"/>
      <c r="HT126" s="234"/>
      <c r="HU126" s="234"/>
      <c r="HV126" s="234"/>
      <c r="HW126" s="234"/>
      <c r="HX126" s="234"/>
      <c r="HY126" s="234"/>
      <c r="HZ126" s="234"/>
      <c r="IA126" s="234"/>
      <c r="IB126" s="234"/>
      <c r="IC126" s="234"/>
      <c r="ID126" s="234"/>
      <c r="IE126" s="234"/>
      <c r="IF126" s="234"/>
      <c r="IG126" s="234"/>
      <c r="IH126" s="234"/>
      <c r="II126" s="234"/>
      <c r="IJ126" s="234"/>
      <c r="IK126" s="234"/>
      <c r="IL126" s="234"/>
      <c r="IM126" s="234"/>
      <c r="IN126" s="234"/>
      <c r="IO126" s="234"/>
      <c r="IP126" s="234"/>
      <c r="IQ126" s="234"/>
      <c r="IR126" s="234"/>
      <c r="IS126" s="234"/>
      <c r="IT126" s="234"/>
      <c r="IU126" s="234"/>
      <c r="IV126" s="234"/>
    </row>
    <row r="127" spans="1:256" ht="66" customHeight="1">
      <c r="A127" s="243" t="s">
        <v>991</v>
      </c>
      <c r="B127" s="201" t="s">
        <v>762</v>
      </c>
      <c r="C127" s="257">
        <v>33397200</v>
      </c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DI127" s="234"/>
      <c r="DJ127" s="234"/>
      <c r="DK127" s="234"/>
      <c r="DL127" s="234"/>
      <c r="DM127" s="234"/>
      <c r="DN127" s="234"/>
      <c r="DO127" s="234"/>
      <c r="DP127" s="234"/>
      <c r="DQ127" s="234"/>
      <c r="DR127" s="234"/>
      <c r="DS127" s="234"/>
      <c r="DT127" s="234"/>
      <c r="DU127" s="234"/>
      <c r="DV127" s="234"/>
      <c r="DW127" s="234"/>
      <c r="DX127" s="234"/>
      <c r="DY127" s="234"/>
      <c r="DZ127" s="234"/>
      <c r="EA127" s="234"/>
      <c r="EB127" s="234"/>
      <c r="EC127" s="234"/>
      <c r="ED127" s="234"/>
      <c r="EE127" s="234"/>
      <c r="EF127" s="234"/>
      <c r="EG127" s="234"/>
      <c r="EH127" s="234"/>
      <c r="EI127" s="234"/>
      <c r="EJ127" s="234"/>
      <c r="EK127" s="234"/>
      <c r="EL127" s="234"/>
      <c r="EM127" s="234"/>
      <c r="EN127" s="234"/>
      <c r="EO127" s="234"/>
      <c r="EP127" s="234"/>
      <c r="EQ127" s="234"/>
      <c r="ER127" s="234"/>
      <c r="ES127" s="234"/>
      <c r="ET127" s="234"/>
      <c r="EU127" s="234"/>
      <c r="EV127" s="234"/>
      <c r="EW127" s="234"/>
      <c r="EX127" s="234"/>
      <c r="EY127" s="234"/>
      <c r="EZ127" s="234"/>
      <c r="FA127" s="234"/>
      <c r="FB127" s="234"/>
      <c r="FC127" s="234"/>
      <c r="FD127" s="234"/>
      <c r="FE127" s="234"/>
      <c r="FF127" s="234"/>
      <c r="FG127" s="234"/>
      <c r="FH127" s="234"/>
      <c r="FI127" s="234"/>
      <c r="FJ127" s="234"/>
      <c r="FK127" s="234"/>
      <c r="FL127" s="234"/>
      <c r="FM127" s="234"/>
      <c r="FN127" s="234"/>
      <c r="FO127" s="234"/>
      <c r="FP127" s="234"/>
      <c r="FQ127" s="234"/>
      <c r="FR127" s="234"/>
      <c r="FS127" s="234"/>
      <c r="FT127" s="234"/>
      <c r="FU127" s="234"/>
      <c r="FV127" s="234"/>
      <c r="FW127" s="234"/>
      <c r="FX127" s="234"/>
      <c r="FY127" s="234"/>
      <c r="FZ127" s="234"/>
      <c r="GA127" s="234"/>
      <c r="GB127" s="234"/>
      <c r="GC127" s="234"/>
      <c r="GD127" s="234"/>
      <c r="GE127" s="234"/>
      <c r="GF127" s="234"/>
      <c r="GG127" s="234"/>
      <c r="GH127" s="234"/>
      <c r="GI127" s="234"/>
      <c r="GJ127" s="234"/>
      <c r="GK127" s="234"/>
      <c r="GL127" s="234"/>
      <c r="GM127" s="234"/>
      <c r="GN127" s="234"/>
      <c r="GO127" s="234"/>
      <c r="GP127" s="234"/>
      <c r="GQ127" s="234"/>
      <c r="GR127" s="234"/>
      <c r="GS127" s="234"/>
      <c r="GT127" s="234"/>
      <c r="GU127" s="234"/>
      <c r="GV127" s="234"/>
      <c r="GW127" s="234"/>
      <c r="GX127" s="234"/>
      <c r="GY127" s="234"/>
      <c r="GZ127" s="234"/>
      <c r="HA127" s="234"/>
      <c r="HB127" s="234"/>
      <c r="HC127" s="234"/>
      <c r="HD127" s="234"/>
      <c r="HE127" s="234"/>
      <c r="HF127" s="234"/>
      <c r="HG127" s="234"/>
      <c r="HH127" s="234"/>
      <c r="HI127" s="234"/>
      <c r="HJ127" s="234"/>
      <c r="HK127" s="234"/>
      <c r="HL127" s="234"/>
      <c r="HM127" s="234"/>
      <c r="HN127" s="234"/>
      <c r="HO127" s="234"/>
      <c r="HP127" s="234"/>
      <c r="HQ127" s="234"/>
      <c r="HR127" s="234"/>
      <c r="HS127" s="234"/>
      <c r="HT127" s="234"/>
      <c r="HU127" s="234"/>
      <c r="HV127" s="234"/>
      <c r="HW127" s="234"/>
      <c r="HX127" s="234"/>
      <c r="HY127" s="234"/>
      <c r="HZ127" s="234"/>
      <c r="IA127" s="234"/>
      <c r="IB127" s="234"/>
      <c r="IC127" s="234"/>
      <c r="ID127" s="234"/>
      <c r="IE127" s="234"/>
      <c r="IF127" s="234"/>
      <c r="IG127" s="234"/>
      <c r="IH127" s="234"/>
      <c r="II127" s="234"/>
      <c r="IJ127" s="234"/>
      <c r="IK127" s="234"/>
      <c r="IL127" s="234"/>
      <c r="IM127" s="234"/>
      <c r="IN127" s="234"/>
      <c r="IO127" s="234"/>
      <c r="IP127" s="234"/>
      <c r="IQ127" s="234"/>
      <c r="IR127" s="234"/>
      <c r="IS127" s="234"/>
      <c r="IT127" s="234"/>
      <c r="IU127" s="234"/>
      <c r="IV127" s="234"/>
    </row>
    <row r="128" spans="1:256" ht="103.5" customHeight="1">
      <c r="A128" s="242" t="s">
        <v>992</v>
      </c>
      <c r="B128" s="199" t="s">
        <v>993</v>
      </c>
      <c r="C128" s="257">
        <f>C129</f>
        <v>17444400</v>
      </c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4"/>
      <c r="BV128" s="234"/>
      <c r="BW128" s="234"/>
      <c r="BX128" s="234"/>
      <c r="BY128" s="234"/>
      <c r="BZ128" s="234"/>
      <c r="CA128" s="234"/>
      <c r="CB128" s="234"/>
      <c r="CC128" s="234"/>
      <c r="CD128" s="234"/>
      <c r="CE128" s="234"/>
      <c r="CF128" s="234"/>
      <c r="CG128" s="234"/>
      <c r="CH128" s="234"/>
      <c r="CI128" s="234"/>
      <c r="CJ128" s="234"/>
      <c r="CK128" s="234"/>
      <c r="CL128" s="234"/>
      <c r="CM128" s="234"/>
      <c r="CN128" s="234"/>
      <c r="CO128" s="234"/>
      <c r="CP128" s="234"/>
      <c r="CQ128" s="234"/>
      <c r="CR128" s="234"/>
      <c r="CS128" s="234"/>
      <c r="CT128" s="234"/>
      <c r="CU128" s="234"/>
      <c r="CV128" s="234"/>
      <c r="CW128" s="234"/>
      <c r="CX128" s="234"/>
      <c r="CY128" s="234"/>
      <c r="CZ128" s="234"/>
      <c r="DA128" s="234"/>
      <c r="DB128" s="234"/>
      <c r="DC128" s="234"/>
      <c r="DD128" s="234"/>
      <c r="DE128" s="234"/>
      <c r="DF128" s="234"/>
      <c r="DG128" s="234"/>
      <c r="DH128" s="234"/>
      <c r="DI128" s="234"/>
      <c r="DJ128" s="234"/>
      <c r="DK128" s="234"/>
      <c r="DL128" s="234"/>
      <c r="DM128" s="234"/>
      <c r="DN128" s="234"/>
      <c r="DO128" s="234"/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/>
      <c r="EG128" s="234"/>
      <c r="EH128" s="234"/>
      <c r="EI128" s="234"/>
      <c r="EJ128" s="234"/>
      <c r="EK128" s="234"/>
      <c r="EL128" s="234"/>
      <c r="EM128" s="234"/>
      <c r="EN128" s="234"/>
      <c r="EO128" s="234"/>
      <c r="EP128" s="234"/>
      <c r="EQ128" s="234"/>
      <c r="ER128" s="234"/>
      <c r="ES128" s="234"/>
      <c r="ET128" s="234"/>
      <c r="EU128" s="234"/>
      <c r="EV128" s="234"/>
      <c r="EW128" s="234"/>
      <c r="EX128" s="234"/>
      <c r="EY128" s="234"/>
      <c r="EZ128" s="234"/>
      <c r="FA128" s="234"/>
      <c r="FB128" s="234"/>
      <c r="FC128" s="234"/>
      <c r="FD128" s="234"/>
      <c r="FE128" s="234"/>
      <c r="FF128" s="234"/>
      <c r="FG128" s="234"/>
      <c r="FH128" s="234"/>
      <c r="FI128" s="234"/>
      <c r="FJ128" s="234"/>
      <c r="FK128" s="234"/>
      <c r="FL128" s="234"/>
      <c r="FM128" s="234"/>
      <c r="FN128" s="234"/>
      <c r="FO128" s="234"/>
      <c r="FP128" s="234"/>
      <c r="FQ128" s="234"/>
      <c r="FR128" s="234"/>
      <c r="FS128" s="234"/>
      <c r="FT128" s="234"/>
      <c r="FU128" s="234"/>
      <c r="FV128" s="234"/>
      <c r="FW128" s="234"/>
      <c r="FX128" s="234"/>
      <c r="FY128" s="234"/>
      <c r="FZ128" s="234"/>
      <c r="GA128" s="234"/>
      <c r="GB128" s="234"/>
      <c r="GC128" s="234"/>
      <c r="GD128" s="234"/>
      <c r="GE128" s="234"/>
      <c r="GF128" s="234"/>
      <c r="GG128" s="234"/>
      <c r="GH128" s="234"/>
      <c r="GI128" s="234"/>
      <c r="GJ128" s="234"/>
      <c r="GK128" s="234"/>
      <c r="GL128" s="234"/>
      <c r="GM128" s="234"/>
      <c r="GN128" s="234"/>
      <c r="GO128" s="234"/>
      <c r="GP128" s="234"/>
      <c r="GQ128" s="234"/>
      <c r="GR128" s="234"/>
      <c r="GS128" s="234"/>
      <c r="GT128" s="234"/>
      <c r="GU128" s="234"/>
      <c r="GV128" s="234"/>
      <c r="GW128" s="234"/>
      <c r="GX128" s="234"/>
      <c r="GY128" s="234"/>
      <c r="GZ128" s="234"/>
      <c r="HA128" s="234"/>
      <c r="HB128" s="234"/>
      <c r="HC128" s="234"/>
      <c r="HD128" s="234"/>
      <c r="HE128" s="234"/>
      <c r="HF128" s="234"/>
      <c r="HG128" s="234"/>
      <c r="HH128" s="234"/>
      <c r="HI128" s="234"/>
      <c r="HJ128" s="234"/>
      <c r="HK128" s="234"/>
      <c r="HL128" s="234"/>
      <c r="HM128" s="234"/>
      <c r="HN128" s="234"/>
      <c r="HO128" s="234"/>
      <c r="HP128" s="234"/>
      <c r="HQ128" s="234"/>
      <c r="HR128" s="234"/>
      <c r="HS128" s="234"/>
      <c r="HT128" s="234"/>
      <c r="HU128" s="234"/>
      <c r="HV128" s="234"/>
      <c r="HW128" s="234"/>
      <c r="HX128" s="234"/>
      <c r="HY128" s="234"/>
      <c r="HZ128" s="234"/>
      <c r="IA128" s="234"/>
      <c r="IB128" s="234"/>
      <c r="IC128" s="234"/>
      <c r="ID128" s="234"/>
      <c r="IE128" s="234"/>
      <c r="IF128" s="234"/>
      <c r="IG128" s="234"/>
      <c r="IH128" s="234"/>
      <c r="II128" s="234"/>
      <c r="IJ128" s="234"/>
      <c r="IK128" s="234"/>
      <c r="IL128" s="234"/>
      <c r="IM128" s="234"/>
      <c r="IN128" s="234"/>
      <c r="IO128" s="234"/>
      <c r="IP128" s="234"/>
      <c r="IQ128" s="234"/>
      <c r="IR128" s="234"/>
      <c r="IS128" s="234"/>
      <c r="IT128" s="234"/>
      <c r="IU128" s="234"/>
      <c r="IV128" s="234"/>
    </row>
    <row r="129" spans="1:256" ht="94.5" customHeight="1">
      <c r="A129" s="243" t="s">
        <v>994</v>
      </c>
      <c r="B129" s="201" t="s">
        <v>764</v>
      </c>
      <c r="C129" s="257">
        <f>17018900+425500</f>
        <v>17444400</v>
      </c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/>
      <c r="CY129" s="234"/>
      <c r="CZ129" s="234"/>
      <c r="DA129" s="234"/>
      <c r="DB129" s="234"/>
      <c r="DC129" s="234"/>
      <c r="DD129" s="234"/>
      <c r="DE129" s="234"/>
      <c r="DF129" s="234"/>
      <c r="DG129" s="234"/>
      <c r="DH129" s="234"/>
      <c r="DI129" s="234"/>
      <c r="DJ129" s="234"/>
      <c r="DK129" s="234"/>
      <c r="DL129" s="234"/>
      <c r="DM129" s="234"/>
      <c r="DN129" s="234"/>
      <c r="DO129" s="234"/>
      <c r="DP129" s="234"/>
      <c r="DQ129" s="234"/>
      <c r="DR129" s="234"/>
      <c r="DS129" s="234"/>
      <c r="DT129" s="234"/>
      <c r="DU129" s="234"/>
      <c r="DV129" s="234"/>
      <c r="DW129" s="234"/>
      <c r="DX129" s="234"/>
      <c r="DY129" s="234"/>
      <c r="DZ129" s="234"/>
      <c r="EA129" s="234"/>
      <c r="EB129" s="234"/>
      <c r="EC129" s="234"/>
      <c r="ED129" s="234"/>
      <c r="EE129" s="234"/>
      <c r="EF129" s="234"/>
      <c r="EG129" s="234"/>
      <c r="EH129" s="234"/>
      <c r="EI129" s="234"/>
      <c r="EJ129" s="234"/>
      <c r="EK129" s="234"/>
      <c r="EL129" s="234"/>
      <c r="EM129" s="234"/>
      <c r="EN129" s="234"/>
      <c r="EO129" s="234"/>
      <c r="EP129" s="234"/>
      <c r="EQ129" s="234"/>
      <c r="ER129" s="234"/>
      <c r="ES129" s="234"/>
      <c r="ET129" s="234"/>
      <c r="EU129" s="234"/>
      <c r="EV129" s="234"/>
      <c r="EW129" s="234"/>
      <c r="EX129" s="234"/>
      <c r="EY129" s="234"/>
      <c r="EZ129" s="234"/>
      <c r="FA129" s="234"/>
      <c r="FB129" s="234"/>
      <c r="FC129" s="234"/>
      <c r="FD129" s="234"/>
      <c r="FE129" s="234"/>
      <c r="FF129" s="234"/>
      <c r="FG129" s="234"/>
      <c r="FH129" s="234"/>
      <c r="FI129" s="234"/>
      <c r="FJ129" s="234"/>
      <c r="FK129" s="234"/>
      <c r="FL129" s="234"/>
      <c r="FM129" s="234"/>
      <c r="FN129" s="234"/>
      <c r="FO129" s="234"/>
      <c r="FP129" s="234"/>
      <c r="FQ129" s="234"/>
      <c r="FR129" s="234"/>
      <c r="FS129" s="234"/>
      <c r="FT129" s="234"/>
      <c r="FU129" s="234"/>
      <c r="FV129" s="234"/>
      <c r="FW129" s="234"/>
      <c r="FX129" s="234"/>
      <c r="FY129" s="234"/>
      <c r="FZ129" s="234"/>
      <c r="GA129" s="234"/>
      <c r="GB129" s="234"/>
      <c r="GC129" s="234"/>
      <c r="GD129" s="234"/>
      <c r="GE129" s="234"/>
      <c r="GF129" s="234"/>
      <c r="GG129" s="234"/>
      <c r="GH129" s="234"/>
      <c r="GI129" s="234"/>
      <c r="GJ129" s="234"/>
      <c r="GK129" s="234"/>
      <c r="GL129" s="234"/>
      <c r="GM129" s="234"/>
      <c r="GN129" s="234"/>
      <c r="GO129" s="234"/>
      <c r="GP129" s="234"/>
      <c r="GQ129" s="234"/>
      <c r="GR129" s="234"/>
      <c r="GS129" s="234"/>
      <c r="GT129" s="234"/>
      <c r="GU129" s="234"/>
      <c r="GV129" s="234"/>
      <c r="GW129" s="234"/>
      <c r="GX129" s="234"/>
      <c r="GY129" s="234"/>
      <c r="GZ129" s="234"/>
      <c r="HA129" s="234"/>
      <c r="HB129" s="234"/>
      <c r="HC129" s="234"/>
      <c r="HD129" s="234"/>
      <c r="HE129" s="234"/>
      <c r="HF129" s="234"/>
      <c r="HG129" s="234"/>
      <c r="HH129" s="234"/>
      <c r="HI129" s="234"/>
      <c r="HJ129" s="234"/>
      <c r="HK129" s="234"/>
      <c r="HL129" s="234"/>
      <c r="HM129" s="234"/>
      <c r="HN129" s="234"/>
      <c r="HO129" s="234"/>
      <c r="HP129" s="234"/>
      <c r="HQ129" s="234"/>
      <c r="HR129" s="234"/>
      <c r="HS129" s="234"/>
      <c r="HT129" s="234"/>
      <c r="HU129" s="234"/>
      <c r="HV129" s="234"/>
      <c r="HW129" s="234"/>
      <c r="HX129" s="234"/>
      <c r="HY129" s="234"/>
      <c r="HZ129" s="234"/>
      <c r="IA129" s="234"/>
      <c r="IB129" s="234"/>
      <c r="IC129" s="234"/>
      <c r="ID129" s="234"/>
      <c r="IE129" s="234"/>
      <c r="IF129" s="234"/>
      <c r="IG129" s="234"/>
      <c r="IH129" s="234"/>
      <c r="II129" s="234"/>
      <c r="IJ129" s="234"/>
      <c r="IK129" s="234"/>
      <c r="IL129" s="234"/>
      <c r="IM129" s="234"/>
      <c r="IN129" s="234"/>
      <c r="IO129" s="234"/>
      <c r="IP129" s="234"/>
      <c r="IQ129" s="234"/>
      <c r="IR129" s="234"/>
      <c r="IS129" s="234"/>
      <c r="IT129" s="234"/>
      <c r="IU129" s="234"/>
      <c r="IV129" s="234"/>
    </row>
    <row r="130" spans="1:256" ht="60" customHeight="1">
      <c r="A130" s="242" t="s">
        <v>995</v>
      </c>
      <c r="B130" s="204" t="s">
        <v>996</v>
      </c>
      <c r="C130" s="256">
        <f>C131</f>
        <v>2669800</v>
      </c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4"/>
      <c r="BX130" s="234"/>
      <c r="BY130" s="234"/>
      <c r="BZ130" s="234"/>
      <c r="CA130" s="234"/>
      <c r="CB130" s="234"/>
      <c r="CC130" s="234"/>
      <c r="CD130" s="234"/>
      <c r="CE130" s="234"/>
      <c r="CF130" s="234"/>
      <c r="CG130" s="234"/>
      <c r="CH130" s="234"/>
      <c r="CI130" s="234"/>
      <c r="CJ130" s="234"/>
      <c r="CK130" s="234"/>
      <c r="CL130" s="234"/>
      <c r="CM130" s="234"/>
      <c r="CN130" s="234"/>
      <c r="CO130" s="234"/>
      <c r="CP130" s="234"/>
      <c r="CQ130" s="234"/>
      <c r="CR130" s="234"/>
      <c r="CS130" s="234"/>
      <c r="CT130" s="234"/>
      <c r="CU130" s="234"/>
      <c r="CV130" s="234"/>
      <c r="CW130" s="234"/>
      <c r="CX130" s="234"/>
      <c r="CY130" s="234"/>
      <c r="CZ130" s="234"/>
      <c r="DA130" s="234"/>
      <c r="DB130" s="234"/>
      <c r="DC130" s="234"/>
      <c r="DD130" s="234"/>
      <c r="DE130" s="234"/>
      <c r="DF130" s="234"/>
      <c r="DG130" s="234"/>
      <c r="DH130" s="234"/>
      <c r="DI130" s="234"/>
      <c r="DJ130" s="234"/>
      <c r="DK130" s="234"/>
      <c r="DL130" s="234"/>
      <c r="DM130" s="234"/>
      <c r="DN130" s="234"/>
      <c r="DO130" s="234"/>
      <c r="DP130" s="234"/>
      <c r="DQ130" s="234"/>
      <c r="DR130" s="234"/>
      <c r="DS130" s="234"/>
      <c r="DT130" s="234"/>
      <c r="DU130" s="234"/>
      <c r="DV130" s="234"/>
      <c r="DW130" s="234"/>
      <c r="DX130" s="234"/>
      <c r="DY130" s="234"/>
      <c r="DZ130" s="234"/>
      <c r="EA130" s="234"/>
      <c r="EB130" s="234"/>
      <c r="EC130" s="234"/>
      <c r="ED130" s="234"/>
      <c r="EE130" s="234"/>
      <c r="EF130" s="234"/>
      <c r="EG130" s="234"/>
      <c r="EH130" s="234"/>
      <c r="EI130" s="234"/>
      <c r="EJ130" s="234"/>
      <c r="EK130" s="234"/>
      <c r="EL130" s="234"/>
      <c r="EM130" s="234"/>
      <c r="EN130" s="234"/>
      <c r="EO130" s="234"/>
      <c r="EP130" s="234"/>
      <c r="EQ130" s="234"/>
      <c r="ER130" s="234"/>
      <c r="ES130" s="234"/>
      <c r="ET130" s="234"/>
      <c r="EU130" s="234"/>
      <c r="EV130" s="234"/>
      <c r="EW130" s="234"/>
      <c r="EX130" s="234"/>
      <c r="EY130" s="234"/>
      <c r="EZ130" s="234"/>
      <c r="FA130" s="234"/>
      <c r="FB130" s="234"/>
      <c r="FC130" s="234"/>
      <c r="FD130" s="234"/>
      <c r="FE130" s="234"/>
      <c r="FF130" s="234"/>
      <c r="FG130" s="234"/>
      <c r="FH130" s="234"/>
      <c r="FI130" s="234"/>
      <c r="FJ130" s="234"/>
      <c r="FK130" s="234"/>
      <c r="FL130" s="234"/>
      <c r="FM130" s="234"/>
      <c r="FN130" s="234"/>
      <c r="FO130" s="234"/>
      <c r="FP130" s="234"/>
      <c r="FQ130" s="234"/>
      <c r="FR130" s="234"/>
      <c r="FS130" s="234"/>
      <c r="FT130" s="234"/>
      <c r="FU130" s="234"/>
      <c r="FV130" s="234"/>
      <c r="FW130" s="234"/>
      <c r="FX130" s="234"/>
      <c r="FY130" s="234"/>
      <c r="FZ130" s="234"/>
      <c r="GA130" s="234"/>
      <c r="GB130" s="234"/>
      <c r="GC130" s="234"/>
      <c r="GD130" s="234"/>
      <c r="GE130" s="234"/>
      <c r="GF130" s="234"/>
      <c r="GG130" s="234"/>
      <c r="GH130" s="234"/>
      <c r="GI130" s="234"/>
      <c r="GJ130" s="234"/>
      <c r="GK130" s="234"/>
      <c r="GL130" s="234"/>
      <c r="GM130" s="234"/>
      <c r="GN130" s="234"/>
      <c r="GO130" s="234"/>
      <c r="GP130" s="234"/>
      <c r="GQ130" s="234"/>
      <c r="GR130" s="234"/>
      <c r="GS130" s="234"/>
      <c r="GT130" s="234"/>
      <c r="GU130" s="234"/>
      <c r="GV130" s="234"/>
      <c r="GW130" s="234"/>
      <c r="GX130" s="234"/>
      <c r="GY130" s="234"/>
      <c r="GZ130" s="234"/>
      <c r="HA130" s="234"/>
      <c r="HB130" s="234"/>
      <c r="HC130" s="234"/>
      <c r="HD130" s="234"/>
      <c r="HE130" s="234"/>
      <c r="HF130" s="234"/>
      <c r="HG130" s="234"/>
      <c r="HH130" s="234"/>
      <c r="HI130" s="234"/>
      <c r="HJ130" s="234"/>
      <c r="HK130" s="234"/>
      <c r="HL130" s="234"/>
      <c r="HM130" s="234"/>
      <c r="HN130" s="234"/>
      <c r="HO130" s="234"/>
      <c r="HP130" s="234"/>
      <c r="HQ130" s="234"/>
      <c r="HR130" s="234"/>
      <c r="HS130" s="234"/>
      <c r="HT130" s="234"/>
      <c r="HU130" s="234"/>
      <c r="HV130" s="234"/>
      <c r="HW130" s="234"/>
      <c r="HX130" s="234"/>
      <c r="HY130" s="234"/>
      <c r="HZ130" s="234"/>
      <c r="IA130" s="234"/>
      <c r="IB130" s="234"/>
      <c r="IC130" s="234"/>
      <c r="ID130" s="234"/>
      <c r="IE130" s="234"/>
      <c r="IF130" s="234"/>
      <c r="IG130" s="234"/>
      <c r="IH130" s="234"/>
      <c r="II130" s="234"/>
      <c r="IJ130" s="234"/>
      <c r="IK130" s="234"/>
      <c r="IL130" s="234"/>
      <c r="IM130" s="234"/>
      <c r="IN130" s="234"/>
      <c r="IO130" s="234"/>
      <c r="IP130" s="234"/>
      <c r="IQ130" s="234"/>
      <c r="IR130" s="234"/>
      <c r="IS130" s="234"/>
      <c r="IT130" s="234"/>
      <c r="IU130" s="234"/>
      <c r="IV130" s="234"/>
    </row>
    <row r="131" spans="1:256" ht="49.5" customHeight="1">
      <c r="A131" s="243" t="s">
        <v>997</v>
      </c>
      <c r="B131" s="201" t="s">
        <v>730</v>
      </c>
      <c r="C131" s="257">
        <f>2131000+538800</f>
        <v>2669800</v>
      </c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4"/>
      <c r="BW131" s="234"/>
      <c r="BX131" s="234"/>
      <c r="BY131" s="234"/>
      <c r="BZ131" s="234"/>
      <c r="CA131" s="234"/>
      <c r="CB131" s="234"/>
      <c r="CC131" s="234"/>
      <c r="CD131" s="234"/>
      <c r="CE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  <c r="DA131" s="234"/>
      <c r="DB131" s="234"/>
      <c r="DC131" s="234"/>
      <c r="DD131" s="234"/>
      <c r="DE131" s="234"/>
      <c r="DF131" s="234"/>
      <c r="DG131" s="234"/>
      <c r="DH131" s="234"/>
      <c r="DI131" s="234"/>
      <c r="DJ131" s="234"/>
      <c r="DK131" s="234"/>
      <c r="DL131" s="234"/>
      <c r="DM131" s="234"/>
      <c r="DN131" s="234"/>
      <c r="DO131" s="234"/>
      <c r="DP131" s="234"/>
      <c r="DQ131" s="234"/>
      <c r="DR131" s="234"/>
      <c r="DS131" s="234"/>
      <c r="DT131" s="234"/>
      <c r="DU131" s="234"/>
      <c r="DV131" s="234"/>
      <c r="DW131" s="234"/>
      <c r="DX131" s="234"/>
      <c r="DY131" s="234"/>
      <c r="DZ131" s="234"/>
      <c r="EA131" s="234"/>
      <c r="EB131" s="234"/>
      <c r="EC131" s="234"/>
      <c r="ED131" s="234"/>
      <c r="EE131" s="234"/>
      <c r="EF131" s="234"/>
      <c r="EG131" s="234"/>
      <c r="EH131" s="234"/>
      <c r="EI131" s="234"/>
      <c r="EJ131" s="234"/>
      <c r="EK131" s="234"/>
      <c r="EL131" s="234"/>
      <c r="EM131" s="234"/>
      <c r="EN131" s="234"/>
      <c r="EO131" s="234"/>
      <c r="EP131" s="234"/>
      <c r="EQ131" s="234"/>
      <c r="ER131" s="234"/>
      <c r="ES131" s="234"/>
      <c r="ET131" s="234"/>
      <c r="EU131" s="234"/>
      <c r="EV131" s="234"/>
      <c r="EW131" s="234"/>
      <c r="EX131" s="234"/>
      <c r="EY131" s="234"/>
      <c r="EZ131" s="234"/>
      <c r="FA131" s="234"/>
      <c r="FB131" s="234"/>
      <c r="FC131" s="234"/>
      <c r="FD131" s="234"/>
      <c r="FE131" s="234"/>
      <c r="FF131" s="234"/>
      <c r="FG131" s="234"/>
      <c r="FH131" s="234"/>
      <c r="FI131" s="234"/>
      <c r="FJ131" s="234"/>
      <c r="FK131" s="234"/>
      <c r="FL131" s="234"/>
      <c r="FM131" s="234"/>
      <c r="FN131" s="234"/>
      <c r="FO131" s="234"/>
      <c r="FP131" s="234"/>
      <c r="FQ131" s="234"/>
      <c r="FR131" s="234"/>
      <c r="FS131" s="234"/>
      <c r="FT131" s="234"/>
      <c r="FU131" s="234"/>
      <c r="FV131" s="234"/>
      <c r="FW131" s="234"/>
      <c r="FX131" s="234"/>
      <c r="FY131" s="234"/>
      <c r="FZ131" s="234"/>
      <c r="GA131" s="234"/>
      <c r="GB131" s="234"/>
      <c r="GC131" s="234"/>
      <c r="GD131" s="234"/>
      <c r="GE131" s="234"/>
      <c r="GF131" s="234"/>
      <c r="GG131" s="234"/>
      <c r="GH131" s="234"/>
      <c r="GI131" s="234"/>
      <c r="GJ131" s="234"/>
      <c r="GK131" s="234"/>
      <c r="GL131" s="234"/>
      <c r="GM131" s="234"/>
      <c r="GN131" s="234"/>
      <c r="GO131" s="234"/>
      <c r="GP131" s="234"/>
      <c r="GQ131" s="234"/>
      <c r="GR131" s="234"/>
      <c r="GS131" s="234"/>
      <c r="GT131" s="234"/>
      <c r="GU131" s="234"/>
      <c r="GV131" s="234"/>
      <c r="GW131" s="234"/>
      <c r="GX131" s="234"/>
      <c r="GY131" s="234"/>
      <c r="GZ131" s="234"/>
      <c r="HA131" s="234"/>
      <c r="HB131" s="234"/>
      <c r="HC131" s="234"/>
      <c r="HD131" s="234"/>
      <c r="HE131" s="234"/>
      <c r="HF131" s="234"/>
      <c r="HG131" s="234"/>
      <c r="HH131" s="234"/>
      <c r="HI131" s="234"/>
      <c r="HJ131" s="234"/>
      <c r="HK131" s="234"/>
      <c r="HL131" s="234"/>
      <c r="HM131" s="234"/>
      <c r="HN131" s="234"/>
      <c r="HO131" s="234"/>
      <c r="HP131" s="234"/>
      <c r="HQ131" s="234"/>
      <c r="HR131" s="234"/>
      <c r="HS131" s="234"/>
      <c r="HT131" s="234"/>
      <c r="HU131" s="234"/>
      <c r="HV131" s="234"/>
      <c r="HW131" s="234"/>
      <c r="HX131" s="234"/>
      <c r="HY131" s="234"/>
      <c r="HZ131" s="234"/>
      <c r="IA131" s="234"/>
      <c r="IB131" s="234"/>
      <c r="IC131" s="234"/>
      <c r="ID131" s="234"/>
      <c r="IE131" s="234"/>
      <c r="IF131" s="234"/>
      <c r="IG131" s="234"/>
      <c r="IH131" s="234"/>
      <c r="II131" s="234"/>
      <c r="IJ131" s="234"/>
      <c r="IK131" s="234"/>
      <c r="IL131" s="234"/>
      <c r="IM131" s="234"/>
      <c r="IN131" s="234"/>
      <c r="IO131" s="234"/>
      <c r="IP131" s="234"/>
      <c r="IQ131" s="234"/>
      <c r="IR131" s="234"/>
      <c r="IS131" s="234"/>
      <c r="IT131" s="234"/>
      <c r="IU131" s="234"/>
      <c r="IV131" s="234"/>
    </row>
    <row r="132" spans="1:256" ht="16.5" customHeight="1">
      <c r="A132" s="242" t="s">
        <v>998</v>
      </c>
      <c r="B132" s="204" t="s">
        <v>999</v>
      </c>
      <c r="C132" s="256">
        <f>C133</f>
        <v>718109946.8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34"/>
      <c r="BW132" s="234"/>
      <c r="BX132" s="234"/>
      <c r="BY132" s="234"/>
      <c r="BZ132" s="234"/>
      <c r="CA132" s="234"/>
      <c r="CB132" s="234"/>
      <c r="CC132" s="234"/>
      <c r="CD132" s="234"/>
      <c r="CE132" s="234"/>
      <c r="CF132" s="234"/>
      <c r="CG132" s="234"/>
      <c r="CH132" s="234"/>
      <c r="CI132" s="234"/>
      <c r="CJ132" s="234"/>
      <c r="CK132" s="234"/>
      <c r="CL132" s="234"/>
      <c r="CM132" s="234"/>
      <c r="CN132" s="234"/>
      <c r="CO132" s="234"/>
      <c r="CP132" s="234"/>
      <c r="CQ132" s="234"/>
      <c r="CR132" s="234"/>
      <c r="CS132" s="234"/>
      <c r="CT132" s="234"/>
      <c r="CU132" s="234"/>
      <c r="CV132" s="234"/>
      <c r="CW132" s="234"/>
      <c r="CX132" s="234"/>
      <c r="CY132" s="234"/>
      <c r="CZ132" s="234"/>
      <c r="DA132" s="234"/>
      <c r="DB132" s="234"/>
      <c r="DC132" s="234"/>
      <c r="DD132" s="234"/>
      <c r="DE132" s="234"/>
      <c r="DF132" s="234"/>
      <c r="DG132" s="234"/>
      <c r="DH132" s="234"/>
      <c r="DI132" s="234"/>
      <c r="DJ132" s="234"/>
      <c r="DK132" s="234"/>
      <c r="DL132" s="234"/>
      <c r="DM132" s="234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34"/>
      <c r="EH132" s="234"/>
      <c r="EI132" s="234"/>
      <c r="EJ132" s="234"/>
      <c r="EK132" s="234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4"/>
      <c r="EZ132" s="234"/>
      <c r="FA132" s="234"/>
      <c r="FB132" s="234"/>
      <c r="FC132" s="234"/>
      <c r="FD132" s="234"/>
      <c r="FE132" s="234"/>
      <c r="FF132" s="234"/>
      <c r="FG132" s="234"/>
      <c r="FH132" s="234"/>
      <c r="FI132" s="234"/>
      <c r="FJ132" s="234"/>
      <c r="FK132" s="234"/>
      <c r="FL132" s="234"/>
      <c r="FM132" s="234"/>
      <c r="FN132" s="234"/>
      <c r="FO132" s="234"/>
      <c r="FP132" s="234"/>
      <c r="FQ132" s="234"/>
      <c r="FR132" s="234"/>
      <c r="FS132" s="234"/>
      <c r="FT132" s="234"/>
      <c r="FU132" s="234"/>
      <c r="FV132" s="234"/>
      <c r="FW132" s="234"/>
      <c r="FX132" s="234"/>
      <c r="FY132" s="234"/>
      <c r="FZ132" s="234"/>
      <c r="GA132" s="234"/>
      <c r="GB132" s="234"/>
      <c r="GC132" s="234"/>
      <c r="GD132" s="234"/>
      <c r="GE132" s="234"/>
      <c r="GF132" s="234"/>
      <c r="GG132" s="234"/>
      <c r="GH132" s="234"/>
      <c r="GI132" s="234"/>
      <c r="GJ132" s="234"/>
      <c r="GK132" s="234"/>
      <c r="GL132" s="234"/>
      <c r="GM132" s="234"/>
      <c r="GN132" s="234"/>
      <c r="GO132" s="234"/>
      <c r="GP132" s="234"/>
      <c r="GQ132" s="234"/>
      <c r="GR132" s="234"/>
      <c r="GS132" s="234"/>
      <c r="GT132" s="234"/>
      <c r="GU132" s="234"/>
      <c r="GV132" s="234"/>
      <c r="GW132" s="234"/>
      <c r="GX132" s="234"/>
      <c r="GY132" s="234"/>
      <c r="GZ132" s="234"/>
      <c r="HA132" s="234"/>
      <c r="HB132" s="234"/>
      <c r="HC132" s="234"/>
      <c r="HD132" s="234"/>
      <c r="HE132" s="234"/>
      <c r="HF132" s="234"/>
      <c r="HG132" s="234"/>
      <c r="HH132" s="234"/>
      <c r="HI132" s="234"/>
      <c r="HJ132" s="234"/>
      <c r="HK132" s="234"/>
      <c r="HL132" s="234"/>
      <c r="HM132" s="234"/>
      <c r="HN132" s="234"/>
      <c r="HO132" s="234"/>
      <c r="HP132" s="234"/>
      <c r="HQ132" s="234"/>
      <c r="HR132" s="234"/>
      <c r="HS132" s="234"/>
      <c r="HT132" s="234"/>
      <c r="HU132" s="234"/>
      <c r="HV132" s="234"/>
      <c r="HW132" s="234"/>
      <c r="HX132" s="234"/>
      <c r="HY132" s="234"/>
      <c r="HZ132" s="234"/>
      <c r="IA132" s="234"/>
      <c r="IB132" s="234"/>
      <c r="IC132" s="234"/>
      <c r="ID132" s="234"/>
      <c r="IE132" s="234"/>
      <c r="IF132" s="234"/>
      <c r="IG132" s="234"/>
      <c r="IH132" s="234"/>
      <c r="II132" s="234"/>
      <c r="IJ132" s="234"/>
      <c r="IK132" s="234"/>
      <c r="IL132" s="234"/>
      <c r="IM132" s="234"/>
      <c r="IN132" s="234"/>
      <c r="IO132" s="234"/>
      <c r="IP132" s="234"/>
      <c r="IQ132" s="234"/>
      <c r="IR132" s="234"/>
      <c r="IS132" s="234"/>
      <c r="IT132" s="234"/>
      <c r="IU132" s="234"/>
      <c r="IV132" s="234"/>
    </row>
    <row r="133" spans="1:256" ht="29.25" customHeight="1">
      <c r="A133" s="243" t="s">
        <v>1000</v>
      </c>
      <c r="B133" s="201" t="s">
        <v>785</v>
      </c>
      <c r="C133" s="257">
        <f>353038800+335745600+1321500+5286000+145200+765000+6000+13494200+1869400+756100+2700300+1038366.8+147100+314000+36200+3590760+17620-2162200</f>
        <v>718109946.8</v>
      </c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  <c r="BW133" s="234"/>
      <c r="BX133" s="234"/>
      <c r="BY133" s="234"/>
      <c r="BZ133" s="234"/>
      <c r="CA133" s="234"/>
      <c r="CB133" s="234"/>
      <c r="CC133" s="234"/>
      <c r="CD133" s="234"/>
      <c r="CE133" s="234"/>
      <c r="CF133" s="234"/>
      <c r="CG133" s="234"/>
      <c r="CH133" s="234"/>
      <c r="CI133" s="234"/>
      <c r="CJ133" s="234"/>
      <c r="CK133" s="234"/>
      <c r="CL133" s="234"/>
      <c r="CM133" s="234"/>
      <c r="CN133" s="234"/>
      <c r="CO133" s="234"/>
      <c r="CP133" s="234"/>
      <c r="CQ133" s="234"/>
      <c r="CR133" s="234"/>
      <c r="CS133" s="234"/>
      <c r="CT133" s="234"/>
      <c r="CU133" s="234"/>
      <c r="CV133" s="234"/>
      <c r="CW133" s="234"/>
      <c r="CX133" s="234"/>
      <c r="CY133" s="234"/>
      <c r="CZ133" s="234"/>
      <c r="DA133" s="234"/>
      <c r="DB133" s="234"/>
      <c r="DC133" s="234"/>
      <c r="DD133" s="234"/>
      <c r="DE133" s="234"/>
      <c r="DF133" s="234"/>
      <c r="DG133" s="234"/>
      <c r="DH133" s="234"/>
      <c r="DI133" s="234"/>
      <c r="DJ133" s="234"/>
      <c r="DK133" s="234"/>
      <c r="DL133" s="234"/>
      <c r="DM133" s="234"/>
      <c r="DN133" s="234"/>
      <c r="DO133" s="234"/>
      <c r="DP133" s="234"/>
      <c r="DQ133" s="234"/>
      <c r="DR133" s="234"/>
      <c r="DS133" s="234"/>
      <c r="DT133" s="234"/>
      <c r="DU133" s="234"/>
      <c r="DV133" s="234"/>
      <c r="DW133" s="234"/>
      <c r="DX133" s="234"/>
      <c r="DY133" s="234"/>
      <c r="DZ133" s="234"/>
      <c r="EA133" s="234"/>
      <c r="EB133" s="234"/>
      <c r="EC133" s="234"/>
      <c r="ED133" s="234"/>
      <c r="EE133" s="234"/>
      <c r="EF133" s="234"/>
      <c r="EG133" s="234"/>
      <c r="EH133" s="234"/>
      <c r="EI133" s="234"/>
      <c r="EJ133" s="234"/>
      <c r="EK133" s="234"/>
      <c r="EL133" s="234"/>
      <c r="EM133" s="234"/>
      <c r="EN133" s="234"/>
      <c r="EO133" s="234"/>
      <c r="EP133" s="234"/>
      <c r="EQ133" s="234"/>
      <c r="ER133" s="234"/>
      <c r="ES133" s="234"/>
      <c r="ET133" s="234"/>
      <c r="EU133" s="234"/>
      <c r="EV133" s="234"/>
      <c r="EW133" s="234"/>
      <c r="EX133" s="234"/>
      <c r="EY133" s="234"/>
      <c r="EZ133" s="234"/>
      <c r="FA133" s="234"/>
      <c r="FB133" s="234"/>
      <c r="FC133" s="234"/>
      <c r="FD133" s="234"/>
      <c r="FE133" s="234"/>
      <c r="FF133" s="234"/>
      <c r="FG133" s="234"/>
      <c r="FH133" s="234"/>
      <c r="FI133" s="234"/>
      <c r="FJ133" s="234"/>
      <c r="FK133" s="234"/>
      <c r="FL133" s="234"/>
      <c r="FM133" s="234"/>
      <c r="FN133" s="234"/>
      <c r="FO133" s="234"/>
      <c r="FP133" s="234"/>
      <c r="FQ133" s="234"/>
      <c r="FR133" s="234"/>
      <c r="FS133" s="234"/>
      <c r="FT133" s="234"/>
      <c r="FU133" s="234"/>
      <c r="FV133" s="234"/>
      <c r="FW133" s="234"/>
      <c r="FX133" s="234"/>
      <c r="FY133" s="234"/>
      <c r="FZ133" s="234"/>
      <c r="GA133" s="234"/>
      <c r="GB133" s="234"/>
      <c r="GC133" s="234"/>
      <c r="GD133" s="234"/>
      <c r="GE133" s="234"/>
      <c r="GF133" s="234"/>
      <c r="GG133" s="234"/>
      <c r="GH133" s="234"/>
      <c r="GI133" s="234"/>
      <c r="GJ133" s="234"/>
      <c r="GK133" s="234"/>
      <c r="GL133" s="234"/>
      <c r="GM133" s="234"/>
      <c r="GN133" s="234"/>
      <c r="GO133" s="234"/>
      <c r="GP133" s="234"/>
      <c r="GQ133" s="234"/>
      <c r="GR133" s="234"/>
      <c r="GS133" s="234"/>
      <c r="GT133" s="234"/>
      <c r="GU133" s="234"/>
      <c r="GV133" s="234"/>
      <c r="GW133" s="234"/>
      <c r="GX133" s="234"/>
      <c r="GY133" s="234"/>
      <c r="GZ133" s="234"/>
      <c r="HA133" s="234"/>
      <c r="HB133" s="234"/>
      <c r="HC133" s="234"/>
      <c r="HD133" s="234"/>
      <c r="HE133" s="234"/>
      <c r="HF133" s="234"/>
      <c r="HG133" s="234"/>
      <c r="HH133" s="234"/>
      <c r="HI133" s="234"/>
      <c r="HJ133" s="234"/>
      <c r="HK133" s="234"/>
      <c r="HL133" s="234"/>
      <c r="HM133" s="234"/>
      <c r="HN133" s="234"/>
      <c r="HO133" s="234"/>
      <c r="HP133" s="234"/>
      <c r="HQ133" s="234"/>
      <c r="HR133" s="234"/>
      <c r="HS133" s="234"/>
      <c r="HT133" s="234"/>
      <c r="HU133" s="234"/>
      <c r="HV133" s="234"/>
      <c r="HW133" s="234"/>
      <c r="HX133" s="234"/>
      <c r="HY133" s="234"/>
      <c r="HZ133" s="234"/>
      <c r="IA133" s="234"/>
      <c r="IB133" s="234"/>
      <c r="IC133" s="234"/>
      <c r="ID133" s="234"/>
      <c r="IE133" s="234"/>
      <c r="IF133" s="234"/>
      <c r="IG133" s="234"/>
      <c r="IH133" s="234"/>
      <c r="II133" s="234"/>
      <c r="IJ133" s="234"/>
      <c r="IK133" s="234"/>
      <c r="IL133" s="234"/>
      <c r="IM133" s="234"/>
      <c r="IN133" s="234"/>
      <c r="IO133" s="234"/>
      <c r="IP133" s="234"/>
      <c r="IQ133" s="234"/>
      <c r="IR133" s="234"/>
      <c r="IS133" s="234"/>
      <c r="IT133" s="234"/>
      <c r="IU133" s="234"/>
      <c r="IV133" s="234"/>
    </row>
    <row r="134" spans="1:256" ht="16.5" customHeight="1" hidden="1">
      <c r="A134" s="233" t="s">
        <v>1001</v>
      </c>
      <c r="B134" s="145" t="s">
        <v>1002</v>
      </c>
      <c r="C134" s="247">
        <f>C135</f>
        <v>0</v>
      </c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4"/>
      <c r="BX134" s="234"/>
      <c r="BY134" s="234"/>
      <c r="BZ134" s="234"/>
      <c r="CA134" s="234"/>
      <c r="CB134" s="234"/>
      <c r="CC134" s="234"/>
      <c r="CD134" s="234"/>
      <c r="CE134" s="234"/>
      <c r="CF134" s="234"/>
      <c r="CG134" s="234"/>
      <c r="CH134" s="234"/>
      <c r="CI134" s="234"/>
      <c r="CJ134" s="234"/>
      <c r="CK134" s="234"/>
      <c r="CL134" s="234"/>
      <c r="CM134" s="234"/>
      <c r="CN134" s="234"/>
      <c r="CO134" s="234"/>
      <c r="CP134" s="234"/>
      <c r="CQ134" s="234"/>
      <c r="CR134" s="234"/>
      <c r="CS134" s="234"/>
      <c r="CT134" s="234"/>
      <c r="CU134" s="234"/>
      <c r="CV134" s="234"/>
      <c r="CW134" s="234"/>
      <c r="CX134" s="234"/>
      <c r="CY134" s="234"/>
      <c r="CZ134" s="234"/>
      <c r="DA134" s="234"/>
      <c r="DB134" s="234"/>
      <c r="DC134" s="234"/>
      <c r="DD134" s="234"/>
      <c r="DE134" s="234"/>
      <c r="DF134" s="234"/>
      <c r="DG134" s="234"/>
      <c r="DH134" s="234"/>
      <c r="DI134" s="234"/>
      <c r="DJ134" s="234"/>
      <c r="DK134" s="234"/>
      <c r="DL134" s="234"/>
      <c r="DM134" s="234"/>
      <c r="DN134" s="234"/>
      <c r="DO134" s="234"/>
      <c r="DP134" s="234"/>
      <c r="DQ134" s="234"/>
      <c r="DR134" s="234"/>
      <c r="DS134" s="234"/>
      <c r="DT134" s="234"/>
      <c r="DU134" s="234"/>
      <c r="DV134" s="234"/>
      <c r="DW134" s="234"/>
      <c r="DX134" s="234"/>
      <c r="DY134" s="234"/>
      <c r="DZ134" s="234"/>
      <c r="EA134" s="234"/>
      <c r="EB134" s="234"/>
      <c r="EC134" s="234"/>
      <c r="ED134" s="234"/>
      <c r="EE134" s="234"/>
      <c r="EF134" s="234"/>
      <c r="EG134" s="234"/>
      <c r="EH134" s="234"/>
      <c r="EI134" s="234"/>
      <c r="EJ134" s="234"/>
      <c r="EK134" s="234"/>
      <c r="EL134" s="234"/>
      <c r="EM134" s="234"/>
      <c r="EN134" s="234"/>
      <c r="EO134" s="234"/>
      <c r="EP134" s="234"/>
      <c r="EQ134" s="234"/>
      <c r="ER134" s="234"/>
      <c r="ES134" s="234"/>
      <c r="ET134" s="234"/>
      <c r="EU134" s="234"/>
      <c r="EV134" s="234"/>
      <c r="EW134" s="234"/>
      <c r="EX134" s="234"/>
      <c r="EY134" s="234"/>
      <c r="EZ134" s="234"/>
      <c r="FA134" s="234"/>
      <c r="FB134" s="234"/>
      <c r="FC134" s="234"/>
      <c r="FD134" s="234"/>
      <c r="FE134" s="234"/>
      <c r="FF134" s="234"/>
      <c r="FG134" s="234"/>
      <c r="FH134" s="234"/>
      <c r="FI134" s="234"/>
      <c r="FJ134" s="234"/>
      <c r="FK134" s="234"/>
      <c r="FL134" s="234"/>
      <c r="FM134" s="234"/>
      <c r="FN134" s="234"/>
      <c r="FO134" s="234"/>
      <c r="FP134" s="234"/>
      <c r="FQ134" s="234"/>
      <c r="FR134" s="234"/>
      <c r="FS134" s="234"/>
      <c r="FT134" s="234"/>
      <c r="FU134" s="234"/>
      <c r="FV134" s="234"/>
      <c r="FW134" s="234"/>
      <c r="FX134" s="234"/>
      <c r="FY134" s="234"/>
      <c r="FZ134" s="234"/>
      <c r="GA134" s="234"/>
      <c r="GB134" s="234"/>
      <c r="GC134" s="234"/>
      <c r="GD134" s="234"/>
      <c r="GE134" s="234"/>
      <c r="GF134" s="234"/>
      <c r="GG134" s="234"/>
      <c r="GH134" s="234"/>
      <c r="GI134" s="234"/>
      <c r="GJ134" s="234"/>
      <c r="GK134" s="234"/>
      <c r="GL134" s="234"/>
      <c r="GM134" s="234"/>
      <c r="GN134" s="234"/>
      <c r="GO134" s="234"/>
      <c r="GP134" s="234"/>
      <c r="GQ134" s="234"/>
      <c r="GR134" s="234"/>
      <c r="GS134" s="234"/>
      <c r="GT134" s="234"/>
      <c r="GU134" s="234"/>
      <c r="GV134" s="234"/>
      <c r="GW134" s="234"/>
      <c r="GX134" s="234"/>
      <c r="GY134" s="234"/>
      <c r="GZ134" s="234"/>
      <c r="HA134" s="234"/>
      <c r="HB134" s="234"/>
      <c r="HC134" s="234"/>
      <c r="HD134" s="234"/>
      <c r="HE134" s="234"/>
      <c r="HF134" s="234"/>
      <c r="HG134" s="234"/>
      <c r="HH134" s="234"/>
      <c r="HI134" s="234"/>
      <c r="HJ134" s="234"/>
      <c r="HK134" s="234"/>
      <c r="HL134" s="234"/>
      <c r="HM134" s="234"/>
      <c r="HN134" s="234"/>
      <c r="HO134" s="234"/>
      <c r="HP134" s="234"/>
      <c r="HQ134" s="234"/>
      <c r="HR134" s="234"/>
      <c r="HS134" s="234"/>
      <c r="HT134" s="234"/>
      <c r="HU134" s="234"/>
      <c r="HV134" s="234"/>
      <c r="HW134" s="234"/>
      <c r="HX134" s="234"/>
      <c r="HY134" s="234"/>
      <c r="HZ134" s="234"/>
      <c r="IA134" s="234"/>
      <c r="IB134" s="234"/>
      <c r="IC134" s="234"/>
      <c r="ID134" s="234"/>
      <c r="IE134" s="234"/>
      <c r="IF134" s="234"/>
      <c r="IG134" s="234"/>
      <c r="IH134" s="234"/>
      <c r="II134" s="234"/>
      <c r="IJ134" s="234"/>
      <c r="IK134" s="234"/>
      <c r="IL134" s="234"/>
      <c r="IM134" s="234"/>
      <c r="IN134" s="234"/>
      <c r="IO134" s="234"/>
      <c r="IP134" s="234"/>
      <c r="IQ134" s="234"/>
      <c r="IR134" s="234"/>
      <c r="IS134" s="234"/>
      <c r="IT134" s="234"/>
      <c r="IU134" s="234"/>
      <c r="IV134" s="234"/>
    </row>
    <row r="135" spans="1:256" ht="88.5" customHeight="1" hidden="1">
      <c r="A135" s="242" t="s">
        <v>1003</v>
      </c>
      <c r="B135" s="204" t="s">
        <v>1004</v>
      </c>
      <c r="C135" s="259">
        <f>C136</f>
        <v>0</v>
      </c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34"/>
      <c r="BN135" s="234"/>
      <c r="BO135" s="234"/>
      <c r="BP135" s="234"/>
      <c r="BQ135" s="234"/>
      <c r="BR135" s="234"/>
      <c r="BS135" s="234"/>
      <c r="BT135" s="234"/>
      <c r="BU135" s="234"/>
      <c r="BV135" s="234"/>
      <c r="BW135" s="234"/>
      <c r="BX135" s="234"/>
      <c r="BY135" s="234"/>
      <c r="BZ135" s="234"/>
      <c r="CA135" s="234"/>
      <c r="CB135" s="234"/>
      <c r="CC135" s="234"/>
      <c r="CD135" s="234"/>
      <c r="CE135" s="234"/>
      <c r="CF135" s="234"/>
      <c r="CG135" s="234"/>
      <c r="CH135" s="234"/>
      <c r="CI135" s="234"/>
      <c r="CJ135" s="234"/>
      <c r="CK135" s="234"/>
      <c r="CL135" s="234"/>
      <c r="CM135" s="234"/>
      <c r="CN135" s="234"/>
      <c r="CO135" s="234"/>
      <c r="CP135" s="234"/>
      <c r="CQ135" s="234"/>
      <c r="CR135" s="234"/>
      <c r="CS135" s="234"/>
      <c r="CT135" s="234"/>
      <c r="CU135" s="234"/>
      <c r="CV135" s="234"/>
      <c r="CW135" s="234"/>
      <c r="CX135" s="234"/>
      <c r="CY135" s="234"/>
      <c r="CZ135" s="234"/>
      <c r="DA135" s="234"/>
      <c r="DB135" s="234"/>
      <c r="DC135" s="234"/>
      <c r="DD135" s="234"/>
      <c r="DE135" s="234"/>
      <c r="DF135" s="234"/>
      <c r="DG135" s="234"/>
      <c r="DH135" s="234"/>
      <c r="DI135" s="234"/>
      <c r="DJ135" s="234"/>
      <c r="DK135" s="234"/>
      <c r="DL135" s="234"/>
      <c r="DM135" s="234"/>
      <c r="DN135" s="234"/>
      <c r="DO135" s="234"/>
      <c r="DP135" s="234"/>
      <c r="DQ135" s="234"/>
      <c r="DR135" s="234"/>
      <c r="DS135" s="234"/>
      <c r="DT135" s="234"/>
      <c r="DU135" s="234"/>
      <c r="DV135" s="234"/>
      <c r="DW135" s="234"/>
      <c r="DX135" s="234"/>
      <c r="DY135" s="234"/>
      <c r="DZ135" s="234"/>
      <c r="EA135" s="234"/>
      <c r="EB135" s="234"/>
      <c r="EC135" s="234"/>
      <c r="ED135" s="234"/>
      <c r="EE135" s="234"/>
      <c r="EF135" s="234"/>
      <c r="EG135" s="234"/>
      <c r="EH135" s="234"/>
      <c r="EI135" s="234"/>
      <c r="EJ135" s="234"/>
      <c r="EK135" s="234"/>
      <c r="EL135" s="234"/>
      <c r="EM135" s="234"/>
      <c r="EN135" s="234"/>
      <c r="EO135" s="234"/>
      <c r="EP135" s="234"/>
      <c r="EQ135" s="234"/>
      <c r="ER135" s="234"/>
      <c r="ES135" s="234"/>
      <c r="ET135" s="234"/>
      <c r="EU135" s="234"/>
      <c r="EV135" s="234"/>
      <c r="EW135" s="234"/>
      <c r="EX135" s="234"/>
      <c r="EY135" s="234"/>
      <c r="EZ135" s="234"/>
      <c r="FA135" s="234"/>
      <c r="FB135" s="234"/>
      <c r="FC135" s="234"/>
      <c r="FD135" s="234"/>
      <c r="FE135" s="234"/>
      <c r="FF135" s="234"/>
      <c r="FG135" s="234"/>
      <c r="FH135" s="234"/>
      <c r="FI135" s="234"/>
      <c r="FJ135" s="234"/>
      <c r="FK135" s="234"/>
      <c r="FL135" s="234"/>
      <c r="FM135" s="234"/>
      <c r="FN135" s="234"/>
      <c r="FO135" s="234"/>
      <c r="FP135" s="234"/>
      <c r="FQ135" s="234"/>
      <c r="FR135" s="234"/>
      <c r="FS135" s="234"/>
      <c r="FT135" s="234"/>
      <c r="FU135" s="234"/>
      <c r="FV135" s="234"/>
      <c r="FW135" s="234"/>
      <c r="FX135" s="234"/>
      <c r="FY135" s="234"/>
      <c r="FZ135" s="234"/>
      <c r="GA135" s="234"/>
      <c r="GB135" s="234"/>
      <c r="GC135" s="234"/>
      <c r="GD135" s="234"/>
      <c r="GE135" s="234"/>
      <c r="GF135" s="234"/>
      <c r="GG135" s="234"/>
      <c r="GH135" s="234"/>
      <c r="GI135" s="234"/>
      <c r="GJ135" s="234"/>
      <c r="GK135" s="234"/>
      <c r="GL135" s="234"/>
      <c r="GM135" s="234"/>
      <c r="GN135" s="234"/>
      <c r="GO135" s="234"/>
      <c r="GP135" s="234"/>
      <c r="GQ135" s="234"/>
      <c r="GR135" s="234"/>
      <c r="GS135" s="234"/>
      <c r="GT135" s="234"/>
      <c r="GU135" s="234"/>
      <c r="GV135" s="234"/>
      <c r="GW135" s="234"/>
      <c r="GX135" s="234"/>
      <c r="GY135" s="234"/>
      <c r="GZ135" s="234"/>
      <c r="HA135" s="234"/>
      <c r="HB135" s="234"/>
      <c r="HC135" s="234"/>
      <c r="HD135" s="234"/>
      <c r="HE135" s="234"/>
      <c r="HF135" s="234"/>
      <c r="HG135" s="234"/>
      <c r="HH135" s="234"/>
      <c r="HI135" s="234"/>
      <c r="HJ135" s="234"/>
      <c r="HK135" s="234"/>
      <c r="HL135" s="234"/>
      <c r="HM135" s="234"/>
      <c r="HN135" s="234"/>
      <c r="HO135" s="234"/>
      <c r="HP135" s="234"/>
      <c r="HQ135" s="234"/>
      <c r="HR135" s="234"/>
      <c r="HS135" s="234"/>
      <c r="HT135" s="234"/>
      <c r="HU135" s="234"/>
      <c r="HV135" s="234"/>
      <c r="HW135" s="234"/>
      <c r="HX135" s="234"/>
      <c r="HY135" s="234"/>
      <c r="HZ135" s="234"/>
      <c r="IA135" s="234"/>
      <c r="IB135" s="234"/>
      <c r="IC135" s="234"/>
      <c r="ID135" s="234"/>
      <c r="IE135" s="234"/>
      <c r="IF135" s="234"/>
      <c r="IG135" s="234"/>
      <c r="IH135" s="234"/>
      <c r="II135" s="234"/>
      <c r="IJ135" s="234"/>
      <c r="IK135" s="234"/>
      <c r="IL135" s="234"/>
      <c r="IM135" s="234"/>
      <c r="IN135" s="234"/>
      <c r="IO135" s="234"/>
      <c r="IP135" s="234"/>
      <c r="IQ135" s="234"/>
      <c r="IR135" s="234"/>
      <c r="IS135" s="234"/>
      <c r="IT135" s="234"/>
      <c r="IU135" s="234"/>
      <c r="IV135" s="234"/>
    </row>
    <row r="136" spans="1:256" ht="75" customHeight="1" hidden="1">
      <c r="A136" s="243" t="s">
        <v>1005</v>
      </c>
      <c r="B136" s="205" t="s">
        <v>1006</v>
      </c>
      <c r="C136" s="257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  <c r="BV136" s="234"/>
      <c r="BW136" s="234"/>
      <c r="BX136" s="234"/>
      <c r="BY136" s="234"/>
      <c r="BZ136" s="234"/>
      <c r="CA136" s="234"/>
      <c r="CB136" s="234"/>
      <c r="CC136" s="234"/>
      <c r="CD136" s="234"/>
      <c r="CE136" s="234"/>
      <c r="CF136" s="234"/>
      <c r="CG136" s="234"/>
      <c r="CH136" s="234"/>
      <c r="CI136" s="234"/>
      <c r="CJ136" s="234"/>
      <c r="CK136" s="234"/>
      <c r="CL136" s="234"/>
      <c r="CM136" s="234"/>
      <c r="CN136" s="234"/>
      <c r="CO136" s="234"/>
      <c r="CP136" s="234"/>
      <c r="CQ136" s="234"/>
      <c r="CR136" s="234"/>
      <c r="CS136" s="234"/>
      <c r="CT136" s="234"/>
      <c r="CU136" s="234"/>
      <c r="CV136" s="234"/>
      <c r="CW136" s="234"/>
      <c r="CX136" s="234"/>
      <c r="CY136" s="234"/>
      <c r="CZ136" s="234"/>
      <c r="DA136" s="234"/>
      <c r="DB136" s="234"/>
      <c r="DC136" s="234"/>
      <c r="DD136" s="234"/>
      <c r="DE136" s="234"/>
      <c r="DF136" s="234"/>
      <c r="DG136" s="234"/>
      <c r="DH136" s="234"/>
      <c r="DI136" s="234"/>
      <c r="DJ136" s="234"/>
      <c r="DK136" s="234"/>
      <c r="DL136" s="234"/>
      <c r="DM136" s="234"/>
      <c r="DN136" s="234"/>
      <c r="DO136" s="234"/>
      <c r="DP136" s="234"/>
      <c r="DQ136" s="234"/>
      <c r="DR136" s="234"/>
      <c r="DS136" s="234"/>
      <c r="DT136" s="234"/>
      <c r="DU136" s="234"/>
      <c r="DV136" s="234"/>
      <c r="DW136" s="234"/>
      <c r="DX136" s="234"/>
      <c r="DY136" s="234"/>
      <c r="DZ136" s="234"/>
      <c r="EA136" s="234"/>
      <c r="EB136" s="234"/>
      <c r="EC136" s="234"/>
      <c r="ED136" s="234"/>
      <c r="EE136" s="234"/>
      <c r="EF136" s="234"/>
      <c r="EG136" s="234"/>
      <c r="EH136" s="234"/>
      <c r="EI136" s="234"/>
      <c r="EJ136" s="234"/>
      <c r="EK136" s="234"/>
      <c r="EL136" s="234"/>
      <c r="EM136" s="234"/>
      <c r="EN136" s="234"/>
      <c r="EO136" s="234"/>
      <c r="EP136" s="234"/>
      <c r="EQ136" s="234"/>
      <c r="ER136" s="234"/>
      <c r="ES136" s="234"/>
      <c r="ET136" s="234"/>
      <c r="EU136" s="234"/>
      <c r="EV136" s="234"/>
      <c r="EW136" s="234"/>
      <c r="EX136" s="234"/>
      <c r="EY136" s="234"/>
      <c r="EZ136" s="234"/>
      <c r="FA136" s="234"/>
      <c r="FB136" s="234"/>
      <c r="FC136" s="234"/>
      <c r="FD136" s="234"/>
      <c r="FE136" s="234"/>
      <c r="FF136" s="234"/>
      <c r="FG136" s="234"/>
      <c r="FH136" s="234"/>
      <c r="FI136" s="234"/>
      <c r="FJ136" s="234"/>
      <c r="FK136" s="234"/>
      <c r="FL136" s="234"/>
      <c r="FM136" s="234"/>
      <c r="FN136" s="234"/>
      <c r="FO136" s="234"/>
      <c r="FP136" s="234"/>
      <c r="FQ136" s="234"/>
      <c r="FR136" s="234"/>
      <c r="FS136" s="234"/>
      <c r="FT136" s="234"/>
      <c r="FU136" s="234"/>
      <c r="FV136" s="234"/>
      <c r="FW136" s="234"/>
      <c r="FX136" s="234"/>
      <c r="FY136" s="234"/>
      <c r="FZ136" s="234"/>
      <c r="GA136" s="234"/>
      <c r="GB136" s="234"/>
      <c r="GC136" s="234"/>
      <c r="GD136" s="234"/>
      <c r="GE136" s="234"/>
      <c r="GF136" s="234"/>
      <c r="GG136" s="234"/>
      <c r="GH136" s="234"/>
      <c r="GI136" s="234"/>
      <c r="GJ136" s="234"/>
      <c r="GK136" s="234"/>
      <c r="GL136" s="234"/>
      <c r="GM136" s="234"/>
      <c r="GN136" s="234"/>
      <c r="GO136" s="234"/>
      <c r="GP136" s="234"/>
      <c r="GQ136" s="234"/>
      <c r="GR136" s="234"/>
      <c r="GS136" s="234"/>
      <c r="GT136" s="234"/>
      <c r="GU136" s="234"/>
      <c r="GV136" s="234"/>
      <c r="GW136" s="234"/>
      <c r="GX136" s="234"/>
      <c r="GY136" s="234"/>
      <c r="GZ136" s="234"/>
      <c r="HA136" s="234"/>
      <c r="HB136" s="234"/>
      <c r="HC136" s="234"/>
      <c r="HD136" s="234"/>
      <c r="HE136" s="234"/>
      <c r="HF136" s="234"/>
      <c r="HG136" s="234"/>
      <c r="HH136" s="234"/>
      <c r="HI136" s="234"/>
      <c r="HJ136" s="234"/>
      <c r="HK136" s="234"/>
      <c r="HL136" s="234"/>
      <c r="HM136" s="234"/>
      <c r="HN136" s="234"/>
      <c r="HO136" s="234"/>
      <c r="HP136" s="234"/>
      <c r="HQ136" s="234"/>
      <c r="HR136" s="234"/>
      <c r="HS136" s="234"/>
      <c r="HT136" s="234"/>
      <c r="HU136" s="234"/>
      <c r="HV136" s="234"/>
      <c r="HW136" s="234"/>
      <c r="HX136" s="234"/>
      <c r="HY136" s="234"/>
      <c r="HZ136" s="234"/>
      <c r="IA136" s="234"/>
      <c r="IB136" s="234"/>
      <c r="IC136" s="234"/>
      <c r="ID136" s="234"/>
      <c r="IE136" s="234"/>
      <c r="IF136" s="234"/>
      <c r="IG136" s="234"/>
      <c r="IH136" s="234"/>
      <c r="II136" s="234"/>
      <c r="IJ136" s="234"/>
      <c r="IK136" s="234"/>
      <c r="IL136" s="234"/>
      <c r="IM136" s="234"/>
      <c r="IN136" s="234"/>
      <c r="IO136" s="234"/>
      <c r="IP136" s="234"/>
      <c r="IQ136" s="234"/>
      <c r="IR136" s="234"/>
      <c r="IS136" s="234"/>
      <c r="IT136" s="234"/>
      <c r="IU136" s="234"/>
      <c r="IV136" s="234"/>
    </row>
    <row r="137" spans="1:256" ht="16.5" customHeight="1">
      <c r="A137" s="305" t="s">
        <v>1007</v>
      </c>
      <c r="B137" s="305"/>
      <c r="C137" s="247">
        <f>C11+C107</f>
        <v>2288569942.7599998</v>
      </c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  <c r="BV137" s="234"/>
      <c r="BW137" s="234"/>
      <c r="BX137" s="234"/>
      <c r="BY137" s="234"/>
      <c r="BZ137" s="234"/>
      <c r="CA137" s="234"/>
      <c r="CB137" s="234"/>
      <c r="CC137" s="234"/>
      <c r="CD137" s="234"/>
      <c r="CE137" s="234"/>
      <c r="CF137" s="234"/>
      <c r="CG137" s="234"/>
      <c r="CH137" s="234"/>
      <c r="CI137" s="234"/>
      <c r="CJ137" s="234"/>
      <c r="CK137" s="234"/>
      <c r="CL137" s="234"/>
      <c r="CM137" s="234"/>
      <c r="CN137" s="234"/>
      <c r="CO137" s="234"/>
      <c r="CP137" s="234"/>
      <c r="CQ137" s="234"/>
      <c r="CR137" s="234"/>
      <c r="CS137" s="234"/>
      <c r="CT137" s="234"/>
      <c r="CU137" s="234"/>
      <c r="CV137" s="234"/>
      <c r="CW137" s="234"/>
      <c r="CX137" s="234"/>
      <c r="CY137" s="234"/>
      <c r="CZ137" s="234"/>
      <c r="DA137" s="234"/>
      <c r="DB137" s="234"/>
      <c r="DC137" s="234"/>
      <c r="DD137" s="234"/>
      <c r="DE137" s="234"/>
      <c r="DF137" s="234"/>
      <c r="DG137" s="234"/>
      <c r="DH137" s="234"/>
      <c r="DI137" s="234"/>
      <c r="DJ137" s="234"/>
      <c r="DK137" s="234"/>
      <c r="DL137" s="234"/>
      <c r="DM137" s="234"/>
      <c r="DN137" s="234"/>
      <c r="DO137" s="234"/>
      <c r="DP137" s="234"/>
      <c r="DQ137" s="234"/>
      <c r="DR137" s="234"/>
      <c r="DS137" s="234"/>
      <c r="DT137" s="234"/>
      <c r="DU137" s="234"/>
      <c r="DV137" s="234"/>
      <c r="DW137" s="234"/>
      <c r="DX137" s="234"/>
      <c r="DY137" s="234"/>
      <c r="DZ137" s="234"/>
      <c r="EA137" s="234"/>
      <c r="EB137" s="234"/>
      <c r="EC137" s="234"/>
      <c r="ED137" s="234"/>
      <c r="EE137" s="234"/>
      <c r="EF137" s="234"/>
      <c r="EG137" s="234"/>
      <c r="EH137" s="234"/>
      <c r="EI137" s="234"/>
      <c r="EJ137" s="234"/>
      <c r="EK137" s="234"/>
      <c r="EL137" s="234"/>
      <c r="EM137" s="234"/>
      <c r="EN137" s="234"/>
      <c r="EO137" s="234"/>
      <c r="EP137" s="234"/>
      <c r="EQ137" s="234"/>
      <c r="ER137" s="234"/>
      <c r="ES137" s="234"/>
      <c r="ET137" s="234"/>
      <c r="EU137" s="234"/>
      <c r="EV137" s="234"/>
      <c r="EW137" s="234"/>
      <c r="EX137" s="234"/>
      <c r="EY137" s="234"/>
      <c r="EZ137" s="234"/>
      <c r="FA137" s="234"/>
      <c r="FB137" s="234"/>
      <c r="FC137" s="234"/>
      <c r="FD137" s="234"/>
      <c r="FE137" s="234"/>
      <c r="FF137" s="234"/>
      <c r="FG137" s="234"/>
      <c r="FH137" s="234"/>
      <c r="FI137" s="234"/>
      <c r="FJ137" s="234"/>
      <c r="FK137" s="234"/>
      <c r="FL137" s="234"/>
      <c r="FM137" s="234"/>
      <c r="FN137" s="234"/>
      <c r="FO137" s="234"/>
      <c r="FP137" s="234"/>
      <c r="FQ137" s="234"/>
      <c r="FR137" s="234"/>
      <c r="FS137" s="234"/>
      <c r="FT137" s="234"/>
      <c r="FU137" s="234"/>
      <c r="FV137" s="234"/>
      <c r="FW137" s="234"/>
      <c r="FX137" s="234"/>
      <c r="FY137" s="234"/>
      <c r="FZ137" s="234"/>
      <c r="GA137" s="234"/>
      <c r="GB137" s="234"/>
      <c r="GC137" s="234"/>
      <c r="GD137" s="234"/>
      <c r="GE137" s="234"/>
      <c r="GF137" s="234"/>
      <c r="GG137" s="234"/>
      <c r="GH137" s="234"/>
      <c r="GI137" s="234"/>
      <c r="GJ137" s="234"/>
      <c r="GK137" s="234"/>
      <c r="GL137" s="234"/>
      <c r="GM137" s="234"/>
      <c r="GN137" s="234"/>
      <c r="GO137" s="234"/>
      <c r="GP137" s="234"/>
      <c r="GQ137" s="234"/>
      <c r="GR137" s="234"/>
      <c r="GS137" s="234"/>
      <c r="GT137" s="234"/>
      <c r="GU137" s="234"/>
      <c r="GV137" s="234"/>
      <c r="GW137" s="234"/>
      <c r="GX137" s="234"/>
      <c r="GY137" s="234"/>
      <c r="GZ137" s="234"/>
      <c r="HA137" s="234"/>
      <c r="HB137" s="234"/>
      <c r="HC137" s="234"/>
      <c r="HD137" s="234"/>
      <c r="HE137" s="234"/>
      <c r="HF137" s="234"/>
      <c r="HG137" s="234"/>
      <c r="HH137" s="234"/>
      <c r="HI137" s="234"/>
      <c r="HJ137" s="234"/>
      <c r="HK137" s="234"/>
      <c r="HL137" s="234"/>
      <c r="HM137" s="234"/>
      <c r="HN137" s="234"/>
      <c r="HO137" s="234"/>
      <c r="HP137" s="234"/>
      <c r="HQ137" s="234"/>
      <c r="HR137" s="234"/>
      <c r="HS137" s="234"/>
      <c r="HT137" s="234"/>
      <c r="HU137" s="234"/>
      <c r="HV137" s="234"/>
      <c r="HW137" s="234"/>
      <c r="HX137" s="234"/>
      <c r="HY137" s="234"/>
      <c r="HZ137" s="234"/>
      <c r="IA137" s="234"/>
      <c r="IB137" s="234"/>
      <c r="IC137" s="234"/>
      <c r="ID137" s="234"/>
      <c r="IE137" s="234"/>
      <c r="IF137" s="234"/>
      <c r="IG137" s="234"/>
      <c r="IH137" s="234"/>
      <c r="II137" s="234"/>
      <c r="IJ137" s="234"/>
      <c r="IK137" s="234"/>
      <c r="IL137" s="234"/>
      <c r="IM137" s="234"/>
      <c r="IN137" s="234"/>
      <c r="IO137" s="234"/>
      <c r="IP137" s="234"/>
      <c r="IQ137" s="234"/>
      <c r="IR137" s="234"/>
      <c r="IS137" s="234"/>
      <c r="IT137" s="234"/>
      <c r="IU137" s="234"/>
      <c r="IV137" s="234"/>
    </row>
  </sheetData>
  <sheetProtection/>
  <mergeCells count="7">
    <mergeCell ref="A137:B137"/>
    <mergeCell ref="B1:C1"/>
    <mergeCell ref="B2:C2"/>
    <mergeCell ref="B3:C3"/>
    <mergeCell ref="A7:C7"/>
    <mergeCell ref="A4:C4"/>
    <mergeCell ref="B5:C5"/>
  </mergeCells>
  <printOptions horizontalCentered="1"/>
  <pageMargins left="0.7874015748031497" right="0.3937007874015748" top="0.5905511811023623" bottom="0.5905511811023623" header="0.1968503937007874" footer="0.3937007874015748"/>
  <pageSetup fitToHeight="20" fitToWidth="1" horizontalDpi="600" verticalDpi="600" orientation="portrait" paperSize="9" scale="96" r:id="rId1"/>
  <headerFooter alignWithMargins="0">
    <oddFooter>&amp;CСтраница &amp;P&amp;R&amp;A</oddFooter>
  </headerFooter>
  <rowBreaks count="9" manualBreakCount="9">
    <brk id="20" max="255" man="1"/>
    <brk id="33" max="255" man="1"/>
    <brk id="47" max="255" man="1"/>
    <brk id="57" max="255" man="1"/>
    <brk id="65" max="255" man="1"/>
    <brk id="82" max="255" man="1"/>
    <brk id="92" max="255" man="1"/>
    <brk id="100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SheetLayoutView="100" zoomScalePageLayoutView="0" workbookViewId="0" topLeftCell="B23">
      <selection activeCell="K44" sqref="K44:K46"/>
    </sheetView>
  </sheetViews>
  <sheetFormatPr defaultColWidth="9.140625" defaultRowHeight="15"/>
  <cols>
    <col min="1" max="1" width="5.8515625" style="28" hidden="1" customWidth="1"/>
    <col min="2" max="2" width="38.7109375" style="28" customWidth="1"/>
    <col min="3" max="3" width="7.421875" style="28" customWidth="1"/>
    <col min="4" max="4" width="7.57421875" style="28" customWidth="1"/>
    <col min="5" max="5" width="6.8515625" style="28" customWidth="1"/>
    <col min="6" max="6" width="6.00390625" style="28" customWidth="1"/>
    <col min="7" max="7" width="6.140625" style="28" customWidth="1"/>
    <col min="8" max="8" width="5.140625" style="28" customWidth="1"/>
    <col min="9" max="9" width="7.421875" style="28" customWidth="1"/>
    <col min="10" max="10" width="9.00390625" style="28" customWidth="1"/>
    <col min="11" max="11" width="18.28125" style="28" customWidth="1"/>
    <col min="12" max="12" width="20.140625" style="29" hidden="1" customWidth="1"/>
    <col min="13" max="13" width="23.00390625" style="28" hidden="1" customWidth="1"/>
    <col min="14" max="14" width="14.28125" style="29" customWidth="1"/>
    <col min="15" max="15" width="16.57421875" style="29" bestFit="1" customWidth="1"/>
    <col min="16" max="16" width="9.140625" style="28" customWidth="1"/>
    <col min="17" max="17" width="15.57421875" style="28" bestFit="1" customWidth="1"/>
    <col min="18" max="16384" width="9.140625" style="28" customWidth="1"/>
  </cols>
  <sheetData>
    <row r="1" spans="3:11" ht="15.75">
      <c r="C1" s="22"/>
      <c r="D1" s="22"/>
      <c r="E1" s="22"/>
      <c r="F1" s="22"/>
      <c r="G1" s="22"/>
      <c r="H1" s="22"/>
      <c r="I1" s="22"/>
      <c r="J1" s="319" t="s">
        <v>1008</v>
      </c>
      <c r="K1" s="319"/>
    </row>
    <row r="2" spans="3:11" ht="15.75">
      <c r="C2" s="22"/>
      <c r="D2" s="319" t="s">
        <v>710</v>
      </c>
      <c r="E2" s="319"/>
      <c r="F2" s="319"/>
      <c r="G2" s="319"/>
      <c r="H2" s="319"/>
      <c r="I2" s="319"/>
      <c r="J2" s="319"/>
      <c r="K2" s="319"/>
    </row>
    <row r="3" spans="1:13" s="29" customFormat="1" ht="15.75">
      <c r="A3" s="28"/>
      <c r="B3" s="320" t="s">
        <v>711</v>
      </c>
      <c r="C3" s="320"/>
      <c r="D3" s="320"/>
      <c r="E3" s="320"/>
      <c r="F3" s="320"/>
      <c r="G3" s="320"/>
      <c r="H3" s="320"/>
      <c r="I3" s="320"/>
      <c r="J3" s="320"/>
      <c r="K3" s="320"/>
      <c r="M3" s="28"/>
    </row>
    <row r="4" spans="1:13" s="29" customFormat="1" ht="15.75">
      <c r="A4" s="28"/>
      <c r="B4" s="319" t="s">
        <v>712</v>
      </c>
      <c r="C4" s="319"/>
      <c r="D4" s="319"/>
      <c r="E4" s="319"/>
      <c r="F4" s="319"/>
      <c r="G4" s="319"/>
      <c r="H4" s="319"/>
      <c r="I4" s="319"/>
      <c r="J4" s="319"/>
      <c r="K4" s="319"/>
      <c r="M4" s="28"/>
    </row>
    <row r="5" spans="1:13" s="29" customFormat="1" ht="15.75">
      <c r="A5" s="28"/>
      <c r="B5" s="319"/>
      <c r="C5" s="319"/>
      <c r="D5" s="319"/>
      <c r="E5" s="319"/>
      <c r="F5" s="319"/>
      <c r="G5" s="319"/>
      <c r="H5" s="319"/>
      <c r="I5" s="319"/>
      <c r="J5" s="319"/>
      <c r="K5" s="319"/>
      <c r="M5" s="28"/>
    </row>
    <row r="6" spans="1:13" s="29" customFormat="1" ht="15.7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M6" s="28"/>
    </row>
    <row r="7" spans="1:13" s="29" customFormat="1" ht="18.75">
      <c r="A7" s="318" t="s">
        <v>1009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M7" s="28"/>
    </row>
    <row r="8" spans="1:13" s="29" customFormat="1" ht="18.75">
      <c r="A8" s="318" t="s">
        <v>1010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M8" s="28"/>
    </row>
    <row r="9" spans="1:13" s="29" customFormat="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31" t="s">
        <v>1011</v>
      </c>
      <c r="M9" s="28"/>
    </row>
    <row r="10" spans="1:13" s="29" customFormat="1" ht="15.75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0"/>
      <c r="M10" s="28"/>
    </row>
    <row r="11" spans="1:13" s="29" customFormat="1" ht="15.75" customHeight="1">
      <c r="A11" s="310" t="s">
        <v>1012</v>
      </c>
      <c r="B11" s="310" t="s">
        <v>1013</v>
      </c>
      <c r="C11" s="312" t="s">
        <v>1014</v>
      </c>
      <c r="D11" s="313"/>
      <c r="E11" s="313"/>
      <c r="F11" s="313"/>
      <c r="G11" s="313"/>
      <c r="H11" s="313"/>
      <c r="I11" s="313"/>
      <c r="J11" s="314"/>
      <c r="K11" s="310" t="s">
        <v>796</v>
      </c>
      <c r="M11" s="28"/>
    </row>
    <row r="12" spans="1:13" s="29" customFormat="1" ht="87" customHeight="1">
      <c r="A12" s="311"/>
      <c r="B12" s="311"/>
      <c r="C12" s="315"/>
      <c r="D12" s="316"/>
      <c r="E12" s="316"/>
      <c r="F12" s="316"/>
      <c r="G12" s="316"/>
      <c r="H12" s="316"/>
      <c r="I12" s="316"/>
      <c r="J12" s="317"/>
      <c r="K12" s="311"/>
      <c r="M12" s="28"/>
    </row>
    <row r="13" spans="1:13" s="29" customFormat="1" ht="47.25" customHeight="1">
      <c r="A13" s="35">
        <v>1</v>
      </c>
      <c r="B13" s="36" t="s">
        <v>1015</v>
      </c>
      <c r="C13" s="37" t="s">
        <v>751</v>
      </c>
      <c r="D13" s="37" t="s">
        <v>2</v>
      </c>
      <c r="E13" s="37" t="s">
        <v>5</v>
      </c>
      <c r="F13" s="37" t="s">
        <v>3</v>
      </c>
      <c r="G13" s="37" t="s">
        <v>3</v>
      </c>
      <c r="H13" s="37" t="s">
        <v>3</v>
      </c>
      <c r="I13" s="37" t="s">
        <v>1016</v>
      </c>
      <c r="J13" s="37" t="s">
        <v>1</v>
      </c>
      <c r="K13" s="100">
        <f>K14-K16</f>
        <v>0</v>
      </c>
      <c r="M13" s="38"/>
    </row>
    <row r="14" spans="1:11" s="29" customFormat="1" ht="52.5" customHeight="1">
      <c r="A14" s="39" t="s">
        <v>1017</v>
      </c>
      <c r="B14" s="40" t="s">
        <v>1018</v>
      </c>
      <c r="C14" s="41" t="s">
        <v>751</v>
      </c>
      <c r="D14" s="41" t="s">
        <v>2</v>
      </c>
      <c r="E14" s="41" t="s">
        <v>5</v>
      </c>
      <c r="F14" s="41" t="s">
        <v>3</v>
      </c>
      <c r="G14" s="41" t="s">
        <v>3</v>
      </c>
      <c r="H14" s="41" t="s">
        <v>3</v>
      </c>
      <c r="I14" s="41" t="s">
        <v>1016</v>
      </c>
      <c r="J14" s="41" t="s">
        <v>413</v>
      </c>
      <c r="K14" s="101">
        <f>K15</f>
        <v>148600000</v>
      </c>
    </row>
    <row r="15" spans="1:11" s="29" customFormat="1" ht="79.5" customHeight="1">
      <c r="A15" s="43"/>
      <c r="B15" s="40" t="s">
        <v>1019</v>
      </c>
      <c r="C15" s="41" t="s">
        <v>751</v>
      </c>
      <c r="D15" s="41" t="s">
        <v>2</v>
      </c>
      <c r="E15" s="41" t="s">
        <v>5</v>
      </c>
      <c r="F15" s="41" t="s">
        <v>3</v>
      </c>
      <c r="G15" s="41" t="s">
        <v>3</v>
      </c>
      <c r="H15" s="41" t="s">
        <v>22</v>
      </c>
      <c r="I15" s="41" t="s">
        <v>1016</v>
      </c>
      <c r="J15" s="41" t="s">
        <v>1020</v>
      </c>
      <c r="K15" s="102">
        <f>96800000+51800000</f>
        <v>148600000</v>
      </c>
    </row>
    <row r="16" spans="1:11" s="29" customFormat="1" ht="79.5" customHeight="1">
      <c r="A16" s="39" t="s">
        <v>1021</v>
      </c>
      <c r="B16" s="40" t="s">
        <v>1022</v>
      </c>
      <c r="C16" s="41" t="s">
        <v>751</v>
      </c>
      <c r="D16" s="41" t="s">
        <v>2</v>
      </c>
      <c r="E16" s="41" t="s">
        <v>5</v>
      </c>
      <c r="F16" s="41" t="s">
        <v>3</v>
      </c>
      <c r="G16" s="41" t="s">
        <v>3</v>
      </c>
      <c r="H16" s="41" t="s">
        <v>3</v>
      </c>
      <c r="I16" s="41" t="s">
        <v>1016</v>
      </c>
      <c r="J16" s="41" t="s">
        <v>65</v>
      </c>
      <c r="K16" s="101">
        <f>K17</f>
        <v>148600000</v>
      </c>
    </row>
    <row r="17" spans="1:13" s="29" customFormat="1" ht="79.5" customHeight="1">
      <c r="A17" s="43"/>
      <c r="B17" s="40" t="s">
        <v>1023</v>
      </c>
      <c r="C17" s="41" t="s">
        <v>751</v>
      </c>
      <c r="D17" s="41" t="s">
        <v>2</v>
      </c>
      <c r="E17" s="41" t="s">
        <v>5</v>
      </c>
      <c r="F17" s="41" t="s">
        <v>3</v>
      </c>
      <c r="G17" s="41" t="s">
        <v>3</v>
      </c>
      <c r="H17" s="41" t="s">
        <v>22</v>
      </c>
      <c r="I17" s="41" t="s">
        <v>1016</v>
      </c>
      <c r="J17" s="41" t="s">
        <v>1024</v>
      </c>
      <c r="K17" s="102">
        <f>96800000+51800000</f>
        <v>148600000</v>
      </c>
      <c r="M17" s="45" t="s">
        <v>1025</v>
      </c>
    </row>
    <row r="18" spans="1:13" s="29" customFormat="1" ht="50.25" customHeight="1">
      <c r="A18" s="35">
        <v>2</v>
      </c>
      <c r="B18" s="36" t="s">
        <v>1026</v>
      </c>
      <c r="C18" s="37" t="s">
        <v>751</v>
      </c>
      <c r="D18" s="37" t="s">
        <v>2</v>
      </c>
      <c r="E18" s="37" t="s">
        <v>14</v>
      </c>
      <c r="F18" s="37" t="s">
        <v>3</v>
      </c>
      <c r="G18" s="37" t="s">
        <v>3</v>
      </c>
      <c r="H18" s="37" t="s">
        <v>3</v>
      </c>
      <c r="I18" s="37" t="s">
        <v>1016</v>
      </c>
      <c r="J18" s="37" t="s">
        <v>1</v>
      </c>
      <c r="K18" s="46">
        <f>K19</f>
        <v>0</v>
      </c>
      <c r="M18" s="45"/>
    </row>
    <row r="19" spans="1:13" ht="65.25" customHeight="1">
      <c r="A19" s="47" t="s">
        <v>1027</v>
      </c>
      <c r="B19" s="36" t="s">
        <v>1028</v>
      </c>
      <c r="C19" s="37" t="s">
        <v>751</v>
      </c>
      <c r="D19" s="37" t="s">
        <v>2</v>
      </c>
      <c r="E19" s="37" t="s">
        <v>14</v>
      </c>
      <c r="F19" s="37" t="s">
        <v>2</v>
      </c>
      <c r="G19" s="37" t="s">
        <v>3</v>
      </c>
      <c r="H19" s="37" t="s">
        <v>3</v>
      </c>
      <c r="I19" s="37" t="s">
        <v>1016</v>
      </c>
      <c r="J19" s="37" t="s">
        <v>1</v>
      </c>
      <c r="K19" s="46">
        <f>K20-K22</f>
        <v>0</v>
      </c>
      <c r="M19" s="45"/>
    </row>
    <row r="20" spans="1:13" ht="75.75" customHeight="1">
      <c r="A20" s="39" t="s">
        <v>1029</v>
      </c>
      <c r="B20" s="40" t="s">
        <v>1030</v>
      </c>
      <c r="C20" s="41" t="s">
        <v>751</v>
      </c>
      <c r="D20" s="41" t="s">
        <v>2</v>
      </c>
      <c r="E20" s="41" t="s">
        <v>14</v>
      </c>
      <c r="F20" s="41" t="s">
        <v>2</v>
      </c>
      <c r="G20" s="41" t="s">
        <v>3</v>
      </c>
      <c r="H20" s="41" t="s">
        <v>3</v>
      </c>
      <c r="I20" s="41" t="s">
        <v>1016</v>
      </c>
      <c r="J20" s="41" t="s">
        <v>413</v>
      </c>
      <c r="K20" s="44">
        <f>K21</f>
        <v>45000000</v>
      </c>
      <c r="M20" s="45"/>
    </row>
    <row r="21" spans="1:13" ht="83.25" customHeight="1">
      <c r="A21" s="43"/>
      <c r="B21" s="40" t="s">
        <v>1031</v>
      </c>
      <c r="C21" s="41" t="s">
        <v>751</v>
      </c>
      <c r="D21" s="41" t="s">
        <v>2</v>
      </c>
      <c r="E21" s="41" t="s">
        <v>14</v>
      </c>
      <c r="F21" s="41" t="s">
        <v>2</v>
      </c>
      <c r="G21" s="41" t="s">
        <v>3</v>
      </c>
      <c r="H21" s="41" t="s">
        <v>22</v>
      </c>
      <c r="I21" s="41" t="s">
        <v>1016</v>
      </c>
      <c r="J21" s="41" t="s">
        <v>1020</v>
      </c>
      <c r="K21" s="44">
        <v>45000000</v>
      </c>
      <c r="M21" s="45"/>
    </row>
    <row r="22" spans="1:13" ht="72" customHeight="1">
      <c r="A22" s="39" t="s">
        <v>1032</v>
      </c>
      <c r="B22" s="40" t="s">
        <v>1033</v>
      </c>
      <c r="C22" s="41" t="s">
        <v>751</v>
      </c>
      <c r="D22" s="41" t="s">
        <v>2</v>
      </c>
      <c r="E22" s="41" t="s">
        <v>14</v>
      </c>
      <c r="F22" s="41" t="s">
        <v>2</v>
      </c>
      <c r="G22" s="41" t="s">
        <v>3</v>
      </c>
      <c r="H22" s="41" t="s">
        <v>3</v>
      </c>
      <c r="I22" s="41" t="s">
        <v>1016</v>
      </c>
      <c r="J22" s="41" t="s">
        <v>65</v>
      </c>
      <c r="K22" s="42">
        <f>K23</f>
        <v>45000000</v>
      </c>
      <c r="M22" s="45"/>
    </row>
    <row r="23" spans="1:13" ht="87.75" customHeight="1">
      <c r="A23" s="43"/>
      <c r="B23" s="40" t="s">
        <v>1034</v>
      </c>
      <c r="C23" s="41" t="s">
        <v>751</v>
      </c>
      <c r="D23" s="41" t="s">
        <v>2</v>
      </c>
      <c r="E23" s="41" t="s">
        <v>14</v>
      </c>
      <c r="F23" s="41" t="s">
        <v>2</v>
      </c>
      <c r="G23" s="41" t="s">
        <v>3</v>
      </c>
      <c r="H23" s="41" t="s">
        <v>22</v>
      </c>
      <c r="I23" s="41" t="s">
        <v>1016</v>
      </c>
      <c r="J23" s="41" t="s">
        <v>1024</v>
      </c>
      <c r="K23" s="42">
        <v>45000000</v>
      </c>
      <c r="M23" s="45"/>
    </row>
    <row r="24" spans="1:15" s="49" customFormat="1" ht="57.75" customHeight="1" hidden="1">
      <c r="A24" s="35">
        <v>3</v>
      </c>
      <c r="B24" s="36" t="s">
        <v>1035</v>
      </c>
      <c r="C24" s="37" t="s">
        <v>751</v>
      </c>
      <c r="D24" s="37" t="s">
        <v>2</v>
      </c>
      <c r="E24" s="37" t="s">
        <v>60</v>
      </c>
      <c r="F24" s="37" t="s">
        <v>3</v>
      </c>
      <c r="G24" s="37" t="s">
        <v>3</v>
      </c>
      <c r="H24" s="37" t="s">
        <v>3</v>
      </c>
      <c r="I24" s="37" t="s">
        <v>1016</v>
      </c>
      <c r="J24" s="37" t="s">
        <v>1</v>
      </c>
      <c r="K24" s="38">
        <f>K25</f>
        <v>0</v>
      </c>
      <c r="L24" s="48"/>
      <c r="M24" s="45"/>
      <c r="N24" s="48"/>
      <c r="O24" s="48"/>
    </row>
    <row r="25" spans="1:15" s="49" customFormat="1" ht="57.75" customHeight="1" hidden="1">
      <c r="A25" s="50" t="s">
        <v>1036</v>
      </c>
      <c r="B25" s="40" t="s">
        <v>1037</v>
      </c>
      <c r="C25" s="41" t="s">
        <v>751</v>
      </c>
      <c r="D25" s="41" t="s">
        <v>2</v>
      </c>
      <c r="E25" s="41" t="s">
        <v>60</v>
      </c>
      <c r="F25" s="41" t="s">
        <v>159</v>
      </c>
      <c r="G25" s="41" t="s">
        <v>3</v>
      </c>
      <c r="H25" s="41" t="s">
        <v>3</v>
      </c>
      <c r="I25" s="41" t="s">
        <v>1016</v>
      </c>
      <c r="J25" s="41" t="s">
        <v>1</v>
      </c>
      <c r="K25" s="42">
        <f>K26</f>
        <v>0</v>
      </c>
      <c r="L25" s="48"/>
      <c r="M25" s="45"/>
      <c r="N25" s="48"/>
      <c r="O25" s="48"/>
    </row>
    <row r="26" spans="1:13" ht="58.5" customHeight="1" hidden="1">
      <c r="A26" s="43"/>
      <c r="B26" s="40" t="s">
        <v>1038</v>
      </c>
      <c r="C26" s="41" t="s">
        <v>751</v>
      </c>
      <c r="D26" s="41" t="s">
        <v>2</v>
      </c>
      <c r="E26" s="41" t="s">
        <v>60</v>
      </c>
      <c r="F26" s="41" t="s">
        <v>159</v>
      </c>
      <c r="G26" s="41" t="s">
        <v>3</v>
      </c>
      <c r="H26" s="41" t="s">
        <v>3</v>
      </c>
      <c r="I26" s="41" t="s">
        <v>1016</v>
      </c>
      <c r="J26" s="41" t="s">
        <v>70</v>
      </c>
      <c r="K26" s="42">
        <f>K27</f>
        <v>0</v>
      </c>
      <c r="M26" s="45"/>
    </row>
    <row r="27" spans="1:13" ht="67.5" customHeight="1" hidden="1">
      <c r="A27" s="43"/>
      <c r="B27" s="40" t="s">
        <v>1039</v>
      </c>
      <c r="C27" s="41" t="s">
        <v>751</v>
      </c>
      <c r="D27" s="41" t="s">
        <v>2</v>
      </c>
      <c r="E27" s="41" t="s">
        <v>60</v>
      </c>
      <c r="F27" s="41" t="s">
        <v>159</v>
      </c>
      <c r="G27" s="41" t="s">
        <v>2</v>
      </c>
      <c r="H27" s="41" t="s">
        <v>3</v>
      </c>
      <c r="I27" s="41" t="s">
        <v>1016</v>
      </c>
      <c r="J27" s="41" t="s">
        <v>1040</v>
      </c>
      <c r="K27" s="42">
        <f>K28</f>
        <v>0</v>
      </c>
      <c r="M27" s="45"/>
    </row>
    <row r="28" spans="1:13" ht="86.25" customHeight="1" hidden="1">
      <c r="A28" s="43"/>
      <c r="B28" s="40" t="s">
        <v>1041</v>
      </c>
      <c r="C28" s="41" t="s">
        <v>751</v>
      </c>
      <c r="D28" s="41" t="s">
        <v>2</v>
      </c>
      <c r="E28" s="41" t="s">
        <v>60</v>
      </c>
      <c r="F28" s="41" t="s">
        <v>159</v>
      </c>
      <c r="G28" s="41" t="s">
        <v>2</v>
      </c>
      <c r="H28" s="41" t="s">
        <v>22</v>
      </c>
      <c r="I28" s="41" t="s">
        <v>1016</v>
      </c>
      <c r="J28" s="41" t="s">
        <v>1040</v>
      </c>
      <c r="K28" s="42">
        <v>0</v>
      </c>
      <c r="M28" s="45"/>
    </row>
    <row r="29" spans="1:15" s="56" customFormat="1" ht="35.25" customHeight="1">
      <c r="A29" s="47" t="s">
        <v>1042</v>
      </c>
      <c r="B29" s="51" t="s">
        <v>1043</v>
      </c>
      <c r="C29" s="52" t="s">
        <v>751</v>
      </c>
      <c r="D29" s="52" t="s">
        <v>2</v>
      </c>
      <c r="E29" s="52" t="s">
        <v>159</v>
      </c>
      <c r="F29" s="52" t="s">
        <v>3</v>
      </c>
      <c r="G29" s="52" t="s">
        <v>3</v>
      </c>
      <c r="H29" s="52" t="s">
        <v>3</v>
      </c>
      <c r="I29" s="52" t="s">
        <v>1016</v>
      </c>
      <c r="J29" s="52" t="s">
        <v>1</v>
      </c>
      <c r="K29" s="53">
        <f>K34-K30</f>
        <v>35907122.76999998</v>
      </c>
      <c r="L29" s="97" t="s">
        <v>1200</v>
      </c>
      <c r="M29" s="55">
        <f>41594711.39-6460991.37</f>
        <v>35133720.02</v>
      </c>
      <c r="N29" s="54"/>
      <c r="O29" s="54"/>
    </row>
    <row r="30" spans="1:15" s="56" customFormat="1" ht="31.5">
      <c r="A30" s="47" t="s">
        <v>1036</v>
      </c>
      <c r="B30" s="51" t="s">
        <v>1044</v>
      </c>
      <c r="C30" s="52" t="s">
        <v>751</v>
      </c>
      <c r="D30" s="52" t="s">
        <v>2</v>
      </c>
      <c r="E30" s="52" t="s">
        <v>159</v>
      </c>
      <c r="F30" s="52" t="s">
        <v>3</v>
      </c>
      <c r="G30" s="52" t="s">
        <v>3</v>
      </c>
      <c r="H30" s="52" t="s">
        <v>3</v>
      </c>
      <c r="I30" s="52" t="s">
        <v>1016</v>
      </c>
      <c r="J30" s="52" t="s">
        <v>1045</v>
      </c>
      <c r="K30" s="53">
        <f>K31</f>
        <v>2482169942.7599998</v>
      </c>
      <c r="L30" s="97" t="s">
        <v>1199</v>
      </c>
      <c r="M30" s="45">
        <f>K29-M29</f>
        <v>773402.7499999776</v>
      </c>
      <c r="N30" s="54"/>
      <c r="O30" s="54"/>
    </row>
    <row r="31" spans="1:15" s="56" customFormat="1" ht="31.5">
      <c r="A31" s="39"/>
      <c r="B31" s="57" t="s">
        <v>1046</v>
      </c>
      <c r="C31" s="39" t="s">
        <v>751</v>
      </c>
      <c r="D31" s="39" t="s">
        <v>2</v>
      </c>
      <c r="E31" s="39" t="s">
        <v>159</v>
      </c>
      <c r="F31" s="39" t="s">
        <v>5</v>
      </c>
      <c r="G31" s="39" t="s">
        <v>3</v>
      </c>
      <c r="H31" s="39" t="s">
        <v>3</v>
      </c>
      <c r="I31" s="39" t="s">
        <v>1016</v>
      </c>
      <c r="J31" s="39" t="s">
        <v>1045</v>
      </c>
      <c r="K31" s="58">
        <f>K32</f>
        <v>2482169942.7599998</v>
      </c>
      <c r="L31" s="54"/>
      <c r="M31" s="98">
        <f>SUM(M29:M30)</f>
        <v>35907122.76999998</v>
      </c>
      <c r="N31" s="54"/>
      <c r="O31" s="54"/>
    </row>
    <row r="32" spans="1:15" s="56" customFormat="1" ht="31.5">
      <c r="A32" s="39"/>
      <c r="B32" s="57" t="s">
        <v>1047</v>
      </c>
      <c r="C32" s="39" t="s">
        <v>751</v>
      </c>
      <c r="D32" s="39" t="s">
        <v>2</v>
      </c>
      <c r="E32" s="39" t="s">
        <v>159</v>
      </c>
      <c r="F32" s="39" t="s">
        <v>5</v>
      </c>
      <c r="G32" s="39" t="s">
        <v>2</v>
      </c>
      <c r="H32" s="39" t="s">
        <v>3</v>
      </c>
      <c r="I32" s="39" t="s">
        <v>1016</v>
      </c>
      <c r="J32" s="39" t="s">
        <v>1048</v>
      </c>
      <c r="K32" s="58">
        <f>K33</f>
        <v>2482169942.7599998</v>
      </c>
      <c r="L32" s="54"/>
      <c r="M32" s="29"/>
      <c r="N32" s="54"/>
      <c r="O32" s="54"/>
    </row>
    <row r="33" spans="1:15" s="56" customFormat="1" ht="47.25">
      <c r="A33" s="39"/>
      <c r="B33" s="57" t="s">
        <v>1049</v>
      </c>
      <c r="C33" s="39" t="s">
        <v>751</v>
      </c>
      <c r="D33" s="39" t="s">
        <v>2</v>
      </c>
      <c r="E33" s="39" t="s">
        <v>159</v>
      </c>
      <c r="F33" s="39" t="s">
        <v>5</v>
      </c>
      <c r="G33" s="39" t="s">
        <v>2</v>
      </c>
      <c r="H33" s="39" t="s">
        <v>22</v>
      </c>
      <c r="I33" s="39" t="s">
        <v>1016</v>
      </c>
      <c r="J33" s="39" t="s">
        <v>1048</v>
      </c>
      <c r="K33" s="60">
        <f>K14+K20+K26+Приложение_4!C137</f>
        <v>2482169942.7599998</v>
      </c>
      <c r="L33" s="54"/>
      <c r="M33" s="29"/>
      <c r="N33" s="54"/>
      <c r="O33" s="54"/>
    </row>
    <row r="34" spans="1:15" s="56" customFormat="1" ht="31.5">
      <c r="A34" s="47" t="s">
        <v>1050</v>
      </c>
      <c r="B34" s="51" t="s">
        <v>1051</v>
      </c>
      <c r="C34" s="52" t="s">
        <v>751</v>
      </c>
      <c r="D34" s="52" t="s">
        <v>2</v>
      </c>
      <c r="E34" s="52" t="s">
        <v>159</v>
      </c>
      <c r="F34" s="52" t="s">
        <v>3</v>
      </c>
      <c r="G34" s="52" t="s">
        <v>3</v>
      </c>
      <c r="H34" s="52" t="s">
        <v>3</v>
      </c>
      <c r="I34" s="52" t="s">
        <v>1016</v>
      </c>
      <c r="J34" s="52" t="s">
        <v>70</v>
      </c>
      <c r="K34" s="59">
        <f>K35</f>
        <v>2518077065.5299997</v>
      </c>
      <c r="L34" s="54"/>
      <c r="M34" s="29"/>
      <c r="N34" s="54"/>
      <c r="O34" s="54"/>
    </row>
    <row r="35" spans="1:15" s="56" customFormat="1" ht="31.5">
      <c r="A35" s="39"/>
      <c r="B35" s="57" t="s">
        <v>1052</v>
      </c>
      <c r="C35" s="39" t="s">
        <v>751</v>
      </c>
      <c r="D35" s="39" t="s">
        <v>2</v>
      </c>
      <c r="E35" s="39" t="s">
        <v>159</v>
      </c>
      <c r="F35" s="39" t="s">
        <v>5</v>
      </c>
      <c r="G35" s="39" t="s">
        <v>3</v>
      </c>
      <c r="H35" s="39" t="s">
        <v>3</v>
      </c>
      <c r="I35" s="39" t="s">
        <v>1016</v>
      </c>
      <c r="J35" s="39" t="s">
        <v>70</v>
      </c>
      <c r="K35" s="60">
        <f>K36</f>
        <v>2518077065.5299997</v>
      </c>
      <c r="L35" s="54"/>
      <c r="M35" s="29"/>
      <c r="N35" s="54"/>
      <c r="O35" s="54"/>
    </row>
    <row r="36" spans="1:15" s="56" customFormat="1" ht="31.5">
      <c r="A36" s="39"/>
      <c r="B36" s="57" t="s">
        <v>1053</v>
      </c>
      <c r="C36" s="39" t="s">
        <v>751</v>
      </c>
      <c r="D36" s="39" t="s">
        <v>2</v>
      </c>
      <c r="E36" s="39" t="s">
        <v>159</v>
      </c>
      <c r="F36" s="39" t="s">
        <v>5</v>
      </c>
      <c r="G36" s="39" t="s">
        <v>2</v>
      </c>
      <c r="H36" s="39" t="s">
        <v>3</v>
      </c>
      <c r="I36" s="39" t="s">
        <v>1016</v>
      </c>
      <c r="J36" s="39" t="s">
        <v>1054</v>
      </c>
      <c r="K36" s="60">
        <f>K37</f>
        <v>2518077065.5299997</v>
      </c>
      <c r="L36" s="54"/>
      <c r="M36" s="29"/>
      <c r="N36" s="54"/>
      <c r="O36" s="54"/>
    </row>
    <row r="37" spans="1:15" s="56" customFormat="1" ht="47.25">
      <c r="A37" s="39"/>
      <c r="B37" s="57" t="s">
        <v>1055</v>
      </c>
      <c r="C37" s="39" t="s">
        <v>751</v>
      </c>
      <c r="D37" s="39" t="s">
        <v>2</v>
      </c>
      <c r="E37" s="39" t="s">
        <v>159</v>
      </c>
      <c r="F37" s="39" t="s">
        <v>5</v>
      </c>
      <c r="G37" s="39" t="s">
        <v>2</v>
      </c>
      <c r="H37" s="39" t="s">
        <v>22</v>
      </c>
      <c r="I37" s="39" t="s">
        <v>1016</v>
      </c>
      <c r="J37" s="39" t="s">
        <v>1054</v>
      </c>
      <c r="K37" s="60">
        <f>K23+K25+K16+Приложение_6!F942</f>
        <v>2518077065.5299997</v>
      </c>
      <c r="L37" s="54"/>
      <c r="M37" s="29"/>
      <c r="N37" s="54"/>
      <c r="O37" s="54"/>
    </row>
    <row r="38" spans="1:15" s="63" customFormat="1" ht="47.25" hidden="1">
      <c r="A38" s="47" t="s">
        <v>1042</v>
      </c>
      <c r="B38" s="36" t="s">
        <v>1035</v>
      </c>
      <c r="C38" s="47" t="s">
        <v>751</v>
      </c>
      <c r="D38" s="47" t="s">
        <v>2</v>
      </c>
      <c r="E38" s="47" t="s">
        <v>60</v>
      </c>
      <c r="F38" s="47" t="s">
        <v>3</v>
      </c>
      <c r="G38" s="47" t="s">
        <v>3</v>
      </c>
      <c r="H38" s="47" t="s">
        <v>3</v>
      </c>
      <c r="I38" s="47" t="s">
        <v>1016</v>
      </c>
      <c r="J38" s="47" t="s">
        <v>1</v>
      </c>
      <c r="K38" s="61">
        <f>K39</f>
        <v>0</v>
      </c>
      <c r="L38" s="62"/>
      <c r="M38" s="29"/>
      <c r="N38" s="62"/>
      <c r="O38" s="62"/>
    </row>
    <row r="39" spans="1:15" s="63" customFormat="1" ht="47.25" hidden="1">
      <c r="A39" s="47" t="s">
        <v>1036</v>
      </c>
      <c r="B39" s="36" t="s">
        <v>1056</v>
      </c>
      <c r="C39" s="47" t="s">
        <v>751</v>
      </c>
      <c r="D39" s="47" t="s">
        <v>2</v>
      </c>
      <c r="E39" s="47" t="s">
        <v>60</v>
      </c>
      <c r="F39" s="47" t="s">
        <v>22</v>
      </c>
      <c r="G39" s="47" t="s">
        <v>3</v>
      </c>
      <c r="H39" s="47" t="s">
        <v>3</v>
      </c>
      <c r="I39" s="47" t="s">
        <v>1016</v>
      </c>
      <c r="J39" s="47" t="s">
        <v>1</v>
      </c>
      <c r="K39" s="64">
        <f>K40</f>
        <v>0</v>
      </c>
      <c r="L39" s="62"/>
      <c r="M39" s="29"/>
      <c r="N39" s="62"/>
      <c r="O39" s="62"/>
    </row>
    <row r="40" spans="1:15" s="56" customFormat="1" ht="174" customHeight="1" hidden="1">
      <c r="A40" s="39"/>
      <c r="B40" s="57" t="s">
        <v>1057</v>
      </c>
      <c r="C40" s="39" t="s">
        <v>751</v>
      </c>
      <c r="D40" s="39" t="s">
        <v>2</v>
      </c>
      <c r="E40" s="39" t="s">
        <v>60</v>
      </c>
      <c r="F40" s="39" t="s">
        <v>22</v>
      </c>
      <c r="G40" s="39" t="s">
        <v>3</v>
      </c>
      <c r="H40" s="39" t="s">
        <v>3</v>
      </c>
      <c r="I40" s="39" t="s">
        <v>1016</v>
      </c>
      <c r="J40" s="39" t="s">
        <v>65</v>
      </c>
      <c r="K40" s="65">
        <f>K41</f>
        <v>0</v>
      </c>
      <c r="L40" s="54"/>
      <c r="M40" s="29"/>
      <c r="N40" s="54"/>
      <c r="O40" s="54"/>
    </row>
    <row r="41" spans="1:15" s="56" customFormat="1" ht="165.75" customHeight="1" hidden="1">
      <c r="A41" s="39"/>
      <c r="B41" s="57" t="s">
        <v>1058</v>
      </c>
      <c r="C41" s="39" t="s">
        <v>751</v>
      </c>
      <c r="D41" s="39" t="s">
        <v>2</v>
      </c>
      <c r="E41" s="39" t="s">
        <v>60</v>
      </c>
      <c r="F41" s="39" t="s">
        <v>22</v>
      </c>
      <c r="G41" s="39" t="s">
        <v>3</v>
      </c>
      <c r="H41" s="39" t="s">
        <v>22</v>
      </c>
      <c r="I41" s="39" t="s">
        <v>1016</v>
      </c>
      <c r="J41" s="39" t="s">
        <v>1024</v>
      </c>
      <c r="K41" s="66">
        <v>0</v>
      </c>
      <c r="L41" s="54"/>
      <c r="M41" s="29"/>
      <c r="N41" s="54"/>
      <c r="O41" s="54"/>
    </row>
    <row r="42" spans="1:15" s="56" customFormat="1" ht="57.75" customHeight="1">
      <c r="A42" s="39"/>
      <c r="B42" s="67" t="s">
        <v>1059</v>
      </c>
      <c r="C42" s="52" t="s">
        <v>751</v>
      </c>
      <c r="D42" s="52" t="s">
        <v>2</v>
      </c>
      <c r="E42" s="52" t="s">
        <v>3</v>
      </c>
      <c r="F42" s="52" t="s">
        <v>3</v>
      </c>
      <c r="G42" s="52" t="s">
        <v>3</v>
      </c>
      <c r="H42" s="52" t="s">
        <v>3</v>
      </c>
      <c r="I42" s="52" t="s">
        <v>1016</v>
      </c>
      <c r="J42" s="52" t="s">
        <v>1</v>
      </c>
      <c r="K42" s="59">
        <f>K13+K29+K38+K18+K24</f>
        <v>35907122.76999998</v>
      </c>
      <c r="L42" s="59"/>
      <c r="M42" s="59"/>
      <c r="N42" s="54"/>
      <c r="O42" s="54"/>
    </row>
    <row r="44" ht="15.75">
      <c r="K44" s="45"/>
    </row>
    <row r="45" ht="15.75">
      <c r="K45" s="45"/>
    </row>
    <row r="46" ht="15.75">
      <c r="K46" s="45"/>
    </row>
    <row r="47" ht="15.75">
      <c r="K47" s="29"/>
    </row>
  </sheetData>
  <sheetProtection/>
  <mergeCells count="11">
    <mergeCell ref="A8:K8"/>
    <mergeCell ref="A11:A12"/>
    <mergeCell ref="B11:B12"/>
    <mergeCell ref="C11:J12"/>
    <mergeCell ref="K11:K12"/>
    <mergeCell ref="A7:K7"/>
    <mergeCell ref="J1:K1"/>
    <mergeCell ref="D2:K2"/>
    <mergeCell ref="B3:K3"/>
    <mergeCell ref="B4:K4"/>
    <mergeCell ref="B5:K5"/>
  </mergeCells>
  <printOptions/>
  <pageMargins left="0.7086614173228347" right="0.3937007874015748" top="0.5905511811023623" bottom="0.5905511811023623" header="0.31496062992125984" footer="0.3937007874015748"/>
  <pageSetup fitToHeight="2" fitToWidth="1" horizontalDpi="600" verticalDpi="600" orientation="portrait" paperSize="9" scale="81" r:id="rId1"/>
  <headerFooter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2"/>
  <sheetViews>
    <sheetView showGridLines="0" zoomScaleSheetLayoutView="100" zoomScalePageLayoutView="0" workbookViewId="0" topLeftCell="A641">
      <selection activeCell="F654" sqref="F654"/>
    </sheetView>
  </sheetViews>
  <sheetFormatPr defaultColWidth="9.140625" defaultRowHeight="15" outlineLevelRow="6"/>
  <cols>
    <col min="1" max="1" width="55.140625" style="10" customWidth="1"/>
    <col min="2" max="2" width="8.28125" style="10" customWidth="1"/>
    <col min="3" max="3" width="7.57421875" style="10" customWidth="1"/>
    <col min="4" max="4" width="13.28125" style="10" customWidth="1"/>
    <col min="5" max="5" width="7.7109375" style="10" customWidth="1"/>
    <col min="6" max="6" width="19.57421875" style="10" customWidth="1"/>
    <col min="7" max="7" width="22.140625" style="4" customWidth="1"/>
    <col min="8" max="8" width="17.421875" style="21" customWidth="1"/>
    <col min="9" max="9" width="19.57421875" style="10" hidden="1" customWidth="1"/>
    <col min="10" max="10" width="22.140625" style="4" hidden="1" customWidth="1"/>
    <col min="11" max="11" width="13.421875" style="21" hidden="1" customWidth="1"/>
    <col min="12" max="12" width="26.57421875" style="21" hidden="1" customWidth="1"/>
    <col min="13" max="13" width="22.7109375" style="21" hidden="1" customWidth="1"/>
    <col min="14" max="14" width="12.421875" style="21" bestFit="1" customWidth="1"/>
    <col min="15" max="16384" width="9.140625" style="21" customWidth="1"/>
  </cols>
  <sheetData>
    <row r="1" spans="1:10" ht="15" customHeight="1">
      <c r="A1" s="24"/>
      <c r="B1" s="22"/>
      <c r="C1" s="22"/>
      <c r="D1" s="319" t="s">
        <v>420</v>
      </c>
      <c r="E1" s="319"/>
      <c r="F1" s="319"/>
      <c r="G1" s="319"/>
      <c r="I1" s="21"/>
      <c r="J1" s="21"/>
    </row>
    <row r="2" spans="1:10" ht="15.75">
      <c r="A2" s="24"/>
      <c r="B2" s="22"/>
      <c r="D2" s="319" t="s">
        <v>421</v>
      </c>
      <c r="E2" s="319"/>
      <c r="F2" s="319"/>
      <c r="G2" s="319"/>
      <c r="I2" s="21"/>
      <c r="J2" s="21"/>
    </row>
    <row r="3" spans="1:10" ht="15.75" customHeight="1">
      <c r="A3" s="24"/>
      <c r="B3" s="22"/>
      <c r="C3" s="22"/>
      <c r="D3" s="321" t="s">
        <v>1060</v>
      </c>
      <c r="E3" s="321"/>
      <c r="F3" s="321"/>
      <c r="G3" s="321"/>
      <c r="I3" s="21"/>
      <c r="J3" s="21"/>
    </row>
    <row r="4" spans="1:10" ht="15.75" customHeight="1">
      <c r="A4" s="319" t="s">
        <v>712</v>
      </c>
      <c r="B4" s="319"/>
      <c r="C4" s="319"/>
      <c r="D4" s="319"/>
      <c r="E4" s="319"/>
      <c r="F4" s="319"/>
      <c r="G4" s="319"/>
      <c r="H4" s="22"/>
      <c r="I4" s="21"/>
      <c r="J4" s="21"/>
    </row>
    <row r="5" spans="1:10" ht="15.75" customHeight="1">
      <c r="A5" s="319"/>
      <c r="B5" s="319"/>
      <c r="C5" s="319"/>
      <c r="D5" s="319"/>
      <c r="E5" s="319"/>
      <c r="F5" s="319"/>
      <c r="G5" s="319"/>
      <c r="H5" s="22"/>
      <c r="I5" s="21"/>
      <c r="J5" s="21"/>
    </row>
    <row r="6" spans="1:10" ht="15.75" customHeight="1">
      <c r="A6" s="24"/>
      <c r="B6" s="22"/>
      <c r="C6" s="22"/>
      <c r="D6" s="107"/>
      <c r="E6" s="107"/>
      <c r="F6" s="107"/>
      <c r="G6" s="107"/>
      <c r="I6" s="107"/>
      <c r="J6" s="107"/>
    </row>
    <row r="7" spans="1:10" ht="48" customHeight="1">
      <c r="A7" s="322" t="s">
        <v>422</v>
      </c>
      <c r="B7" s="322"/>
      <c r="C7" s="322"/>
      <c r="D7" s="322"/>
      <c r="E7" s="322"/>
      <c r="F7" s="322"/>
      <c r="G7" s="322"/>
      <c r="I7" s="21"/>
      <c r="J7" s="21"/>
    </row>
    <row r="8" spans="1:10" ht="12" customHeight="1">
      <c r="A8" s="25"/>
      <c r="B8" s="26"/>
      <c r="C8" s="26"/>
      <c r="D8" s="26"/>
      <c r="E8" s="26"/>
      <c r="F8" s="21"/>
      <c r="G8" s="27" t="s">
        <v>423</v>
      </c>
      <c r="I8" s="21"/>
      <c r="J8" s="27" t="s">
        <v>423</v>
      </c>
    </row>
    <row r="9" spans="1:10" ht="96" customHeight="1">
      <c r="A9" s="11" t="s">
        <v>424</v>
      </c>
      <c r="B9" s="11" t="s">
        <v>425</v>
      </c>
      <c r="C9" s="11" t="s">
        <v>426</v>
      </c>
      <c r="D9" s="11" t="s">
        <v>427</v>
      </c>
      <c r="E9" s="11" t="s">
        <v>428</v>
      </c>
      <c r="F9" s="11" t="s">
        <v>0</v>
      </c>
      <c r="G9" s="106" t="s">
        <v>419</v>
      </c>
      <c r="I9" s="11" t="s">
        <v>0</v>
      </c>
      <c r="J9" s="106" t="s">
        <v>419</v>
      </c>
    </row>
    <row r="10" spans="1:10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5">
        <v>7</v>
      </c>
      <c r="I10" s="11">
        <v>6</v>
      </c>
      <c r="J10" s="5">
        <v>7</v>
      </c>
    </row>
    <row r="11" spans="1:13" s="113" customFormat="1" ht="24" customHeight="1">
      <c r="A11" s="82" t="s">
        <v>692</v>
      </c>
      <c r="B11" s="83" t="s">
        <v>2</v>
      </c>
      <c r="C11" s="83" t="s">
        <v>3</v>
      </c>
      <c r="D11" s="83" t="s">
        <v>4</v>
      </c>
      <c r="E11" s="83" t="s">
        <v>1</v>
      </c>
      <c r="F11" s="12">
        <f>F12+F30+F49+F125+F148+F152+F144</f>
        <v>209333806.25</v>
      </c>
      <c r="G11" s="12">
        <f>G12+G30+G49+G125+G148+G152</f>
        <v>784042</v>
      </c>
      <c r="I11" s="12">
        <v>201918524.93</v>
      </c>
      <c r="J11" s="1">
        <f>J152</f>
        <v>784042</v>
      </c>
      <c r="L11" s="114">
        <f>F11-I11</f>
        <v>7415281.319999993</v>
      </c>
      <c r="M11" s="114">
        <f>G11-J11</f>
        <v>0</v>
      </c>
    </row>
    <row r="12" spans="1:13" s="113" customFormat="1" ht="47.25" outlineLevel="1">
      <c r="A12" s="82" t="s">
        <v>663</v>
      </c>
      <c r="B12" s="83" t="s">
        <v>2</v>
      </c>
      <c r="C12" s="83" t="s">
        <v>5</v>
      </c>
      <c r="D12" s="83" t="s">
        <v>4</v>
      </c>
      <c r="E12" s="83" t="s">
        <v>1</v>
      </c>
      <c r="F12" s="12">
        <f>F13+F22</f>
        <v>2309803</v>
      </c>
      <c r="G12" s="1"/>
      <c r="I12" s="12">
        <v>2246129.49</v>
      </c>
      <c r="J12" s="1"/>
      <c r="L12" s="114">
        <f>F12-I12</f>
        <v>63673.50999999978</v>
      </c>
      <c r="M12" s="114">
        <f>G12-J12</f>
        <v>0</v>
      </c>
    </row>
    <row r="13" spans="1:13" ht="47.25" hidden="1" outlineLevel="2">
      <c r="A13" s="82" t="s">
        <v>656</v>
      </c>
      <c r="B13" s="83" t="s">
        <v>2</v>
      </c>
      <c r="C13" s="83" t="s">
        <v>5</v>
      </c>
      <c r="D13" s="83" t="s">
        <v>6</v>
      </c>
      <c r="E13" s="83" t="s">
        <v>1</v>
      </c>
      <c r="F13" s="12">
        <f>F14</f>
        <v>0</v>
      </c>
      <c r="G13" s="1"/>
      <c r="I13" s="12">
        <v>96826.49</v>
      </c>
      <c r="J13" s="1"/>
      <c r="L13" s="114">
        <f aca="true" t="shared" si="0" ref="L13:L88">F13-I13</f>
        <v>-96826.49</v>
      </c>
      <c r="M13" s="114">
        <f aca="true" t="shared" si="1" ref="M13:M88">G13-J13</f>
        <v>0</v>
      </c>
    </row>
    <row r="14" spans="1:13" ht="31.5" hidden="1" outlineLevel="3">
      <c r="A14" s="82" t="s">
        <v>613</v>
      </c>
      <c r="B14" s="83" t="s">
        <v>2</v>
      </c>
      <c r="C14" s="83" t="s">
        <v>5</v>
      </c>
      <c r="D14" s="83" t="s">
        <v>7</v>
      </c>
      <c r="E14" s="83" t="s">
        <v>1</v>
      </c>
      <c r="F14" s="12">
        <f>F19+F15</f>
        <v>0</v>
      </c>
      <c r="G14" s="1"/>
      <c r="I14" s="12">
        <v>96826.49</v>
      </c>
      <c r="J14" s="1"/>
      <c r="L14" s="114">
        <f t="shared" si="0"/>
        <v>-96826.49</v>
      </c>
      <c r="M14" s="114">
        <f t="shared" si="1"/>
        <v>0</v>
      </c>
    </row>
    <row r="15" spans="1:13" ht="63" hidden="1" outlineLevel="3">
      <c r="A15" s="76" t="s">
        <v>488</v>
      </c>
      <c r="B15" s="77" t="s">
        <v>2</v>
      </c>
      <c r="C15" s="77" t="s">
        <v>5</v>
      </c>
      <c r="D15" s="77" t="s">
        <v>15</v>
      </c>
      <c r="E15" s="77" t="s">
        <v>1</v>
      </c>
      <c r="F15" s="13">
        <f>F16</f>
        <v>0</v>
      </c>
      <c r="G15" s="1"/>
      <c r="I15" s="12"/>
      <c r="J15" s="1"/>
      <c r="L15" s="114"/>
      <c r="M15" s="114"/>
    </row>
    <row r="16" spans="1:13" ht="31.5" hidden="1" outlineLevel="3">
      <c r="A16" s="76" t="s">
        <v>430</v>
      </c>
      <c r="B16" s="77" t="s">
        <v>2</v>
      </c>
      <c r="C16" s="77" t="s">
        <v>5</v>
      </c>
      <c r="D16" s="77" t="s">
        <v>16</v>
      </c>
      <c r="E16" s="77" t="s">
        <v>1</v>
      </c>
      <c r="F16" s="13">
        <f>F17+F18</f>
        <v>0</v>
      </c>
      <c r="G16" s="1"/>
      <c r="I16" s="12"/>
      <c r="J16" s="1"/>
      <c r="L16" s="114"/>
      <c r="M16" s="114"/>
    </row>
    <row r="17" spans="1:13" ht="78.75" hidden="1" outlineLevel="3">
      <c r="A17" s="76" t="s">
        <v>708</v>
      </c>
      <c r="B17" s="77" t="s">
        <v>2</v>
      </c>
      <c r="C17" s="77" t="s">
        <v>5</v>
      </c>
      <c r="D17" s="77" t="s">
        <v>16</v>
      </c>
      <c r="E17" s="77" t="s">
        <v>10</v>
      </c>
      <c r="F17" s="13">
        <f>'Приложение_7 '!G19</f>
        <v>0</v>
      </c>
      <c r="G17" s="1"/>
      <c r="I17" s="12"/>
      <c r="J17" s="1"/>
      <c r="L17" s="114"/>
      <c r="M17" s="114"/>
    </row>
    <row r="18" spans="1:13" ht="31.5" hidden="1" outlineLevel="3">
      <c r="A18" s="76" t="s">
        <v>693</v>
      </c>
      <c r="B18" s="77" t="s">
        <v>2</v>
      </c>
      <c r="C18" s="77" t="s">
        <v>5</v>
      </c>
      <c r="D18" s="77" t="s">
        <v>16</v>
      </c>
      <c r="E18" s="77" t="s">
        <v>17</v>
      </c>
      <c r="F18" s="13">
        <f>'Приложение_7 '!G20</f>
        <v>0</v>
      </c>
      <c r="G18" s="1"/>
      <c r="I18" s="12"/>
      <c r="J18" s="1"/>
      <c r="L18" s="114"/>
      <c r="M18" s="114"/>
    </row>
    <row r="19" spans="1:13" ht="47.25" hidden="1" outlineLevel="4">
      <c r="A19" s="19" t="s">
        <v>487</v>
      </c>
      <c r="B19" s="20" t="s">
        <v>2</v>
      </c>
      <c r="C19" s="20" t="s">
        <v>5</v>
      </c>
      <c r="D19" s="20" t="s">
        <v>8</v>
      </c>
      <c r="E19" s="20" t="s">
        <v>1</v>
      </c>
      <c r="F19" s="13">
        <f>F20</f>
        <v>0</v>
      </c>
      <c r="G19" s="2"/>
      <c r="I19" s="13">
        <v>96826.49</v>
      </c>
      <c r="J19" s="2"/>
      <c r="L19" s="114">
        <f t="shared" si="0"/>
        <v>-96826.49</v>
      </c>
      <c r="M19" s="114">
        <f t="shared" si="1"/>
        <v>0</v>
      </c>
    </row>
    <row r="20" spans="1:13" ht="31.5" hidden="1" outlineLevel="5">
      <c r="A20" s="19" t="s">
        <v>430</v>
      </c>
      <c r="B20" s="20" t="s">
        <v>2</v>
      </c>
      <c r="C20" s="20" t="s">
        <v>5</v>
      </c>
      <c r="D20" s="20" t="s">
        <v>9</v>
      </c>
      <c r="E20" s="20" t="s">
        <v>1</v>
      </c>
      <c r="F20" s="13">
        <f>F21</f>
        <v>0</v>
      </c>
      <c r="G20" s="2"/>
      <c r="I20" s="13">
        <v>96826.49</v>
      </c>
      <c r="J20" s="2"/>
      <c r="L20" s="114">
        <f t="shared" si="0"/>
        <v>-96826.49</v>
      </c>
      <c r="M20" s="114">
        <f t="shared" si="1"/>
        <v>0</v>
      </c>
    </row>
    <row r="21" spans="1:13" ht="78.75" hidden="1" outlineLevel="6">
      <c r="A21" s="19" t="s">
        <v>708</v>
      </c>
      <c r="B21" s="20" t="s">
        <v>2</v>
      </c>
      <c r="C21" s="20" t="s">
        <v>5</v>
      </c>
      <c r="D21" s="20" t="s">
        <v>9</v>
      </c>
      <c r="E21" s="20" t="s">
        <v>10</v>
      </c>
      <c r="F21" s="13">
        <f>'Приложение_7 '!G23</f>
        <v>0</v>
      </c>
      <c r="G21" s="2"/>
      <c r="I21" s="13">
        <v>96826.49</v>
      </c>
      <c r="J21" s="2"/>
      <c r="L21" s="114">
        <f t="shared" si="0"/>
        <v>-96826.49</v>
      </c>
      <c r="M21" s="114">
        <f t="shared" si="1"/>
        <v>0</v>
      </c>
    </row>
    <row r="22" spans="1:13" ht="30.75" customHeight="1" outlineLevel="2" collapsed="1">
      <c r="A22" s="82" t="s">
        <v>490</v>
      </c>
      <c r="B22" s="83" t="s">
        <v>2</v>
      </c>
      <c r="C22" s="83" t="s">
        <v>5</v>
      </c>
      <c r="D22" s="83" t="s">
        <v>11</v>
      </c>
      <c r="E22" s="83" t="s">
        <v>1</v>
      </c>
      <c r="F22" s="12">
        <f>F23+F28+F25</f>
        <v>2309803</v>
      </c>
      <c r="G22" s="1"/>
      <c r="I22" s="12">
        <v>2149303</v>
      </c>
      <c r="J22" s="1"/>
      <c r="L22" s="114">
        <f t="shared" si="0"/>
        <v>160500</v>
      </c>
      <c r="M22" s="114">
        <f t="shared" si="1"/>
        <v>0</v>
      </c>
    </row>
    <row r="23" spans="1:13" ht="31.5" outlineLevel="5">
      <c r="A23" s="19" t="s">
        <v>431</v>
      </c>
      <c r="B23" s="20" t="s">
        <v>2</v>
      </c>
      <c r="C23" s="20" t="s">
        <v>5</v>
      </c>
      <c r="D23" s="20" t="s">
        <v>12</v>
      </c>
      <c r="E23" s="20" t="s">
        <v>1</v>
      </c>
      <c r="F23" s="13">
        <f>F24</f>
        <v>2124303</v>
      </c>
      <c r="G23" s="2"/>
      <c r="I23" s="13">
        <v>2124303</v>
      </c>
      <c r="J23" s="2"/>
      <c r="L23" s="114">
        <f t="shared" si="0"/>
        <v>0</v>
      </c>
      <c r="M23" s="114">
        <f t="shared" si="1"/>
        <v>0</v>
      </c>
    </row>
    <row r="24" spans="1:13" ht="78.75" outlineLevel="6">
      <c r="A24" s="19" t="s">
        <v>708</v>
      </c>
      <c r="B24" s="20" t="s">
        <v>2</v>
      </c>
      <c r="C24" s="20" t="s">
        <v>5</v>
      </c>
      <c r="D24" s="20" t="s">
        <v>12</v>
      </c>
      <c r="E24" s="20" t="s">
        <v>10</v>
      </c>
      <c r="F24" s="13">
        <v>2124303</v>
      </c>
      <c r="G24" s="2"/>
      <c r="I24" s="13">
        <v>2124303</v>
      </c>
      <c r="J24" s="2"/>
      <c r="L24" s="114">
        <f t="shared" si="0"/>
        <v>0</v>
      </c>
      <c r="M24" s="114">
        <f t="shared" si="1"/>
        <v>0</v>
      </c>
    </row>
    <row r="25" spans="1:13" ht="31.5" outlineLevel="6">
      <c r="A25" s="76" t="s">
        <v>1313</v>
      </c>
      <c r="B25" s="77" t="s">
        <v>2</v>
      </c>
      <c r="C25" s="77" t="s">
        <v>5</v>
      </c>
      <c r="D25" s="77" t="s">
        <v>1314</v>
      </c>
      <c r="E25" s="77" t="s">
        <v>1</v>
      </c>
      <c r="F25" s="13">
        <f>F27+F26</f>
        <v>160500</v>
      </c>
      <c r="G25" s="2"/>
      <c r="I25" s="13"/>
      <c r="J25" s="2"/>
      <c r="L25" s="114"/>
      <c r="M25" s="114"/>
    </row>
    <row r="26" spans="1:13" ht="78.75" outlineLevel="6">
      <c r="A26" s="76" t="s">
        <v>708</v>
      </c>
      <c r="B26" s="77" t="s">
        <v>2</v>
      </c>
      <c r="C26" s="77" t="s">
        <v>5</v>
      </c>
      <c r="D26" s="77" t="s">
        <v>1314</v>
      </c>
      <c r="E26" s="77" t="s">
        <v>10</v>
      </c>
      <c r="F26" s="13">
        <f>'Приложение_7 '!G28</f>
        <v>136500</v>
      </c>
      <c r="G26" s="2"/>
      <c r="I26" s="13"/>
      <c r="J26" s="2"/>
      <c r="L26" s="114"/>
      <c r="M26" s="114"/>
    </row>
    <row r="27" spans="1:13" ht="31.5" outlineLevel="6">
      <c r="A27" s="76" t="s">
        <v>693</v>
      </c>
      <c r="B27" s="77" t="s">
        <v>2</v>
      </c>
      <c r="C27" s="77" t="s">
        <v>5</v>
      </c>
      <c r="D27" s="77" t="s">
        <v>1314</v>
      </c>
      <c r="E27" s="77" t="s">
        <v>17</v>
      </c>
      <c r="F27" s="13">
        <f>'Приложение_7 '!G29</f>
        <v>24000</v>
      </c>
      <c r="G27" s="2"/>
      <c r="I27" s="13"/>
      <c r="J27" s="2"/>
      <c r="L27" s="114"/>
      <c r="M27" s="114"/>
    </row>
    <row r="28" spans="1:13" ht="63" outlineLevel="5">
      <c r="A28" s="19" t="s">
        <v>432</v>
      </c>
      <c r="B28" s="20" t="s">
        <v>2</v>
      </c>
      <c r="C28" s="20" t="s">
        <v>5</v>
      </c>
      <c r="D28" s="20" t="s">
        <v>13</v>
      </c>
      <c r="E28" s="20" t="s">
        <v>1</v>
      </c>
      <c r="F28" s="13">
        <f>F29</f>
        <v>25000</v>
      </c>
      <c r="G28" s="1"/>
      <c r="I28" s="13">
        <v>25000</v>
      </c>
      <c r="J28" s="1"/>
      <c r="L28" s="114">
        <f t="shared" si="0"/>
        <v>0</v>
      </c>
      <c r="M28" s="114">
        <f t="shared" si="1"/>
        <v>0</v>
      </c>
    </row>
    <row r="29" spans="1:13" ht="78.75" outlineLevel="6">
      <c r="A29" s="19" t="s">
        <v>708</v>
      </c>
      <c r="B29" s="20" t="s">
        <v>2</v>
      </c>
      <c r="C29" s="20" t="s">
        <v>5</v>
      </c>
      <c r="D29" s="20" t="s">
        <v>13</v>
      </c>
      <c r="E29" s="20" t="s">
        <v>10</v>
      </c>
      <c r="F29" s="13">
        <f>'Приложение_7 '!G31</f>
        <v>25000</v>
      </c>
      <c r="G29" s="2"/>
      <c r="I29" s="13">
        <v>25000</v>
      </c>
      <c r="J29" s="2"/>
      <c r="L29" s="114">
        <f t="shared" si="0"/>
        <v>0</v>
      </c>
      <c r="M29" s="114">
        <f t="shared" si="1"/>
        <v>0</v>
      </c>
    </row>
    <row r="30" spans="1:13" s="113" customFormat="1" ht="70.5" customHeight="1" outlineLevel="1">
      <c r="A30" s="82" t="s">
        <v>664</v>
      </c>
      <c r="B30" s="83" t="s">
        <v>2</v>
      </c>
      <c r="C30" s="83" t="s">
        <v>14</v>
      </c>
      <c r="D30" s="83" t="s">
        <v>4</v>
      </c>
      <c r="E30" s="83" t="s">
        <v>1</v>
      </c>
      <c r="F30" s="12">
        <f>F31+F40</f>
        <v>3463148.9699999997</v>
      </c>
      <c r="G30" s="1"/>
      <c r="I30" s="12">
        <v>4916157</v>
      </c>
      <c r="J30" s="1"/>
      <c r="L30" s="114">
        <f t="shared" si="0"/>
        <v>-1453008.0300000003</v>
      </c>
      <c r="M30" s="114">
        <f t="shared" si="1"/>
        <v>0</v>
      </c>
    </row>
    <row r="31" spans="1:13" ht="47.25" outlineLevel="2">
      <c r="A31" s="82" t="s">
        <v>656</v>
      </c>
      <c r="B31" s="83" t="s">
        <v>2</v>
      </c>
      <c r="C31" s="83" t="s">
        <v>14</v>
      </c>
      <c r="D31" s="83" t="s">
        <v>6</v>
      </c>
      <c r="E31" s="83" t="s">
        <v>1</v>
      </c>
      <c r="F31" s="12">
        <f>F32</f>
        <v>36181</v>
      </c>
      <c r="G31" s="1"/>
      <c r="I31" s="12">
        <v>80932</v>
      </c>
      <c r="J31" s="1"/>
      <c r="L31" s="114">
        <f t="shared" si="0"/>
        <v>-44751</v>
      </c>
      <c r="M31" s="114">
        <f t="shared" si="1"/>
        <v>0</v>
      </c>
    </row>
    <row r="32" spans="1:13" ht="31.5" outlineLevel="3">
      <c r="A32" s="82" t="s">
        <v>613</v>
      </c>
      <c r="B32" s="83" t="s">
        <v>2</v>
      </c>
      <c r="C32" s="83" t="s">
        <v>14</v>
      </c>
      <c r="D32" s="83" t="s">
        <v>7</v>
      </c>
      <c r="E32" s="83" t="s">
        <v>1</v>
      </c>
      <c r="F32" s="12">
        <f>F33+F37</f>
        <v>36181</v>
      </c>
      <c r="G32" s="1"/>
      <c r="I32" s="12">
        <v>80932</v>
      </c>
      <c r="J32" s="1"/>
      <c r="L32" s="114">
        <f t="shared" si="0"/>
        <v>-44751</v>
      </c>
      <c r="M32" s="114">
        <f t="shared" si="1"/>
        <v>0</v>
      </c>
    </row>
    <row r="33" spans="1:13" ht="63" outlineLevel="4">
      <c r="A33" s="19" t="s">
        <v>488</v>
      </c>
      <c r="B33" s="20" t="s">
        <v>2</v>
      </c>
      <c r="C33" s="20" t="s">
        <v>14</v>
      </c>
      <c r="D33" s="20" t="s">
        <v>15</v>
      </c>
      <c r="E33" s="20" t="s">
        <v>1</v>
      </c>
      <c r="F33" s="13">
        <f>F34</f>
        <v>27049</v>
      </c>
      <c r="G33" s="2"/>
      <c r="I33" s="13">
        <v>71800</v>
      </c>
      <c r="J33" s="2"/>
      <c r="L33" s="114">
        <f t="shared" si="0"/>
        <v>-44751</v>
      </c>
      <c r="M33" s="114">
        <f t="shared" si="1"/>
        <v>0</v>
      </c>
    </row>
    <row r="34" spans="1:13" ht="31.5" outlineLevel="5">
      <c r="A34" s="19" t="s">
        <v>430</v>
      </c>
      <c r="B34" s="20" t="s">
        <v>2</v>
      </c>
      <c r="C34" s="20" t="s">
        <v>14</v>
      </c>
      <c r="D34" s="20" t="s">
        <v>16</v>
      </c>
      <c r="E34" s="20" t="s">
        <v>1</v>
      </c>
      <c r="F34" s="13">
        <f>F35+F36</f>
        <v>27049</v>
      </c>
      <c r="G34" s="2"/>
      <c r="I34" s="13">
        <v>71800</v>
      </c>
      <c r="J34" s="2"/>
      <c r="L34" s="114">
        <f t="shared" si="0"/>
        <v>-44751</v>
      </c>
      <c r="M34" s="114">
        <f t="shared" si="1"/>
        <v>0</v>
      </c>
    </row>
    <row r="35" spans="1:13" ht="78.75" outlineLevel="6">
      <c r="A35" s="19" t="s">
        <v>708</v>
      </c>
      <c r="B35" s="20" t="s">
        <v>2</v>
      </c>
      <c r="C35" s="20" t="s">
        <v>14</v>
      </c>
      <c r="D35" s="20" t="s">
        <v>16</v>
      </c>
      <c r="E35" s="20" t="s">
        <v>10</v>
      </c>
      <c r="F35" s="13">
        <f>'Приложение_7 '!G37</f>
        <v>9549</v>
      </c>
      <c r="G35" s="2"/>
      <c r="I35" s="13">
        <v>32300</v>
      </c>
      <c r="J35" s="2"/>
      <c r="L35" s="114">
        <f t="shared" si="0"/>
        <v>-22751</v>
      </c>
      <c r="M35" s="114">
        <f t="shared" si="1"/>
        <v>0</v>
      </c>
    </row>
    <row r="36" spans="1:13" ht="31.5" outlineLevel="6">
      <c r="A36" s="19" t="s">
        <v>693</v>
      </c>
      <c r="B36" s="20" t="s">
        <v>2</v>
      </c>
      <c r="C36" s="20" t="s">
        <v>14</v>
      </c>
      <c r="D36" s="20" t="s">
        <v>16</v>
      </c>
      <c r="E36" s="20" t="s">
        <v>17</v>
      </c>
      <c r="F36" s="13">
        <f>'Приложение_7 '!G38</f>
        <v>17500</v>
      </c>
      <c r="G36" s="2"/>
      <c r="I36" s="13">
        <v>39500</v>
      </c>
      <c r="J36" s="2"/>
      <c r="L36" s="114">
        <f t="shared" si="0"/>
        <v>-22000</v>
      </c>
      <c r="M36" s="114">
        <f t="shared" si="1"/>
        <v>0</v>
      </c>
    </row>
    <row r="37" spans="1:13" ht="15.75" outlineLevel="4">
      <c r="A37" s="19" t="s">
        <v>489</v>
      </c>
      <c r="B37" s="20" t="s">
        <v>2</v>
      </c>
      <c r="C37" s="20" t="s">
        <v>14</v>
      </c>
      <c r="D37" s="20" t="s">
        <v>18</v>
      </c>
      <c r="E37" s="20" t="s">
        <v>1</v>
      </c>
      <c r="F37" s="13">
        <f>F38</f>
        <v>9132</v>
      </c>
      <c r="G37" s="2"/>
      <c r="I37" s="13">
        <v>9132</v>
      </c>
      <c r="J37" s="2"/>
      <c r="L37" s="114">
        <f t="shared" si="0"/>
        <v>0</v>
      </c>
      <c r="M37" s="114">
        <f t="shared" si="1"/>
        <v>0</v>
      </c>
    </row>
    <row r="38" spans="1:13" ht="31.5" outlineLevel="5">
      <c r="A38" s="19" t="s">
        <v>430</v>
      </c>
      <c r="B38" s="20" t="s">
        <v>2</v>
      </c>
      <c r="C38" s="20" t="s">
        <v>14</v>
      </c>
      <c r="D38" s="20" t="s">
        <v>19</v>
      </c>
      <c r="E38" s="20" t="s">
        <v>1</v>
      </c>
      <c r="F38" s="13">
        <f>F39</f>
        <v>9132</v>
      </c>
      <c r="G38" s="2"/>
      <c r="I38" s="13">
        <v>9132</v>
      </c>
      <c r="J38" s="2"/>
      <c r="L38" s="114">
        <f t="shared" si="0"/>
        <v>0</v>
      </c>
      <c r="M38" s="114">
        <f t="shared" si="1"/>
        <v>0</v>
      </c>
    </row>
    <row r="39" spans="1:13" ht="31.5" outlineLevel="6">
      <c r="A39" s="19" t="s">
        <v>693</v>
      </c>
      <c r="B39" s="20" t="s">
        <v>2</v>
      </c>
      <c r="C39" s="20" t="s">
        <v>14</v>
      </c>
      <c r="D39" s="20" t="s">
        <v>19</v>
      </c>
      <c r="E39" s="20" t="s">
        <v>17</v>
      </c>
      <c r="F39" s="13">
        <f>'Приложение_7 '!G41</f>
        <v>9132</v>
      </c>
      <c r="G39" s="2"/>
      <c r="I39" s="13">
        <v>9132</v>
      </c>
      <c r="J39" s="2"/>
      <c r="L39" s="114">
        <f t="shared" si="0"/>
        <v>0</v>
      </c>
      <c r="M39" s="114">
        <f t="shared" si="1"/>
        <v>0</v>
      </c>
    </row>
    <row r="40" spans="1:13" ht="15.75" outlineLevel="2">
      <c r="A40" s="82" t="s">
        <v>490</v>
      </c>
      <c r="B40" s="83" t="s">
        <v>2</v>
      </c>
      <c r="C40" s="83" t="s">
        <v>14</v>
      </c>
      <c r="D40" s="83" t="s">
        <v>11</v>
      </c>
      <c r="E40" s="83" t="s">
        <v>1</v>
      </c>
      <c r="F40" s="12">
        <f>F41+F43+F47+F45</f>
        <v>3426967.9699999997</v>
      </c>
      <c r="G40" s="1"/>
      <c r="I40" s="12">
        <v>4835225</v>
      </c>
      <c r="J40" s="1"/>
      <c r="L40" s="114">
        <f t="shared" si="0"/>
        <v>-1408257.0300000003</v>
      </c>
      <c r="M40" s="114">
        <f t="shared" si="1"/>
        <v>0</v>
      </c>
    </row>
    <row r="41" spans="1:13" ht="47.25" hidden="1" outlineLevel="5">
      <c r="A41" s="19" t="s">
        <v>433</v>
      </c>
      <c r="B41" s="20" t="s">
        <v>2</v>
      </c>
      <c r="C41" s="20" t="s">
        <v>14</v>
      </c>
      <c r="D41" s="20" t="s">
        <v>20</v>
      </c>
      <c r="E41" s="20" t="s">
        <v>1</v>
      </c>
      <c r="F41" s="13">
        <f>F42</f>
        <v>0</v>
      </c>
      <c r="G41" s="2"/>
      <c r="I41" s="13">
        <v>1714645</v>
      </c>
      <c r="J41" s="2"/>
      <c r="L41" s="114">
        <f t="shared" si="0"/>
        <v>-1714645</v>
      </c>
      <c r="M41" s="114">
        <f t="shared" si="1"/>
        <v>0</v>
      </c>
    </row>
    <row r="42" spans="1:13" ht="78.75" hidden="1" outlineLevel="6">
      <c r="A42" s="19" t="s">
        <v>708</v>
      </c>
      <c r="B42" s="20" t="s">
        <v>2</v>
      </c>
      <c r="C42" s="20" t="s">
        <v>14</v>
      </c>
      <c r="D42" s="20" t="s">
        <v>20</v>
      </c>
      <c r="E42" s="20" t="s">
        <v>10</v>
      </c>
      <c r="F42" s="13">
        <f>'Приложение_7 '!G44</f>
        <v>0</v>
      </c>
      <c r="G42" s="2"/>
      <c r="I42" s="13">
        <v>1714645</v>
      </c>
      <c r="J42" s="2"/>
      <c r="L42" s="114">
        <f t="shared" si="0"/>
        <v>-1714645</v>
      </c>
      <c r="M42" s="114">
        <f t="shared" si="1"/>
        <v>0</v>
      </c>
    </row>
    <row r="43" spans="1:13" ht="31.5" outlineLevel="5" collapsed="1">
      <c r="A43" s="19" t="s">
        <v>434</v>
      </c>
      <c r="B43" s="20" t="s">
        <v>2</v>
      </c>
      <c r="C43" s="20" t="s">
        <v>14</v>
      </c>
      <c r="D43" s="20" t="s">
        <v>21</v>
      </c>
      <c r="E43" s="20" t="s">
        <v>1</v>
      </c>
      <c r="F43" s="13">
        <f>F44</f>
        <v>2987580</v>
      </c>
      <c r="G43" s="1"/>
      <c r="I43" s="13">
        <v>2987580</v>
      </c>
      <c r="J43" s="1"/>
      <c r="L43" s="114">
        <f t="shared" si="0"/>
        <v>0</v>
      </c>
      <c r="M43" s="114">
        <f t="shared" si="1"/>
        <v>0</v>
      </c>
    </row>
    <row r="44" spans="1:13" ht="78.75" outlineLevel="6">
      <c r="A44" s="19" t="s">
        <v>708</v>
      </c>
      <c r="B44" s="20" t="s">
        <v>2</v>
      </c>
      <c r="C44" s="20" t="s">
        <v>14</v>
      </c>
      <c r="D44" s="20" t="s">
        <v>21</v>
      </c>
      <c r="E44" s="20" t="s">
        <v>10</v>
      </c>
      <c r="F44" s="13">
        <f>'Приложение_7 '!G46</f>
        <v>2987580</v>
      </c>
      <c r="G44" s="2"/>
      <c r="I44" s="13">
        <v>2987580</v>
      </c>
      <c r="J44" s="2"/>
      <c r="L44" s="114">
        <f t="shared" si="0"/>
        <v>0</v>
      </c>
      <c r="M44" s="114">
        <f t="shared" si="1"/>
        <v>0</v>
      </c>
    </row>
    <row r="45" spans="1:13" ht="47.25" outlineLevel="6">
      <c r="A45" s="76" t="s">
        <v>436</v>
      </c>
      <c r="B45" s="77" t="s">
        <v>2</v>
      </c>
      <c r="C45" s="77" t="s">
        <v>14</v>
      </c>
      <c r="D45" s="77" t="s">
        <v>62</v>
      </c>
      <c r="E45" s="77" t="s">
        <v>1</v>
      </c>
      <c r="F45" s="13">
        <f>F46</f>
        <v>306387.97</v>
      </c>
      <c r="G45" s="2"/>
      <c r="I45" s="13"/>
      <c r="J45" s="2"/>
      <c r="L45" s="114"/>
      <c r="M45" s="114"/>
    </row>
    <row r="46" spans="1:13" ht="78.75" outlineLevel="6">
      <c r="A46" s="76" t="s">
        <v>708</v>
      </c>
      <c r="B46" s="77" t="s">
        <v>2</v>
      </c>
      <c r="C46" s="77" t="s">
        <v>14</v>
      </c>
      <c r="D46" s="77" t="s">
        <v>62</v>
      </c>
      <c r="E46" s="77" t="s">
        <v>10</v>
      </c>
      <c r="F46" s="13">
        <f>'Приложение_7 '!G47</f>
        <v>306387.97</v>
      </c>
      <c r="G46" s="2"/>
      <c r="I46" s="13"/>
      <c r="J46" s="2"/>
      <c r="L46" s="114"/>
      <c r="M46" s="114"/>
    </row>
    <row r="47" spans="1:13" ht="63" outlineLevel="5">
      <c r="A47" s="19" t="s">
        <v>432</v>
      </c>
      <c r="B47" s="20" t="s">
        <v>2</v>
      </c>
      <c r="C47" s="20" t="s">
        <v>14</v>
      </c>
      <c r="D47" s="20" t="s">
        <v>13</v>
      </c>
      <c r="E47" s="20" t="s">
        <v>1</v>
      </c>
      <c r="F47" s="13">
        <f>F48</f>
        <v>133000</v>
      </c>
      <c r="G47" s="2"/>
      <c r="I47" s="13">
        <v>133000</v>
      </c>
      <c r="J47" s="2"/>
      <c r="L47" s="114">
        <f t="shared" si="0"/>
        <v>0</v>
      </c>
      <c r="M47" s="114">
        <f t="shared" si="1"/>
        <v>0</v>
      </c>
    </row>
    <row r="48" spans="1:13" ht="78.75" outlineLevel="6">
      <c r="A48" s="19" t="s">
        <v>708</v>
      </c>
      <c r="B48" s="20" t="s">
        <v>2</v>
      </c>
      <c r="C48" s="20" t="s">
        <v>14</v>
      </c>
      <c r="D48" s="20" t="s">
        <v>13</v>
      </c>
      <c r="E48" s="20" t="s">
        <v>10</v>
      </c>
      <c r="F48" s="13">
        <f>'Приложение_7 '!G50</f>
        <v>133000</v>
      </c>
      <c r="G48" s="2"/>
      <c r="I48" s="13">
        <v>133000</v>
      </c>
      <c r="J48" s="2"/>
      <c r="L48" s="114">
        <f t="shared" si="0"/>
        <v>0</v>
      </c>
      <c r="M48" s="114">
        <f t="shared" si="1"/>
        <v>0</v>
      </c>
    </row>
    <row r="49" spans="1:13" s="113" customFormat="1" ht="63" outlineLevel="1">
      <c r="A49" s="82" t="s">
        <v>665</v>
      </c>
      <c r="B49" s="83" t="s">
        <v>2</v>
      </c>
      <c r="C49" s="83" t="s">
        <v>22</v>
      </c>
      <c r="D49" s="83" t="s">
        <v>4</v>
      </c>
      <c r="E49" s="83" t="s">
        <v>1</v>
      </c>
      <c r="F49" s="12">
        <f>F50+F74+F84</f>
        <v>78781842.1</v>
      </c>
      <c r="G49" s="1"/>
      <c r="I49" s="12">
        <v>78676842.02</v>
      </c>
      <c r="J49" s="1"/>
      <c r="L49" s="114">
        <f t="shared" si="0"/>
        <v>105000.07999999821</v>
      </c>
      <c r="M49" s="114">
        <f t="shared" si="1"/>
        <v>0</v>
      </c>
    </row>
    <row r="50" spans="1:13" ht="31.5" outlineLevel="2">
      <c r="A50" s="82" t="s">
        <v>657</v>
      </c>
      <c r="B50" s="83" t="s">
        <v>2</v>
      </c>
      <c r="C50" s="83" t="s">
        <v>22</v>
      </c>
      <c r="D50" s="83" t="s">
        <v>23</v>
      </c>
      <c r="E50" s="83" t="s">
        <v>1</v>
      </c>
      <c r="F50" s="12">
        <f>F51</f>
        <v>16476318.659999998</v>
      </c>
      <c r="G50" s="1"/>
      <c r="I50" s="12">
        <v>16476318.66</v>
      </c>
      <c r="J50" s="1"/>
      <c r="L50" s="114">
        <f t="shared" si="0"/>
        <v>0</v>
      </c>
      <c r="M50" s="114">
        <f t="shared" si="1"/>
        <v>0</v>
      </c>
    </row>
    <row r="51" spans="1:13" ht="47.25" outlineLevel="3">
      <c r="A51" s="82" t="s">
        <v>614</v>
      </c>
      <c r="B51" s="83" t="s">
        <v>2</v>
      </c>
      <c r="C51" s="83" t="s">
        <v>22</v>
      </c>
      <c r="D51" s="83" t="s">
        <v>24</v>
      </c>
      <c r="E51" s="83" t="s">
        <v>1</v>
      </c>
      <c r="F51" s="12">
        <f>F52+F4+F55+F60+F67</f>
        <v>16476318.659999998</v>
      </c>
      <c r="G51" s="1"/>
      <c r="I51" s="12">
        <v>16476318.66</v>
      </c>
      <c r="J51" s="1"/>
      <c r="L51" s="114">
        <f t="shared" si="0"/>
        <v>0</v>
      </c>
      <c r="M51" s="114">
        <f t="shared" si="1"/>
        <v>0</v>
      </c>
    </row>
    <row r="52" spans="1:13" ht="126" outlineLevel="4">
      <c r="A52" s="19" t="s">
        <v>491</v>
      </c>
      <c r="B52" s="20" t="s">
        <v>2</v>
      </c>
      <c r="C52" s="20" t="s">
        <v>22</v>
      </c>
      <c r="D52" s="20" t="s">
        <v>25</v>
      </c>
      <c r="E52" s="20" t="s">
        <v>1</v>
      </c>
      <c r="F52" s="13">
        <f>F53</f>
        <v>478823.5900000001</v>
      </c>
      <c r="G52" s="2"/>
      <c r="I52" s="13">
        <v>1373779.26</v>
      </c>
      <c r="J52" s="2"/>
      <c r="L52" s="114">
        <f t="shared" si="0"/>
        <v>-894955.6699999999</v>
      </c>
      <c r="M52" s="114">
        <f t="shared" si="1"/>
        <v>0</v>
      </c>
    </row>
    <row r="53" spans="1:13" ht="31.5" outlineLevel="5">
      <c r="A53" s="19" t="s">
        <v>434</v>
      </c>
      <c r="B53" s="20" t="s">
        <v>2</v>
      </c>
      <c r="C53" s="20" t="s">
        <v>22</v>
      </c>
      <c r="D53" s="20" t="s">
        <v>26</v>
      </c>
      <c r="E53" s="20" t="s">
        <v>1</v>
      </c>
      <c r="F53" s="13">
        <f>F54</f>
        <v>478823.5900000001</v>
      </c>
      <c r="G53" s="2"/>
      <c r="I53" s="13">
        <v>1373779.26</v>
      </c>
      <c r="J53" s="2"/>
      <c r="L53" s="114">
        <f t="shared" si="0"/>
        <v>-894955.6699999999</v>
      </c>
      <c r="M53" s="114">
        <f t="shared" si="1"/>
        <v>0</v>
      </c>
    </row>
    <row r="54" spans="1:13" ht="78.75" outlineLevel="6">
      <c r="A54" s="19" t="s">
        <v>708</v>
      </c>
      <c r="B54" s="20" t="s">
        <v>2</v>
      </c>
      <c r="C54" s="20" t="s">
        <v>22</v>
      </c>
      <c r="D54" s="20" t="s">
        <v>26</v>
      </c>
      <c r="E54" s="20" t="s">
        <v>10</v>
      </c>
      <c r="F54" s="13">
        <f>'Приложение_7 '!G629</f>
        <v>478823.5900000001</v>
      </c>
      <c r="G54" s="2"/>
      <c r="I54" s="13">
        <v>1373779.26</v>
      </c>
      <c r="J54" s="2"/>
      <c r="L54" s="114">
        <f t="shared" si="0"/>
        <v>-894955.6699999999</v>
      </c>
      <c r="M54" s="114">
        <f t="shared" si="1"/>
        <v>0</v>
      </c>
    </row>
    <row r="55" spans="1:13" ht="78.75" outlineLevel="4">
      <c r="A55" s="19" t="s">
        <v>492</v>
      </c>
      <c r="B55" s="20" t="s">
        <v>2</v>
      </c>
      <c r="C55" s="20" t="s">
        <v>22</v>
      </c>
      <c r="D55" s="20" t="s">
        <v>27</v>
      </c>
      <c r="E55" s="20" t="s">
        <v>1</v>
      </c>
      <c r="F55" s="13">
        <f>F56+F58</f>
        <v>2897595.5199999996</v>
      </c>
      <c r="G55" s="2"/>
      <c r="I55" s="13">
        <v>2124094.82</v>
      </c>
      <c r="J55" s="2"/>
      <c r="L55" s="114">
        <f t="shared" si="0"/>
        <v>773500.6999999997</v>
      </c>
      <c r="M55" s="114">
        <f t="shared" si="1"/>
        <v>0</v>
      </c>
    </row>
    <row r="56" spans="1:13" ht="31.5" outlineLevel="5">
      <c r="A56" s="19" t="s">
        <v>434</v>
      </c>
      <c r="B56" s="20" t="s">
        <v>2</v>
      </c>
      <c r="C56" s="20" t="s">
        <v>22</v>
      </c>
      <c r="D56" s="20" t="s">
        <v>28</v>
      </c>
      <c r="E56" s="20" t="s">
        <v>1</v>
      </c>
      <c r="F56" s="13">
        <f>F57</f>
        <v>2869995.5199999996</v>
      </c>
      <c r="G56" s="2"/>
      <c r="I56" s="13">
        <v>2099094.82</v>
      </c>
      <c r="J56" s="2"/>
      <c r="L56" s="114">
        <f t="shared" si="0"/>
        <v>770900.6999999997</v>
      </c>
      <c r="M56" s="114">
        <f t="shared" si="1"/>
        <v>0</v>
      </c>
    </row>
    <row r="57" spans="1:13" ht="78.75" outlineLevel="6">
      <c r="A57" s="19" t="s">
        <v>708</v>
      </c>
      <c r="B57" s="20" t="s">
        <v>2</v>
      </c>
      <c r="C57" s="20" t="s">
        <v>22</v>
      </c>
      <c r="D57" s="20" t="s">
        <v>28</v>
      </c>
      <c r="E57" s="20" t="s">
        <v>10</v>
      </c>
      <c r="F57" s="13">
        <f>'Приложение_7 '!G632</f>
        <v>2869995.5199999996</v>
      </c>
      <c r="G57" s="2"/>
      <c r="I57" s="13">
        <v>2099094.82</v>
      </c>
      <c r="J57" s="2"/>
      <c r="L57" s="114">
        <f t="shared" si="0"/>
        <v>770900.6999999997</v>
      </c>
      <c r="M57" s="114">
        <f t="shared" si="1"/>
        <v>0</v>
      </c>
    </row>
    <row r="58" spans="1:13" ht="63" outlineLevel="5">
      <c r="A58" s="19" t="s">
        <v>432</v>
      </c>
      <c r="B58" s="20" t="s">
        <v>2</v>
      </c>
      <c r="C58" s="20" t="s">
        <v>22</v>
      </c>
      <c r="D58" s="20" t="s">
        <v>29</v>
      </c>
      <c r="E58" s="20" t="s">
        <v>1</v>
      </c>
      <c r="F58" s="13">
        <f>F59</f>
        <v>27600</v>
      </c>
      <c r="G58" s="2"/>
      <c r="I58" s="13">
        <v>25000</v>
      </c>
      <c r="J58" s="2"/>
      <c r="L58" s="114">
        <f t="shared" si="0"/>
        <v>2600</v>
      </c>
      <c r="M58" s="114">
        <f t="shared" si="1"/>
        <v>0</v>
      </c>
    </row>
    <row r="59" spans="1:13" ht="78.75" outlineLevel="6">
      <c r="A59" s="19" t="s">
        <v>708</v>
      </c>
      <c r="B59" s="20" t="s">
        <v>2</v>
      </c>
      <c r="C59" s="20" t="s">
        <v>22</v>
      </c>
      <c r="D59" s="20" t="s">
        <v>29</v>
      </c>
      <c r="E59" s="20" t="s">
        <v>10</v>
      </c>
      <c r="F59" s="13">
        <f>'Приложение_7 '!G634</f>
        <v>27600</v>
      </c>
      <c r="G59" s="2"/>
      <c r="I59" s="13">
        <v>25000</v>
      </c>
      <c r="J59" s="2"/>
      <c r="L59" s="114">
        <f t="shared" si="0"/>
        <v>2600</v>
      </c>
      <c r="M59" s="114">
        <f t="shared" si="1"/>
        <v>0</v>
      </c>
    </row>
    <row r="60" spans="1:13" ht="110.25" outlineLevel="4">
      <c r="A60" s="19" t="s">
        <v>493</v>
      </c>
      <c r="B60" s="20" t="s">
        <v>2</v>
      </c>
      <c r="C60" s="20" t="s">
        <v>22</v>
      </c>
      <c r="D60" s="20" t="s">
        <v>30</v>
      </c>
      <c r="E60" s="20" t="s">
        <v>1</v>
      </c>
      <c r="F60" s="13">
        <f>F61+F63+F65</f>
        <v>6074534.6</v>
      </c>
      <c r="G60" s="2"/>
      <c r="I60" s="13">
        <v>5902579.31</v>
      </c>
      <c r="J60" s="2"/>
      <c r="L60" s="114">
        <f t="shared" si="0"/>
        <v>171955.29000000004</v>
      </c>
      <c r="M60" s="114">
        <f t="shared" si="1"/>
        <v>0</v>
      </c>
    </row>
    <row r="61" spans="1:13" ht="31.5" outlineLevel="5">
      <c r="A61" s="19" t="s">
        <v>434</v>
      </c>
      <c r="B61" s="20" t="s">
        <v>2</v>
      </c>
      <c r="C61" s="20" t="s">
        <v>22</v>
      </c>
      <c r="D61" s="20" t="s">
        <v>31</v>
      </c>
      <c r="E61" s="20" t="s">
        <v>1</v>
      </c>
      <c r="F61" s="13">
        <f>F62</f>
        <v>5940605.4799999995</v>
      </c>
      <c r="G61" s="2"/>
      <c r="I61" s="13">
        <v>5841197.31</v>
      </c>
      <c r="J61" s="2"/>
      <c r="L61" s="114">
        <f t="shared" si="0"/>
        <v>99408.16999999993</v>
      </c>
      <c r="M61" s="114">
        <f t="shared" si="1"/>
        <v>0</v>
      </c>
    </row>
    <row r="62" spans="1:13" ht="78.75" outlineLevel="6">
      <c r="A62" s="19" t="s">
        <v>708</v>
      </c>
      <c r="B62" s="20" t="s">
        <v>2</v>
      </c>
      <c r="C62" s="20" t="s">
        <v>22</v>
      </c>
      <c r="D62" s="20" t="s">
        <v>31</v>
      </c>
      <c r="E62" s="20" t="s">
        <v>10</v>
      </c>
      <c r="F62" s="13">
        <f>'Приложение_7 '!G637</f>
        <v>5940605.4799999995</v>
      </c>
      <c r="G62" s="2"/>
      <c r="I62" s="13">
        <v>5841197.31</v>
      </c>
      <c r="J62" s="2"/>
      <c r="L62" s="114">
        <f t="shared" si="0"/>
        <v>99408.16999999993</v>
      </c>
      <c r="M62" s="114">
        <f t="shared" si="1"/>
        <v>0</v>
      </c>
    </row>
    <row r="63" spans="1:13" ht="31.5" outlineLevel="5">
      <c r="A63" s="19" t="s">
        <v>430</v>
      </c>
      <c r="B63" s="20" t="s">
        <v>2</v>
      </c>
      <c r="C63" s="20" t="s">
        <v>22</v>
      </c>
      <c r="D63" s="20" t="s">
        <v>32</v>
      </c>
      <c r="E63" s="20" t="s">
        <v>1</v>
      </c>
      <c r="F63" s="13">
        <f>F64</f>
        <v>900</v>
      </c>
      <c r="G63" s="2"/>
      <c r="I63" s="13">
        <v>900</v>
      </c>
      <c r="J63" s="2"/>
      <c r="L63" s="114">
        <f t="shared" si="0"/>
        <v>0</v>
      </c>
      <c r="M63" s="114">
        <f t="shared" si="1"/>
        <v>0</v>
      </c>
    </row>
    <row r="64" spans="1:13" ht="78.75" outlineLevel="6">
      <c r="A64" s="19" t="s">
        <v>708</v>
      </c>
      <c r="B64" s="20" t="s">
        <v>2</v>
      </c>
      <c r="C64" s="20" t="s">
        <v>22</v>
      </c>
      <c r="D64" s="20" t="s">
        <v>32</v>
      </c>
      <c r="E64" s="20" t="s">
        <v>10</v>
      </c>
      <c r="F64" s="13">
        <f>'Приложение_7 '!G639</f>
        <v>900</v>
      </c>
      <c r="G64" s="2"/>
      <c r="I64" s="13">
        <v>900</v>
      </c>
      <c r="J64" s="2"/>
      <c r="L64" s="114">
        <f t="shared" si="0"/>
        <v>0</v>
      </c>
      <c r="M64" s="114">
        <f t="shared" si="1"/>
        <v>0</v>
      </c>
    </row>
    <row r="65" spans="1:13" ht="63" outlineLevel="5">
      <c r="A65" s="19" t="s">
        <v>432</v>
      </c>
      <c r="B65" s="20" t="s">
        <v>2</v>
      </c>
      <c r="C65" s="20" t="s">
        <v>22</v>
      </c>
      <c r="D65" s="20" t="s">
        <v>33</v>
      </c>
      <c r="E65" s="20" t="s">
        <v>1</v>
      </c>
      <c r="F65" s="13">
        <f>F66</f>
        <v>133029.12</v>
      </c>
      <c r="G65" s="2"/>
      <c r="I65" s="13">
        <v>60482</v>
      </c>
      <c r="J65" s="2"/>
      <c r="L65" s="114">
        <f t="shared" si="0"/>
        <v>72547.12</v>
      </c>
      <c r="M65" s="114">
        <f t="shared" si="1"/>
        <v>0</v>
      </c>
    </row>
    <row r="66" spans="1:13" ht="95.25" customHeight="1" outlineLevel="6">
      <c r="A66" s="19" t="s">
        <v>708</v>
      </c>
      <c r="B66" s="20" t="s">
        <v>2</v>
      </c>
      <c r="C66" s="20" t="s">
        <v>22</v>
      </c>
      <c r="D66" s="20" t="s">
        <v>33</v>
      </c>
      <c r="E66" s="20" t="s">
        <v>10</v>
      </c>
      <c r="F66" s="13">
        <f>'Приложение_7 '!G641</f>
        <v>133029.12</v>
      </c>
      <c r="G66" s="2"/>
      <c r="I66" s="13">
        <v>60482</v>
      </c>
      <c r="J66" s="2"/>
      <c r="L66" s="114">
        <f t="shared" si="0"/>
        <v>72547.12</v>
      </c>
      <c r="M66" s="114">
        <f t="shared" si="1"/>
        <v>0</v>
      </c>
    </row>
    <row r="67" spans="1:13" ht="126" outlineLevel="4">
      <c r="A67" s="19" t="s">
        <v>494</v>
      </c>
      <c r="B67" s="20" t="s">
        <v>2</v>
      </c>
      <c r="C67" s="20" t="s">
        <v>22</v>
      </c>
      <c r="D67" s="20" t="s">
        <v>34</v>
      </c>
      <c r="E67" s="20" t="s">
        <v>1</v>
      </c>
      <c r="F67" s="13">
        <f>F68+F70+F72</f>
        <v>7025364.949999999</v>
      </c>
      <c r="G67" s="2"/>
      <c r="I67" s="13">
        <v>7075865.27</v>
      </c>
      <c r="J67" s="2"/>
      <c r="L67" s="114">
        <f t="shared" si="0"/>
        <v>-50500.3200000003</v>
      </c>
      <c r="M67" s="114">
        <f t="shared" si="1"/>
        <v>0</v>
      </c>
    </row>
    <row r="68" spans="1:13" ht="31.5" outlineLevel="5">
      <c r="A68" s="19" t="s">
        <v>434</v>
      </c>
      <c r="B68" s="20" t="s">
        <v>2</v>
      </c>
      <c r="C68" s="20" t="s">
        <v>22</v>
      </c>
      <c r="D68" s="20" t="s">
        <v>35</v>
      </c>
      <c r="E68" s="20" t="s">
        <v>1</v>
      </c>
      <c r="F68" s="13">
        <f>F69</f>
        <v>6922132.949999999</v>
      </c>
      <c r="G68" s="2"/>
      <c r="I68" s="13">
        <v>7012233.27</v>
      </c>
      <c r="J68" s="2"/>
      <c r="L68" s="114">
        <f t="shared" si="0"/>
        <v>-90100.3200000003</v>
      </c>
      <c r="M68" s="114">
        <f t="shared" si="1"/>
        <v>0</v>
      </c>
    </row>
    <row r="69" spans="1:13" ht="78.75" outlineLevel="6">
      <c r="A69" s="19" t="s">
        <v>708</v>
      </c>
      <c r="B69" s="20" t="s">
        <v>2</v>
      </c>
      <c r="C69" s="20" t="s">
        <v>22</v>
      </c>
      <c r="D69" s="20" t="s">
        <v>35</v>
      </c>
      <c r="E69" s="20" t="s">
        <v>10</v>
      </c>
      <c r="F69" s="13">
        <f>'Приложение_7 '!G644</f>
        <v>6922132.949999999</v>
      </c>
      <c r="G69" s="2"/>
      <c r="I69" s="13">
        <v>7012233.27</v>
      </c>
      <c r="J69" s="2"/>
      <c r="L69" s="114">
        <f t="shared" si="0"/>
        <v>-90100.3200000003</v>
      </c>
      <c r="M69" s="114">
        <f t="shared" si="1"/>
        <v>0</v>
      </c>
    </row>
    <row r="70" spans="1:13" ht="31.5" outlineLevel="5">
      <c r="A70" s="19" t="s">
        <v>430</v>
      </c>
      <c r="B70" s="20" t="s">
        <v>2</v>
      </c>
      <c r="C70" s="20" t="s">
        <v>22</v>
      </c>
      <c r="D70" s="20" t="s">
        <v>36</v>
      </c>
      <c r="E70" s="20" t="s">
        <v>1</v>
      </c>
      <c r="F70" s="13">
        <f>F71</f>
        <v>2250</v>
      </c>
      <c r="G70" s="2"/>
      <c r="I70" s="13">
        <v>2250</v>
      </c>
      <c r="J70" s="2"/>
      <c r="L70" s="114">
        <f t="shared" si="0"/>
        <v>0</v>
      </c>
      <c r="M70" s="114">
        <f t="shared" si="1"/>
        <v>0</v>
      </c>
    </row>
    <row r="71" spans="1:13" ht="78.75" outlineLevel="6">
      <c r="A71" s="19" t="s">
        <v>708</v>
      </c>
      <c r="B71" s="20" t="s">
        <v>2</v>
      </c>
      <c r="C71" s="20" t="s">
        <v>22</v>
      </c>
      <c r="D71" s="20" t="s">
        <v>36</v>
      </c>
      <c r="E71" s="20" t="s">
        <v>10</v>
      </c>
      <c r="F71" s="13">
        <f>'Приложение_7 '!G646</f>
        <v>2250</v>
      </c>
      <c r="G71" s="2"/>
      <c r="I71" s="13">
        <v>2250</v>
      </c>
      <c r="J71" s="2"/>
      <c r="L71" s="114">
        <f t="shared" si="0"/>
        <v>0</v>
      </c>
      <c r="M71" s="114">
        <f t="shared" si="1"/>
        <v>0</v>
      </c>
    </row>
    <row r="72" spans="1:13" ht="63" outlineLevel="5">
      <c r="A72" s="19" t="s">
        <v>432</v>
      </c>
      <c r="B72" s="20" t="s">
        <v>2</v>
      </c>
      <c r="C72" s="20" t="s">
        <v>22</v>
      </c>
      <c r="D72" s="20" t="s">
        <v>37</v>
      </c>
      <c r="E72" s="20" t="s">
        <v>1</v>
      </c>
      <c r="F72" s="13">
        <f>F73</f>
        <v>100982</v>
      </c>
      <c r="G72" s="2"/>
      <c r="I72" s="13">
        <v>61382</v>
      </c>
      <c r="J72" s="2"/>
      <c r="L72" s="114">
        <f t="shared" si="0"/>
        <v>39600</v>
      </c>
      <c r="M72" s="114">
        <f t="shared" si="1"/>
        <v>0</v>
      </c>
    </row>
    <row r="73" spans="1:13" ht="78.75" outlineLevel="6">
      <c r="A73" s="19" t="s">
        <v>708</v>
      </c>
      <c r="B73" s="20" t="s">
        <v>2</v>
      </c>
      <c r="C73" s="20" t="s">
        <v>22</v>
      </c>
      <c r="D73" s="20" t="s">
        <v>37</v>
      </c>
      <c r="E73" s="20" t="s">
        <v>10</v>
      </c>
      <c r="F73" s="13">
        <f>'Приложение_7 '!G648</f>
        <v>100982</v>
      </c>
      <c r="G73" s="2"/>
      <c r="I73" s="13">
        <v>61382</v>
      </c>
      <c r="J73" s="2"/>
      <c r="L73" s="114">
        <f t="shared" si="0"/>
        <v>39600</v>
      </c>
      <c r="M73" s="114">
        <f t="shared" si="1"/>
        <v>0</v>
      </c>
    </row>
    <row r="74" spans="1:13" ht="63" outlineLevel="2">
      <c r="A74" s="82" t="s">
        <v>486</v>
      </c>
      <c r="B74" s="83" t="s">
        <v>2</v>
      </c>
      <c r="C74" s="83" t="s">
        <v>22</v>
      </c>
      <c r="D74" s="83" t="s">
        <v>38</v>
      </c>
      <c r="E74" s="83" t="s">
        <v>1</v>
      </c>
      <c r="F74" s="12">
        <f>F75</f>
        <v>10743162</v>
      </c>
      <c r="G74" s="1"/>
      <c r="I74" s="12">
        <v>10743162</v>
      </c>
      <c r="J74" s="1"/>
      <c r="L74" s="114">
        <f t="shared" si="0"/>
        <v>0</v>
      </c>
      <c r="M74" s="114">
        <f t="shared" si="1"/>
        <v>0</v>
      </c>
    </row>
    <row r="75" spans="1:13" ht="31.5" outlineLevel="3">
      <c r="A75" s="82" t="s">
        <v>615</v>
      </c>
      <c r="B75" s="83" t="s">
        <v>2</v>
      </c>
      <c r="C75" s="83" t="s">
        <v>22</v>
      </c>
      <c r="D75" s="83" t="s">
        <v>39</v>
      </c>
      <c r="E75" s="83" t="s">
        <v>1</v>
      </c>
      <c r="F75" s="12">
        <f>F76</f>
        <v>10743162</v>
      </c>
      <c r="G75" s="1"/>
      <c r="I75" s="12">
        <v>10743162</v>
      </c>
      <c r="J75" s="1"/>
      <c r="L75" s="114">
        <f t="shared" si="0"/>
        <v>0</v>
      </c>
      <c r="M75" s="114">
        <f t="shared" si="1"/>
        <v>0</v>
      </c>
    </row>
    <row r="76" spans="1:13" ht="63" outlineLevel="4">
      <c r="A76" s="19" t="s">
        <v>495</v>
      </c>
      <c r="B76" s="20" t="s">
        <v>2</v>
      </c>
      <c r="C76" s="20" t="s">
        <v>22</v>
      </c>
      <c r="D76" s="20" t="s">
        <v>40</v>
      </c>
      <c r="E76" s="20" t="s">
        <v>1</v>
      </c>
      <c r="F76" s="13">
        <f>F77+F82+F79</f>
        <v>10743162</v>
      </c>
      <c r="G76" s="2"/>
      <c r="I76" s="13">
        <v>10743162</v>
      </c>
      <c r="J76" s="2"/>
      <c r="L76" s="114">
        <f t="shared" si="0"/>
        <v>0</v>
      </c>
      <c r="M76" s="114">
        <f t="shared" si="1"/>
        <v>0</v>
      </c>
    </row>
    <row r="77" spans="1:13" ht="31.5" outlineLevel="5">
      <c r="A77" s="19" t="s">
        <v>434</v>
      </c>
      <c r="B77" s="20" t="s">
        <v>2</v>
      </c>
      <c r="C77" s="20" t="s">
        <v>22</v>
      </c>
      <c r="D77" s="20" t="s">
        <v>41</v>
      </c>
      <c r="E77" s="20" t="s">
        <v>1</v>
      </c>
      <c r="F77" s="13">
        <f>F78</f>
        <v>10372616</v>
      </c>
      <c r="G77" s="2"/>
      <c r="I77" s="13">
        <v>10373316</v>
      </c>
      <c r="J77" s="2"/>
      <c r="L77" s="114">
        <f t="shared" si="0"/>
        <v>-700</v>
      </c>
      <c r="M77" s="114">
        <f t="shared" si="1"/>
        <v>0</v>
      </c>
    </row>
    <row r="78" spans="1:13" ht="78.75" outlineLevel="6">
      <c r="A78" s="19" t="s">
        <v>708</v>
      </c>
      <c r="B78" s="20" t="s">
        <v>2</v>
      </c>
      <c r="C78" s="20" t="s">
        <v>22</v>
      </c>
      <c r="D78" s="20" t="s">
        <v>41</v>
      </c>
      <c r="E78" s="20" t="s">
        <v>10</v>
      </c>
      <c r="F78" s="13">
        <f>'Приложение_7 '!G578</f>
        <v>10372616</v>
      </c>
      <c r="G78" s="2"/>
      <c r="I78" s="13">
        <v>10373316</v>
      </c>
      <c r="J78" s="2"/>
      <c r="L78" s="114">
        <f t="shared" si="0"/>
        <v>-700</v>
      </c>
      <c r="M78" s="114">
        <f t="shared" si="1"/>
        <v>0</v>
      </c>
    </row>
    <row r="79" spans="1:13" ht="31.5" outlineLevel="6">
      <c r="A79" s="76" t="s">
        <v>430</v>
      </c>
      <c r="B79" s="77" t="s">
        <v>2</v>
      </c>
      <c r="C79" s="77" t="s">
        <v>22</v>
      </c>
      <c r="D79" s="77" t="s">
        <v>1238</v>
      </c>
      <c r="E79" s="77" t="s">
        <v>1</v>
      </c>
      <c r="F79" s="13">
        <f>F80+F81</f>
        <v>2700</v>
      </c>
      <c r="G79" s="2"/>
      <c r="I79" s="13"/>
      <c r="J79" s="2"/>
      <c r="L79" s="114"/>
      <c r="M79" s="114"/>
    </row>
    <row r="80" spans="1:13" ht="78.75" outlineLevel="6">
      <c r="A80" s="76" t="s">
        <v>708</v>
      </c>
      <c r="B80" s="77" t="s">
        <v>2</v>
      </c>
      <c r="C80" s="77" t="s">
        <v>22</v>
      </c>
      <c r="D80" s="77" t="s">
        <v>1238</v>
      </c>
      <c r="E80" s="77" t="s">
        <v>10</v>
      </c>
      <c r="F80" s="13">
        <f>'Приложение_7 '!G580</f>
        <v>700</v>
      </c>
      <c r="G80" s="2"/>
      <c r="I80" s="13"/>
      <c r="J80" s="2"/>
      <c r="L80" s="114"/>
      <c r="M80" s="114"/>
    </row>
    <row r="81" spans="1:13" ht="31.5" outlineLevel="6">
      <c r="A81" s="76" t="s">
        <v>693</v>
      </c>
      <c r="B81" s="77" t="s">
        <v>2</v>
      </c>
      <c r="C81" s="77" t="s">
        <v>22</v>
      </c>
      <c r="D81" s="77" t="s">
        <v>1238</v>
      </c>
      <c r="E81" s="77" t="s">
        <v>17</v>
      </c>
      <c r="F81" s="13">
        <f>'Приложение_7 '!G581</f>
        <v>2000</v>
      </c>
      <c r="G81" s="2"/>
      <c r="I81" s="13"/>
      <c r="J81" s="2"/>
      <c r="L81" s="114"/>
      <c r="M81" s="114"/>
    </row>
    <row r="82" spans="1:13" ht="63" outlineLevel="5">
      <c r="A82" s="19" t="s">
        <v>432</v>
      </c>
      <c r="B82" s="20" t="s">
        <v>2</v>
      </c>
      <c r="C82" s="20" t="s">
        <v>22</v>
      </c>
      <c r="D82" s="20" t="s">
        <v>42</v>
      </c>
      <c r="E82" s="20" t="s">
        <v>1</v>
      </c>
      <c r="F82" s="13">
        <f>F83</f>
        <v>367846</v>
      </c>
      <c r="G82" s="2"/>
      <c r="I82" s="13">
        <v>369846</v>
      </c>
      <c r="J82" s="2"/>
      <c r="L82" s="114">
        <f t="shared" si="0"/>
        <v>-2000</v>
      </c>
      <c r="M82" s="114">
        <f t="shared" si="1"/>
        <v>0</v>
      </c>
    </row>
    <row r="83" spans="1:13" ht="78.75" outlineLevel="6">
      <c r="A83" s="19" t="s">
        <v>708</v>
      </c>
      <c r="B83" s="20" t="s">
        <v>2</v>
      </c>
      <c r="C83" s="20" t="s">
        <v>22</v>
      </c>
      <c r="D83" s="20" t="s">
        <v>42</v>
      </c>
      <c r="E83" s="20" t="s">
        <v>10</v>
      </c>
      <c r="F83" s="13">
        <f>'Приложение_7 '!G583</f>
        <v>367846</v>
      </c>
      <c r="G83" s="2"/>
      <c r="I83" s="13">
        <v>369846</v>
      </c>
      <c r="J83" s="2"/>
      <c r="L83" s="114">
        <f t="shared" si="0"/>
        <v>-2000</v>
      </c>
      <c r="M83" s="114">
        <f t="shared" si="1"/>
        <v>0</v>
      </c>
    </row>
    <row r="84" spans="1:13" ht="47.25" outlineLevel="2">
      <c r="A84" s="82" t="s">
        <v>656</v>
      </c>
      <c r="B84" s="83" t="s">
        <v>2</v>
      </c>
      <c r="C84" s="83" t="s">
        <v>22</v>
      </c>
      <c r="D84" s="83" t="s">
        <v>6</v>
      </c>
      <c r="E84" s="83" t="s">
        <v>1</v>
      </c>
      <c r="F84" s="12">
        <f>F85+F98+F107+F113</f>
        <v>51562361.440000005</v>
      </c>
      <c r="G84" s="1"/>
      <c r="I84" s="12">
        <v>51457361.36</v>
      </c>
      <c r="J84" s="1"/>
      <c r="L84" s="114">
        <f t="shared" si="0"/>
        <v>105000.08000000566</v>
      </c>
      <c r="M84" s="114">
        <f t="shared" si="1"/>
        <v>0</v>
      </c>
    </row>
    <row r="85" spans="1:13" ht="31.5" outlineLevel="3">
      <c r="A85" s="82" t="s">
        <v>616</v>
      </c>
      <c r="B85" s="83" t="s">
        <v>2</v>
      </c>
      <c r="C85" s="83" t="s">
        <v>22</v>
      </c>
      <c r="D85" s="83" t="s">
        <v>43</v>
      </c>
      <c r="E85" s="83" t="s">
        <v>1</v>
      </c>
      <c r="F85" s="12">
        <f>F86</f>
        <v>30139735.25</v>
      </c>
      <c r="G85" s="1"/>
      <c r="I85" s="12">
        <v>30028735.17</v>
      </c>
      <c r="J85" s="1"/>
      <c r="L85" s="114">
        <f t="shared" si="0"/>
        <v>111000.07999999821</v>
      </c>
      <c r="M85" s="114">
        <f t="shared" si="1"/>
        <v>0</v>
      </c>
    </row>
    <row r="86" spans="1:13" ht="63" outlineLevel="4">
      <c r="A86" s="19" t="s">
        <v>496</v>
      </c>
      <c r="B86" s="20" t="s">
        <v>2</v>
      </c>
      <c r="C86" s="20" t="s">
        <v>22</v>
      </c>
      <c r="D86" s="20" t="s">
        <v>44</v>
      </c>
      <c r="E86" s="20" t="s">
        <v>1</v>
      </c>
      <c r="F86" s="13">
        <f>F87+F89+F92+F94+F96</f>
        <v>30139735.25</v>
      </c>
      <c r="G86" s="2"/>
      <c r="I86" s="13">
        <v>30028735.17</v>
      </c>
      <c r="J86" s="2"/>
      <c r="L86" s="114">
        <f t="shared" si="0"/>
        <v>111000.07999999821</v>
      </c>
      <c r="M86" s="114">
        <f t="shared" si="1"/>
        <v>0</v>
      </c>
    </row>
    <row r="87" spans="1:13" ht="31.5" outlineLevel="5">
      <c r="A87" s="19" t="s">
        <v>435</v>
      </c>
      <c r="B87" s="20" t="s">
        <v>2</v>
      </c>
      <c r="C87" s="20" t="s">
        <v>22</v>
      </c>
      <c r="D87" s="20" t="s">
        <v>45</v>
      </c>
      <c r="E87" s="20" t="s">
        <v>1</v>
      </c>
      <c r="F87" s="13">
        <f>F88</f>
        <v>1961844.97</v>
      </c>
      <c r="G87" s="2"/>
      <c r="I87" s="13">
        <v>1925844.89</v>
      </c>
      <c r="J87" s="2"/>
      <c r="L87" s="114">
        <f t="shared" si="0"/>
        <v>36000.080000000075</v>
      </c>
      <c r="M87" s="114">
        <f t="shared" si="1"/>
        <v>0</v>
      </c>
    </row>
    <row r="88" spans="1:13" ht="78.75" outlineLevel="6">
      <c r="A88" s="19" t="s">
        <v>708</v>
      </c>
      <c r="B88" s="20" t="s">
        <v>2</v>
      </c>
      <c r="C88" s="20" t="s">
        <v>22</v>
      </c>
      <c r="D88" s="20" t="s">
        <v>45</v>
      </c>
      <c r="E88" s="20" t="s">
        <v>10</v>
      </c>
      <c r="F88" s="13">
        <f>'Приложение_7 '!G72</f>
        <v>1961844.97</v>
      </c>
      <c r="G88" s="2"/>
      <c r="I88" s="13">
        <v>1925844.89</v>
      </c>
      <c r="J88" s="2"/>
      <c r="L88" s="114">
        <f t="shared" si="0"/>
        <v>36000.080000000075</v>
      </c>
      <c r="M88" s="114">
        <f t="shared" si="1"/>
        <v>0</v>
      </c>
    </row>
    <row r="89" spans="1:13" ht="31.5" outlineLevel="5">
      <c r="A89" s="19" t="s">
        <v>434</v>
      </c>
      <c r="B89" s="20" t="s">
        <v>2</v>
      </c>
      <c r="C89" s="20" t="s">
        <v>22</v>
      </c>
      <c r="D89" s="20" t="s">
        <v>46</v>
      </c>
      <c r="E89" s="20" t="s">
        <v>1</v>
      </c>
      <c r="F89" s="13">
        <f>F90+F91</f>
        <v>27210507.77</v>
      </c>
      <c r="G89" s="2"/>
      <c r="I89" s="13">
        <v>27210507.77</v>
      </c>
      <c r="J89" s="2"/>
      <c r="L89" s="114">
        <f aca="true" t="shared" si="2" ref="L89:L157">F89-I89</f>
        <v>0</v>
      </c>
      <c r="M89" s="114">
        <f aca="true" t="shared" si="3" ref="M89:M157">G89-J89</f>
        <v>0</v>
      </c>
    </row>
    <row r="90" spans="1:13" ht="78.75" outlineLevel="6">
      <c r="A90" s="19" t="s">
        <v>708</v>
      </c>
      <c r="B90" s="20" t="s">
        <v>2</v>
      </c>
      <c r="C90" s="20" t="s">
        <v>22</v>
      </c>
      <c r="D90" s="20" t="s">
        <v>46</v>
      </c>
      <c r="E90" s="20" t="s">
        <v>10</v>
      </c>
      <c r="F90" s="13">
        <f>'Приложение_7 '!G74</f>
        <v>27090389.31</v>
      </c>
      <c r="G90" s="2"/>
      <c r="I90" s="13">
        <v>27090389.31</v>
      </c>
      <c r="J90" s="2"/>
      <c r="L90" s="114">
        <f t="shared" si="2"/>
        <v>0</v>
      </c>
      <c r="M90" s="114">
        <f t="shared" si="3"/>
        <v>0</v>
      </c>
    </row>
    <row r="91" spans="1:13" ht="31.5" outlineLevel="6">
      <c r="A91" s="19" t="s">
        <v>694</v>
      </c>
      <c r="B91" s="20" t="s">
        <v>2</v>
      </c>
      <c r="C91" s="20" t="s">
        <v>22</v>
      </c>
      <c r="D91" s="20" t="s">
        <v>46</v>
      </c>
      <c r="E91" s="20" t="s">
        <v>47</v>
      </c>
      <c r="F91" s="13">
        <f>'Приложение_7 '!G75</f>
        <v>120118.46</v>
      </c>
      <c r="G91" s="2"/>
      <c r="I91" s="13">
        <v>120118.46</v>
      </c>
      <c r="J91" s="2"/>
      <c r="L91" s="114">
        <f t="shared" si="2"/>
        <v>0</v>
      </c>
      <c r="M91" s="114">
        <f t="shared" si="3"/>
        <v>0</v>
      </c>
    </row>
    <row r="92" spans="1:13" ht="31.5" outlineLevel="5">
      <c r="A92" s="19" t="s">
        <v>430</v>
      </c>
      <c r="B92" s="20" t="s">
        <v>2</v>
      </c>
      <c r="C92" s="20" t="s">
        <v>22</v>
      </c>
      <c r="D92" s="20" t="s">
        <v>48</v>
      </c>
      <c r="E92" s="20" t="s">
        <v>1</v>
      </c>
      <c r="F92" s="13">
        <f>F93</f>
        <v>3360</v>
      </c>
      <c r="G92" s="2"/>
      <c r="I92" s="13">
        <v>3360</v>
      </c>
      <c r="J92" s="2"/>
      <c r="L92" s="114">
        <f t="shared" si="2"/>
        <v>0</v>
      </c>
      <c r="M92" s="114">
        <f t="shared" si="3"/>
        <v>0</v>
      </c>
    </row>
    <row r="93" spans="1:13" ht="78.75" outlineLevel="6">
      <c r="A93" s="19" t="s">
        <v>708</v>
      </c>
      <c r="B93" s="20" t="s">
        <v>2</v>
      </c>
      <c r="C93" s="20" t="s">
        <v>22</v>
      </c>
      <c r="D93" s="20" t="s">
        <v>48</v>
      </c>
      <c r="E93" s="20" t="s">
        <v>10</v>
      </c>
      <c r="F93" s="13">
        <f>'Приложение_7 '!G77</f>
        <v>3360</v>
      </c>
      <c r="G93" s="2"/>
      <c r="I93" s="13">
        <v>3360</v>
      </c>
      <c r="J93" s="2"/>
      <c r="L93" s="114">
        <f t="shared" si="2"/>
        <v>0</v>
      </c>
      <c r="M93" s="114">
        <f t="shared" si="3"/>
        <v>0</v>
      </c>
    </row>
    <row r="94" spans="1:13" ht="47.25" outlineLevel="5">
      <c r="A94" s="19" t="s">
        <v>436</v>
      </c>
      <c r="B94" s="20" t="s">
        <v>2</v>
      </c>
      <c r="C94" s="20" t="s">
        <v>22</v>
      </c>
      <c r="D94" s="20" t="s">
        <v>49</v>
      </c>
      <c r="E94" s="20" t="s">
        <v>1</v>
      </c>
      <c r="F94" s="13">
        <f>F95</f>
        <v>466122.51</v>
      </c>
      <c r="G94" s="2"/>
      <c r="I94" s="13">
        <v>466122.51</v>
      </c>
      <c r="J94" s="2"/>
      <c r="L94" s="114">
        <f t="shared" si="2"/>
        <v>0</v>
      </c>
      <c r="M94" s="114">
        <f t="shared" si="3"/>
        <v>0</v>
      </c>
    </row>
    <row r="95" spans="1:13" ht="78.75" outlineLevel="6">
      <c r="A95" s="19" t="s">
        <v>708</v>
      </c>
      <c r="B95" s="20" t="s">
        <v>2</v>
      </c>
      <c r="C95" s="20" t="s">
        <v>22</v>
      </c>
      <c r="D95" s="20" t="s">
        <v>49</v>
      </c>
      <c r="E95" s="20" t="s">
        <v>10</v>
      </c>
      <c r="F95" s="13">
        <f>'Приложение_7 '!G79</f>
        <v>466122.51</v>
      </c>
      <c r="G95" s="2"/>
      <c r="I95" s="13">
        <v>466122.51</v>
      </c>
      <c r="J95" s="2"/>
      <c r="L95" s="114">
        <f t="shared" si="2"/>
        <v>0</v>
      </c>
      <c r="M95" s="114">
        <f t="shared" si="3"/>
        <v>0</v>
      </c>
    </row>
    <row r="96" spans="1:13" ht="63" outlineLevel="5">
      <c r="A96" s="19" t="s">
        <v>432</v>
      </c>
      <c r="B96" s="20" t="s">
        <v>2</v>
      </c>
      <c r="C96" s="20" t="s">
        <v>22</v>
      </c>
      <c r="D96" s="20" t="s">
        <v>50</v>
      </c>
      <c r="E96" s="20" t="s">
        <v>1</v>
      </c>
      <c r="F96" s="13">
        <f>F97</f>
        <v>497900</v>
      </c>
      <c r="G96" s="2"/>
      <c r="I96" s="13">
        <v>422900</v>
      </c>
      <c r="J96" s="2"/>
      <c r="L96" s="114">
        <f t="shared" si="2"/>
        <v>75000</v>
      </c>
      <c r="M96" s="114">
        <f t="shared" si="3"/>
        <v>0</v>
      </c>
    </row>
    <row r="97" spans="1:13" ht="78.75" outlineLevel="6">
      <c r="A97" s="19" t="s">
        <v>708</v>
      </c>
      <c r="B97" s="20" t="s">
        <v>2</v>
      </c>
      <c r="C97" s="20" t="s">
        <v>22</v>
      </c>
      <c r="D97" s="20" t="s">
        <v>50</v>
      </c>
      <c r="E97" s="20" t="s">
        <v>10</v>
      </c>
      <c r="F97" s="13">
        <f>'Приложение_7 '!G81</f>
        <v>497900</v>
      </c>
      <c r="G97" s="2"/>
      <c r="I97" s="13">
        <v>422900</v>
      </c>
      <c r="J97" s="2"/>
      <c r="L97" s="114">
        <f t="shared" si="2"/>
        <v>75000</v>
      </c>
      <c r="M97" s="114">
        <f t="shared" si="3"/>
        <v>0</v>
      </c>
    </row>
    <row r="98" spans="1:13" s="112" customFormat="1" ht="47.25" outlineLevel="3">
      <c r="A98" s="115" t="s">
        <v>617</v>
      </c>
      <c r="B98" s="116" t="s">
        <v>2</v>
      </c>
      <c r="C98" s="116" t="s">
        <v>22</v>
      </c>
      <c r="D98" s="116" t="s">
        <v>51</v>
      </c>
      <c r="E98" s="116" t="s">
        <v>1</v>
      </c>
      <c r="F98" s="117">
        <f>F99</f>
        <v>12046134.84</v>
      </c>
      <c r="G98" s="118"/>
      <c r="I98" s="117">
        <v>12044134.84</v>
      </c>
      <c r="J98" s="118"/>
      <c r="L98" s="114">
        <f t="shared" si="2"/>
        <v>2000</v>
      </c>
      <c r="M98" s="114">
        <f t="shared" si="3"/>
        <v>0</v>
      </c>
    </row>
    <row r="99" spans="1:13" ht="31.5" outlineLevel="4">
      <c r="A99" s="19" t="s">
        <v>497</v>
      </c>
      <c r="B99" s="20" t="s">
        <v>2</v>
      </c>
      <c r="C99" s="20" t="s">
        <v>22</v>
      </c>
      <c r="D99" s="20" t="s">
        <v>52</v>
      </c>
      <c r="E99" s="20" t="s">
        <v>1</v>
      </c>
      <c r="F99" s="13">
        <f>F100+F102+F105</f>
        <v>12046134.84</v>
      </c>
      <c r="G99" s="2"/>
      <c r="I99" s="13">
        <v>12044134.84</v>
      </c>
      <c r="J99" s="2"/>
      <c r="L99" s="114">
        <f t="shared" si="2"/>
        <v>2000</v>
      </c>
      <c r="M99" s="114">
        <f t="shared" si="3"/>
        <v>0</v>
      </c>
    </row>
    <row r="100" spans="1:13" ht="31.5" outlineLevel="5">
      <c r="A100" s="19" t="s">
        <v>434</v>
      </c>
      <c r="B100" s="20" t="s">
        <v>2</v>
      </c>
      <c r="C100" s="20" t="s">
        <v>22</v>
      </c>
      <c r="D100" s="20" t="s">
        <v>53</v>
      </c>
      <c r="E100" s="20" t="s">
        <v>1</v>
      </c>
      <c r="F100" s="13">
        <f>F101</f>
        <v>11794269.84</v>
      </c>
      <c r="G100" s="2"/>
      <c r="I100" s="13">
        <v>11794269.84</v>
      </c>
      <c r="J100" s="2"/>
      <c r="L100" s="114">
        <f t="shared" si="2"/>
        <v>0</v>
      </c>
      <c r="M100" s="114">
        <f t="shared" si="3"/>
        <v>0</v>
      </c>
    </row>
    <row r="101" spans="1:13" ht="78.75" outlineLevel="6">
      <c r="A101" s="19" t="s">
        <v>708</v>
      </c>
      <c r="B101" s="20" t="s">
        <v>2</v>
      </c>
      <c r="C101" s="20" t="s">
        <v>22</v>
      </c>
      <c r="D101" s="20" t="s">
        <v>53</v>
      </c>
      <c r="E101" s="20" t="s">
        <v>10</v>
      </c>
      <c r="F101" s="13">
        <f>'Приложение_7 '!G302</f>
        <v>11794269.84</v>
      </c>
      <c r="G101" s="2"/>
      <c r="I101" s="13">
        <v>11794269.84</v>
      </c>
      <c r="J101" s="2"/>
      <c r="L101" s="114">
        <f t="shared" si="2"/>
        <v>0</v>
      </c>
      <c r="M101" s="114">
        <f t="shared" si="3"/>
        <v>0</v>
      </c>
    </row>
    <row r="102" spans="1:13" ht="31.5" outlineLevel="5">
      <c r="A102" s="19" t="s">
        <v>430</v>
      </c>
      <c r="B102" s="20" t="s">
        <v>2</v>
      </c>
      <c r="C102" s="20" t="s">
        <v>22</v>
      </c>
      <c r="D102" s="20" t="s">
        <v>54</v>
      </c>
      <c r="E102" s="20" t="s">
        <v>1</v>
      </c>
      <c r="F102" s="13">
        <f>F103+F104</f>
        <v>2900</v>
      </c>
      <c r="G102" s="2"/>
      <c r="I102" s="13">
        <v>900</v>
      </c>
      <c r="J102" s="2"/>
      <c r="L102" s="114">
        <f t="shared" si="2"/>
        <v>2000</v>
      </c>
      <c r="M102" s="114">
        <f t="shared" si="3"/>
        <v>0</v>
      </c>
    </row>
    <row r="103" spans="1:13" ht="78.75" outlineLevel="6">
      <c r="A103" s="19" t="s">
        <v>708</v>
      </c>
      <c r="B103" s="20" t="s">
        <v>2</v>
      </c>
      <c r="C103" s="20" t="s">
        <v>22</v>
      </c>
      <c r="D103" s="20" t="s">
        <v>54</v>
      </c>
      <c r="E103" s="20" t="s">
        <v>10</v>
      </c>
      <c r="F103" s="13">
        <f>'Приложение_7 '!G304</f>
        <v>900</v>
      </c>
      <c r="G103" s="2"/>
      <c r="I103" s="13">
        <v>900</v>
      </c>
      <c r="J103" s="2"/>
      <c r="L103" s="114">
        <f t="shared" si="2"/>
        <v>0</v>
      </c>
      <c r="M103" s="114">
        <f t="shared" si="3"/>
        <v>0</v>
      </c>
    </row>
    <row r="104" spans="1:13" ht="31.5" outlineLevel="6">
      <c r="A104" s="76" t="s">
        <v>693</v>
      </c>
      <c r="B104" s="77" t="s">
        <v>2</v>
      </c>
      <c r="C104" s="77" t="s">
        <v>22</v>
      </c>
      <c r="D104" s="77" t="s">
        <v>54</v>
      </c>
      <c r="E104" s="77" t="s">
        <v>17</v>
      </c>
      <c r="F104" s="13">
        <f>'Приложение_7 '!G305</f>
        <v>2000</v>
      </c>
      <c r="G104" s="2"/>
      <c r="I104" s="13"/>
      <c r="J104" s="2"/>
      <c r="L104" s="114"/>
      <c r="M104" s="114"/>
    </row>
    <row r="105" spans="1:13" ht="63" outlineLevel="5">
      <c r="A105" s="19" t="s">
        <v>432</v>
      </c>
      <c r="B105" s="20" t="s">
        <v>2</v>
      </c>
      <c r="C105" s="20" t="s">
        <v>22</v>
      </c>
      <c r="D105" s="20" t="s">
        <v>55</v>
      </c>
      <c r="E105" s="20" t="s">
        <v>1</v>
      </c>
      <c r="F105" s="13">
        <f>F106</f>
        <v>248965</v>
      </c>
      <c r="G105" s="2"/>
      <c r="I105" s="13">
        <v>248965</v>
      </c>
      <c r="J105" s="2"/>
      <c r="L105" s="114">
        <f t="shared" si="2"/>
        <v>0</v>
      </c>
      <c r="M105" s="114">
        <f t="shared" si="3"/>
        <v>0</v>
      </c>
    </row>
    <row r="106" spans="1:13" ht="78.75" outlineLevel="6">
      <c r="A106" s="19" t="s">
        <v>708</v>
      </c>
      <c r="B106" s="20" t="s">
        <v>2</v>
      </c>
      <c r="C106" s="20" t="s">
        <v>22</v>
      </c>
      <c r="D106" s="20" t="s">
        <v>55</v>
      </c>
      <c r="E106" s="20" t="s">
        <v>10</v>
      </c>
      <c r="F106" s="13">
        <f>'Приложение_7 '!G307</f>
        <v>248965</v>
      </c>
      <c r="G106" s="2"/>
      <c r="I106" s="13">
        <v>248965</v>
      </c>
      <c r="J106" s="2"/>
      <c r="L106" s="114">
        <f t="shared" si="2"/>
        <v>0</v>
      </c>
      <c r="M106" s="114">
        <f t="shared" si="3"/>
        <v>0</v>
      </c>
    </row>
    <row r="107" spans="1:13" ht="47.25" outlineLevel="3">
      <c r="A107" s="82" t="s">
        <v>618</v>
      </c>
      <c r="B107" s="83" t="s">
        <v>2</v>
      </c>
      <c r="C107" s="83" t="s">
        <v>22</v>
      </c>
      <c r="D107" s="83" t="s">
        <v>56</v>
      </c>
      <c r="E107" s="83" t="s">
        <v>1</v>
      </c>
      <c r="F107" s="12">
        <f>F108</f>
        <v>7864886.96</v>
      </c>
      <c r="G107" s="1"/>
      <c r="I107" s="12">
        <v>7864886.96</v>
      </c>
      <c r="J107" s="1"/>
      <c r="L107" s="114">
        <f t="shared" si="2"/>
        <v>0</v>
      </c>
      <c r="M107" s="114">
        <f t="shared" si="3"/>
        <v>0</v>
      </c>
    </row>
    <row r="108" spans="1:13" ht="47.25" outlineLevel="4">
      <c r="A108" s="19" t="s">
        <v>498</v>
      </c>
      <c r="B108" s="20" t="s">
        <v>2</v>
      </c>
      <c r="C108" s="20" t="s">
        <v>22</v>
      </c>
      <c r="D108" s="20" t="s">
        <v>57</v>
      </c>
      <c r="E108" s="20" t="s">
        <v>1</v>
      </c>
      <c r="F108" s="13">
        <f>F109+F111</f>
        <v>7864886.96</v>
      </c>
      <c r="G108" s="2"/>
      <c r="I108" s="13">
        <v>7864886.96</v>
      </c>
      <c r="J108" s="2"/>
      <c r="L108" s="114">
        <f t="shared" si="2"/>
        <v>0</v>
      </c>
      <c r="M108" s="114">
        <f t="shared" si="3"/>
        <v>0</v>
      </c>
    </row>
    <row r="109" spans="1:13" ht="31.5" outlineLevel="5">
      <c r="A109" s="19" t="s">
        <v>434</v>
      </c>
      <c r="B109" s="20" t="s">
        <v>2</v>
      </c>
      <c r="C109" s="20" t="s">
        <v>22</v>
      </c>
      <c r="D109" s="20" t="s">
        <v>58</v>
      </c>
      <c r="E109" s="20" t="s">
        <v>1</v>
      </c>
      <c r="F109" s="13">
        <f>F110</f>
        <v>7759523.42</v>
      </c>
      <c r="G109" s="2"/>
      <c r="I109" s="13">
        <v>7759523.42</v>
      </c>
      <c r="J109" s="2"/>
      <c r="L109" s="114">
        <f t="shared" si="2"/>
        <v>0</v>
      </c>
      <c r="M109" s="114">
        <f t="shared" si="3"/>
        <v>0</v>
      </c>
    </row>
    <row r="110" spans="1:13" ht="78.75" outlineLevel="6">
      <c r="A110" s="19" t="s">
        <v>708</v>
      </c>
      <c r="B110" s="20" t="s">
        <v>2</v>
      </c>
      <c r="C110" s="20" t="s">
        <v>22</v>
      </c>
      <c r="D110" s="20" t="s">
        <v>58</v>
      </c>
      <c r="E110" s="20" t="s">
        <v>10</v>
      </c>
      <c r="F110" s="13">
        <f>'Приложение_7 '!G880</f>
        <v>7759523.42</v>
      </c>
      <c r="G110" s="2"/>
      <c r="I110" s="13">
        <v>7759523.42</v>
      </c>
      <c r="J110" s="2"/>
      <c r="L110" s="114">
        <f t="shared" si="2"/>
        <v>0</v>
      </c>
      <c r="M110" s="114">
        <f t="shared" si="3"/>
        <v>0</v>
      </c>
    </row>
    <row r="111" spans="1:13" ht="63" outlineLevel="5">
      <c r="A111" s="19" t="s">
        <v>432</v>
      </c>
      <c r="B111" s="20" t="s">
        <v>2</v>
      </c>
      <c r="C111" s="20" t="s">
        <v>22</v>
      </c>
      <c r="D111" s="20" t="s">
        <v>59</v>
      </c>
      <c r="E111" s="20" t="s">
        <v>1</v>
      </c>
      <c r="F111" s="13">
        <f>F112</f>
        <v>105363.54</v>
      </c>
      <c r="G111" s="2"/>
      <c r="I111" s="13">
        <v>105363.54</v>
      </c>
      <c r="J111" s="2"/>
      <c r="L111" s="114">
        <f t="shared" si="2"/>
        <v>0</v>
      </c>
      <c r="M111" s="114">
        <f t="shared" si="3"/>
        <v>0</v>
      </c>
    </row>
    <row r="112" spans="1:13" ht="78.75" outlineLevel="6">
      <c r="A112" s="19" t="s">
        <v>708</v>
      </c>
      <c r="B112" s="20" t="s">
        <v>2</v>
      </c>
      <c r="C112" s="20" t="s">
        <v>22</v>
      </c>
      <c r="D112" s="20" t="s">
        <v>59</v>
      </c>
      <c r="E112" s="20" t="s">
        <v>10</v>
      </c>
      <c r="F112" s="13">
        <f>'Приложение_7 '!G882</f>
        <v>105363.54</v>
      </c>
      <c r="G112" s="2"/>
      <c r="I112" s="13">
        <v>105363.54</v>
      </c>
      <c r="J112" s="2"/>
      <c r="L112" s="114">
        <f t="shared" si="2"/>
        <v>0</v>
      </c>
      <c r="M112" s="114">
        <f t="shared" si="3"/>
        <v>0</v>
      </c>
    </row>
    <row r="113" spans="1:13" ht="37.5" customHeight="1" outlineLevel="3">
      <c r="A113" s="82" t="s">
        <v>613</v>
      </c>
      <c r="B113" s="83" t="s">
        <v>2</v>
      </c>
      <c r="C113" s="83" t="s">
        <v>22</v>
      </c>
      <c r="D113" s="83" t="s">
        <v>7</v>
      </c>
      <c r="E113" s="83" t="s">
        <v>1</v>
      </c>
      <c r="F113" s="12">
        <f>F114+F118+F121</f>
        <v>1511604.3900000001</v>
      </c>
      <c r="G113" s="1"/>
      <c r="I113" s="12">
        <v>1519604.39</v>
      </c>
      <c r="J113" s="1"/>
      <c r="L113" s="114">
        <f t="shared" si="2"/>
        <v>-7999.999999999767</v>
      </c>
      <c r="M113" s="114">
        <f t="shared" si="3"/>
        <v>0</v>
      </c>
    </row>
    <row r="114" spans="1:13" ht="63" outlineLevel="4">
      <c r="A114" s="19" t="s">
        <v>488</v>
      </c>
      <c r="B114" s="20" t="s">
        <v>2</v>
      </c>
      <c r="C114" s="20" t="s">
        <v>22</v>
      </c>
      <c r="D114" s="20" t="s">
        <v>15</v>
      </c>
      <c r="E114" s="20" t="s">
        <v>1</v>
      </c>
      <c r="F114" s="13">
        <f>F115</f>
        <v>554006.43</v>
      </c>
      <c r="G114" s="2"/>
      <c r="I114" s="13">
        <v>616006.43</v>
      </c>
      <c r="J114" s="2"/>
      <c r="L114" s="114">
        <f t="shared" si="2"/>
        <v>-62000</v>
      </c>
      <c r="M114" s="114">
        <f t="shared" si="3"/>
        <v>0</v>
      </c>
    </row>
    <row r="115" spans="1:13" ht="41.25" customHeight="1" outlineLevel="5">
      <c r="A115" s="19" t="s">
        <v>430</v>
      </c>
      <c r="B115" s="20" t="s">
        <v>2</v>
      </c>
      <c r="C115" s="20" t="s">
        <v>22</v>
      </c>
      <c r="D115" s="20" t="s">
        <v>16</v>
      </c>
      <c r="E115" s="20" t="s">
        <v>1</v>
      </c>
      <c r="F115" s="13">
        <f>F116+F117</f>
        <v>554006.43</v>
      </c>
      <c r="G115" s="2"/>
      <c r="I115" s="13">
        <v>616006.43</v>
      </c>
      <c r="J115" s="2"/>
      <c r="L115" s="114">
        <f t="shared" si="2"/>
        <v>-62000</v>
      </c>
      <c r="M115" s="114">
        <f t="shared" si="3"/>
        <v>0</v>
      </c>
    </row>
    <row r="116" spans="1:13" ht="78.75" outlineLevel="6">
      <c r="A116" s="19" t="s">
        <v>708</v>
      </c>
      <c r="B116" s="20" t="s">
        <v>2</v>
      </c>
      <c r="C116" s="20" t="s">
        <v>22</v>
      </c>
      <c r="D116" s="20" t="s">
        <v>16</v>
      </c>
      <c r="E116" s="20" t="s">
        <v>10</v>
      </c>
      <c r="F116" s="13">
        <f>'Приложение_7 '!G85+'Приложение_7 '!G311+'Приложение_7 '!G588+'Приложение_7 '!G653+'Приложение_7 '!G886</f>
        <v>164356.95</v>
      </c>
      <c r="G116" s="2"/>
      <c r="I116" s="13">
        <v>164356.95</v>
      </c>
      <c r="J116" s="2"/>
      <c r="L116" s="114">
        <f t="shared" si="2"/>
        <v>0</v>
      </c>
      <c r="M116" s="114">
        <f t="shared" si="3"/>
        <v>0</v>
      </c>
    </row>
    <row r="117" spans="1:13" ht="31.5" outlineLevel="6">
      <c r="A117" s="19" t="s">
        <v>693</v>
      </c>
      <c r="B117" s="20" t="s">
        <v>2</v>
      </c>
      <c r="C117" s="20" t="s">
        <v>22</v>
      </c>
      <c r="D117" s="20" t="s">
        <v>16</v>
      </c>
      <c r="E117" s="20" t="s">
        <v>17</v>
      </c>
      <c r="F117" s="13">
        <f>'Приложение_7 '!G86+'Приложение_7 '!G312+'Приложение_7 '!G589+'Приложение_7 '!G654+'Приложение_7 '!G887</f>
        <v>389649.48000000004</v>
      </c>
      <c r="G117" s="2"/>
      <c r="I117" s="13">
        <v>451649.48</v>
      </c>
      <c r="J117" s="2"/>
      <c r="L117" s="114">
        <f t="shared" si="2"/>
        <v>-61999.99999999994</v>
      </c>
      <c r="M117" s="114">
        <f t="shared" si="3"/>
        <v>0</v>
      </c>
    </row>
    <row r="118" spans="1:13" ht="15.75" outlineLevel="4">
      <c r="A118" s="19" t="s">
        <v>489</v>
      </c>
      <c r="B118" s="20" t="s">
        <v>2</v>
      </c>
      <c r="C118" s="20" t="s">
        <v>22</v>
      </c>
      <c r="D118" s="20" t="s">
        <v>18</v>
      </c>
      <c r="E118" s="20" t="s">
        <v>1</v>
      </c>
      <c r="F118" s="13">
        <f>F119</f>
        <v>431187.92</v>
      </c>
      <c r="G118" s="1"/>
      <c r="I118" s="13">
        <v>377187.92</v>
      </c>
      <c r="J118" s="1"/>
      <c r="L118" s="114">
        <f t="shared" si="2"/>
        <v>54000</v>
      </c>
      <c r="M118" s="114">
        <f t="shared" si="3"/>
        <v>0</v>
      </c>
    </row>
    <row r="119" spans="1:13" ht="31.5" outlineLevel="5">
      <c r="A119" s="19" t="s">
        <v>430</v>
      </c>
      <c r="B119" s="20" t="s">
        <v>2</v>
      </c>
      <c r="C119" s="20" t="s">
        <v>22</v>
      </c>
      <c r="D119" s="20" t="s">
        <v>19</v>
      </c>
      <c r="E119" s="20" t="s">
        <v>1</v>
      </c>
      <c r="F119" s="13">
        <f>F120</f>
        <v>431187.92</v>
      </c>
      <c r="G119" s="2"/>
      <c r="I119" s="13">
        <v>377187.92</v>
      </c>
      <c r="J119" s="2"/>
      <c r="L119" s="114">
        <f t="shared" si="2"/>
        <v>54000</v>
      </c>
      <c r="M119" s="114">
        <f t="shared" si="3"/>
        <v>0</v>
      </c>
    </row>
    <row r="120" spans="1:13" ht="31.5" outlineLevel="6">
      <c r="A120" s="19" t="s">
        <v>693</v>
      </c>
      <c r="B120" s="20" t="s">
        <v>2</v>
      </c>
      <c r="C120" s="20" t="s">
        <v>22</v>
      </c>
      <c r="D120" s="20" t="s">
        <v>19</v>
      </c>
      <c r="E120" s="20" t="s">
        <v>17</v>
      </c>
      <c r="F120" s="13">
        <f>'Приложение_7 '!G89+'Приложение_7 '!G315+'Приложение_7 '!G592+'Приложение_7 '!G657+'Приложение_7 '!G890</f>
        <v>431187.92</v>
      </c>
      <c r="G120" s="2"/>
      <c r="I120" s="13">
        <v>377187.92</v>
      </c>
      <c r="J120" s="2"/>
      <c r="L120" s="114">
        <f t="shared" si="2"/>
        <v>54000</v>
      </c>
      <c r="M120" s="114">
        <f t="shared" si="3"/>
        <v>0</v>
      </c>
    </row>
    <row r="121" spans="1:13" ht="47.25" outlineLevel="4">
      <c r="A121" s="19" t="s">
        <v>487</v>
      </c>
      <c r="B121" s="20" t="s">
        <v>2</v>
      </c>
      <c r="C121" s="20" t="s">
        <v>22</v>
      </c>
      <c r="D121" s="20" t="s">
        <v>8</v>
      </c>
      <c r="E121" s="20" t="s">
        <v>1</v>
      </c>
      <c r="F121" s="13">
        <f>F122</f>
        <v>526410.04</v>
      </c>
      <c r="G121" s="2"/>
      <c r="I121" s="13">
        <v>526410.04</v>
      </c>
      <c r="J121" s="2"/>
      <c r="L121" s="114">
        <f t="shared" si="2"/>
        <v>0</v>
      </c>
      <c r="M121" s="114">
        <f t="shared" si="3"/>
        <v>0</v>
      </c>
    </row>
    <row r="122" spans="1:13" ht="31.5" outlineLevel="5">
      <c r="A122" s="19" t="s">
        <v>430</v>
      </c>
      <c r="B122" s="20" t="s">
        <v>2</v>
      </c>
      <c r="C122" s="20" t="s">
        <v>22</v>
      </c>
      <c r="D122" s="20" t="s">
        <v>9</v>
      </c>
      <c r="E122" s="20" t="s">
        <v>1</v>
      </c>
      <c r="F122" s="13">
        <f>F123+F124</f>
        <v>526410.04</v>
      </c>
      <c r="G122" s="2"/>
      <c r="I122" s="13">
        <v>526410.04</v>
      </c>
      <c r="J122" s="2"/>
      <c r="L122" s="114">
        <f t="shared" si="2"/>
        <v>0</v>
      </c>
      <c r="M122" s="114">
        <f t="shared" si="3"/>
        <v>0</v>
      </c>
    </row>
    <row r="123" spans="1:13" ht="78.75" outlineLevel="6">
      <c r="A123" s="19" t="s">
        <v>708</v>
      </c>
      <c r="B123" s="20" t="s">
        <v>2</v>
      </c>
      <c r="C123" s="20" t="s">
        <v>22</v>
      </c>
      <c r="D123" s="20" t="s">
        <v>9</v>
      </c>
      <c r="E123" s="20" t="s">
        <v>10</v>
      </c>
      <c r="F123" s="13">
        <f>'Приложение_7 '!G92+'Приложение_7 '!G318+'Приложение_7 '!G595</f>
        <v>392210.04</v>
      </c>
      <c r="G123" s="2"/>
      <c r="I123" s="13">
        <v>392210.04</v>
      </c>
      <c r="J123" s="2"/>
      <c r="L123" s="114">
        <f t="shared" si="2"/>
        <v>0</v>
      </c>
      <c r="M123" s="114">
        <f t="shared" si="3"/>
        <v>0</v>
      </c>
    </row>
    <row r="124" spans="1:13" ht="31.5" outlineLevel="6">
      <c r="A124" s="19" t="s">
        <v>693</v>
      </c>
      <c r="B124" s="20" t="s">
        <v>2</v>
      </c>
      <c r="C124" s="20" t="s">
        <v>22</v>
      </c>
      <c r="D124" s="20" t="s">
        <v>9</v>
      </c>
      <c r="E124" s="20" t="s">
        <v>17</v>
      </c>
      <c r="F124" s="13">
        <f>'Приложение_7 '!G93+'Приложение_7 '!G319</f>
        <v>134200</v>
      </c>
      <c r="G124" s="2"/>
      <c r="I124" s="13">
        <v>134200</v>
      </c>
      <c r="J124" s="2"/>
      <c r="L124" s="114">
        <f t="shared" si="2"/>
        <v>0</v>
      </c>
      <c r="M124" s="114">
        <f t="shared" si="3"/>
        <v>0</v>
      </c>
    </row>
    <row r="125" spans="1:13" s="113" customFormat="1" ht="47.25" outlineLevel="1">
      <c r="A125" s="82" t="s">
        <v>666</v>
      </c>
      <c r="B125" s="83" t="s">
        <v>2</v>
      </c>
      <c r="C125" s="83" t="s">
        <v>60</v>
      </c>
      <c r="D125" s="83" t="s">
        <v>4</v>
      </c>
      <c r="E125" s="83" t="s">
        <v>1</v>
      </c>
      <c r="F125" s="12">
        <f>F126+F135</f>
        <v>4494609.83</v>
      </c>
      <c r="G125" s="1"/>
      <c r="I125" s="12">
        <v>4055189</v>
      </c>
      <c r="J125" s="1"/>
      <c r="L125" s="114">
        <f t="shared" si="2"/>
        <v>439420.8300000001</v>
      </c>
      <c r="M125" s="114">
        <f t="shared" si="3"/>
        <v>0</v>
      </c>
    </row>
    <row r="126" spans="1:13" ht="47.25" outlineLevel="2">
      <c r="A126" s="82" t="s">
        <v>656</v>
      </c>
      <c r="B126" s="83" t="s">
        <v>2</v>
      </c>
      <c r="C126" s="83" t="s">
        <v>60</v>
      </c>
      <c r="D126" s="83" t="s">
        <v>6</v>
      </c>
      <c r="E126" s="83" t="s">
        <v>1</v>
      </c>
      <c r="F126" s="12">
        <f>F127</f>
        <v>73514</v>
      </c>
      <c r="G126" s="1"/>
      <c r="I126" s="12">
        <v>73514</v>
      </c>
      <c r="J126" s="1"/>
      <c r="L126" s="114">
        <f t="shared" si="2"/>
        <v>0</v>
      </c>
      <c r="M126" s="114">
        <f t="shared" si="3"/>
        <v>0</v>
      </c>
    </row>
    <row r="127" spans="1:13" ht="31.5" outlineLevel="3">
      <c r="A127" s="82" t="s">
        <v>613</v>
      </c>
      <c r="B127" s="83" t="s">
        <v>2</v>
      </c>
      <c r="C127" s="83" t="s">
        <v>60</v>
      </c>
      <c r="D127" s="83" t="s">
        <v>7</v>
      </c>
      <c r="E127" s="83" t="s">
        <v>1</v>
      </c>
      <c r="F127" s="12">
        <v>73514</v>
      </c>
      <c r="G127" s="1"/>
      <c r="I127" s="12">
        <v>73514</v>
      </c>
      <c r="J127" s="1"/>
      <c r="L127" s="114">
        <f t="shared" si="2"/>
        <v>0</v>
      </c>
      <c r="M127" s="114">
        <f t="shared" si="3"/>
        <v>0</v>
      </c>
    </row>
    <row r="128" spans="1:13" ht="63" outlineLevel="4">
      <c r="A128" s="19" t="s">
        <v>488</v>
      </c>
      <c r="B128" s="20" t="s">
        <v>2</v>
      </c>
      <c r="C128" s="20" t="s">
        <v>60</v>
      </c>
      <c r="D128" s="20" t="s">
        <v>15</v>
      </c>
      <c r="E128" s="20" t="s">
        <v>1</v>
      </c>
      <c r="F128" s="13">
        <f>F129</f>
        <v>57400</v>
      </c>
      <c r="G128" s="2"/>
      <c r="I128" s="13">
        <v>57400</v>
      </c>
      <c r="J128" s="2"/>
      <c r="L128" s="114">
        <f t="shared" si="2"/>
        <v>0</v>
      </c>
      <c r="M128" s="114">
        <f t="shared" si="3"/>
        <v>0</v>
      </c>
    </row>
    <row r="129" spans="1:13" ht="31.5" outlineLevel="5">
      <c r="A129" s="19" t="s">
        <v>430</v>
      </c>
      <c r="B129" s="20" t="s">
        <v>2</v>
      </c>
      <c r="C129" s="20" t="s">
        <v>60</v>
      </c>
      <c r="D129" s="20" t="s">
        <v>16</v>
      </c>
      <c r="E129" s="20" t="s">
        <v>1</v>
      </c>
      <c r="F129" s="13">
        <f>F130+F131</f>
        <v>57400</v>
      </c>
      <c r="G129" s="2"/>
      <c r="I129" s="13">
        <v>57400</v>
      </c>
      <c r="J129" s="2"/>
      <c r="L129" s="114">
        <f t="shared" si="2"/>
        <v>0</v>
      </c>
      <c r="M129" s="114">
        <f t="shared" si="3"/>
        <v>0</v>
      </c>
    </row>
    <row r="130" spans="1:13" ht="78.75" outlineLevel="6">
      <c r="A130" s="19" t="s">
        <v>708</v>
      </c>
      <c r="B130" s="20" t="s">
        <v>2</v>
      </c>
      <c r="C130" s="20" t="s">
        <v>60</v>
      </c>
      <c r="D130" s="20" t="s">
        <v>16</v>
      </c>
      <c r="E130" s="20" t="s">
        <v>10</v>
      </c>
      <c r="F130" s="13">
        <f>'Приложение_7 '!G1070</f>
        <v>30700</v>
      </c>
      <c r="G130" s="2"/>
      <c r="I130" s="13">
        <v>30700</v>
      </c>
      <c r="J130" s="2"/>
      <c r="L130" s="114">
        <f t="shared" si="2"/>
        <v>0</v>
      </c>
      <c r="M130" s="114">
        <f t="shared" si="3"/>
        <v>0</v>
      </c>
    </row>
    <row r="131" spans="1:13" ht="31.5" outlineLevel="6">
      <c r="A131" s="19" t="s">
        <v>693</v>
      </c>
      <c r="B131" s="20" t="s">
        <v>2</v>
      </c>
      <c r="C131" s="20" t="s">
        <v>60</v>
      </c>
      <c r="D131" s="20" t="s">
        <v>16</v>
      </c>
      <c r="E131" s="20" t="s">
        <v>17</v>
      </c>
      <c r="F131" s="13">
        <f>'Приложение_7 '!G1071</f>
        <v>26700</v>
      </c>
      <c r="G131" s="2"/>
      <c r="I131" s="13">
        <v>26700</v>
      </c>
      <c r="J131" s="2"/>
      <c r="L131" s="114">
        <f t="shared" si="2"/>
        <v>0</v>
      </c>
      <c r="M131" s="114">
        <f t="shared" si="3"/>
        <v>0</v>
      </c>
    </row>
    <row r="132" spans="1:13" ht="15.75" outlineLevel="4">
      <c r="A132" s="19" t="s">
        <v>489</v>
      </c>
      <c r="B132" s="20" t="s">
        <v>2</v>
      </c>
      <c r="C132" s="20" t="s">
        <v>60</v>
      </c>
      <c r="D132" s="20" t="s">
        <v>18</v>
      </c>
      <c r="E132" s="20" t="s">
        <v>1</v>
      </c>
      <c r="F132" s="13">
        <f>F133</f>
        <v>16114</v>
      </c>
      <c r="G132" s="2"/>
      <c r="I132" s="13">
        <v>16114</v>
      </c>
      <c r="J132" s="2"/>
      <c r="L132" s="114">
        <f t="shared" si="2"/>
        <v>0</v>
      </c>
      <c r="M132" s="114">
        <f t="shared" si="3"/>
        <v>0</v>
      </c>
    </row>
    <row r="133" spans="1:13" ht="31.5" outlineLevel="5">
      <c r="A133" s="19" t="s">
        <v>430</v>
      </c>
      <c r="B133" s="20" t="s">
        <v>2</v>
      </c>
      <c r="C133" s="20" t="s">
        <v>60</v>
      </c>
      <c r="D133" s="20" t="s">
        <v>19</v>
      </c>
      <c r="E133" s="20" t="s">
        <v>1</v>
      </c>
      <c r="F133" s="13">
        <f>F134</f>
        <v>16114</v>
      </c>
      <c r="G133" s="2"/>
      <c r="I133" s="13">
        <v>16114</v>
      </c>
      <c r="J133" s="2"/>
      <c r="L133" s="114">
        <f t="shared" si="2"/>
        <v>0</v>
      </c>
      <c r="M133" s="114">
        <f t="shared" si="3"/>
        <v>0</v>
      </c>
    </row>
    <row r="134" spans="1:13" ht="31.5" outlineLevel="6">
      <c r="A134" s="19" t="s">
        <v>693</v>
      </c>
      <c r="B134" s="20" t="s">
        <v>2</v>
      </c>
      <c r="C134" s="20" t="s">
        <v>60</v>
      </c>
      <c r="D134" s="20" t="s">
        <v>19</v>
      </c>
      <c r="E134" s="20" t="s">
        <v>17</v>
      </c>
      <c r="F134" s="13">
        <f>'Приложение_7 '!G1074</f>
        <v>16114</v>
      </c>
      <c r="G134" s="2"/>
      <c r="I134" s="13">
        <v>16114</v>
      </c>
      <c r="J134" s="2"/>
      <c r="L134" s="114">
        <f t="shared" si="2"/>
        <v>0</v>
      </c>
      <c r="M134" s="114">
        <f t="shared" si="3"/>
        <v>0</v>
      </c>
    </row>
    <row r="135" spans="1:13" ht="15.75" outlineLevel="2">
      <c r="A135" s="82" t="s">
        <v>490</v>
      </c>
      <c r="B135" s="83" t="s">
        <v>2</v>
      </c>
      <c r="C135" s="83" t="s">
        <v>60</v>
      </c>
      <c r="D135" s="83" t="s">
        <v>11</v>
      </c>
      <c r="E135" s="83" t="s">
        <v>1</v>
      </c>
      <c r="F135" s="12">
        <f>F136+F138+F140+F142</f>
        <v>4421095.83</v>
      </c>
      <c r="G135" s="1"/>
      <c r="I135" s="12">
        <v>3981675</v>
      </c>
      <c r="J135" s="1"/>
      <c r="L135" s="114">
        <f t="shared" si="2"/>
        <v>439420.8300000001</v>
      </c>
      <c r="M135" s="114">
        <f t="shared" si="3"/>
        <v>0</v>
      </c>
    </row>
    <row r="136" spans="1:13" ht="47.25" outlineLevel="5">
      <c r="A136" s="19" t="s">
        <v>437</v>
      </c>
      <c r="B136" s="20" t="s">
        <v>2</v>
      </c>
      <c r="C136" s="20" t="s">
        <v>60</v>
      </c>
      <c r="D136" s="20" t="s">
        <v>61</v>
      </c>
      <c r="E136" s="20" t="s">
        <v>1</v>
      </c>
      <c r="F136" s="13">
        <f>F137</f>
        <v>1753836.66</v>
      </c>
      <c r="G136" s="2"/>
      <c r="I136" s="13">
        <v>1299819</v>
      </c>
      <c r="J136" s="2"/>
      <c r="L136" s="114">
        <f t="shared" si="2"/>
        <v>454017.6599999999</v>
      </c>
      <c r="M136" s="114">
        <f t="shared" si="3"/>
        <v>0</v>
      </c>
    </row>
    <row r="137" spans="1:13" ht="78.75" outlineLevel="6">
      <c r="A137" s="19" t="s">
        <v>708</v>
      </c>
      <c r="B137" s="20" t="s">
        <v>2</v>
      </c>
      <c r="C137" s="20" t="s">
        <v>60</v>
      </c>
      <c r="D137" s="20" t="s">
        <v>61</v>
      </c>
      <c r="E137" s="20" t="s">
        <v>10</v>
      </c>
      <c r="F137" s="13">
        <f>'Приложение_7 '!G1077</f>
        <v>1753836.66</v>
      </c>
      <c r="G137" s="2"/>
      <c r="I137" s="13">
        <v>1299819</v>
      </c>
      <c r="J137" s="2"/>
      <c r="L137" s="114">
        <f t="shared" si="2"/>
        <v>454017.6599999999</v>
      </c>
      <c r="M137" s="114">
        <f t="shared" si="3"/>
        <v>0</v>
      </c>
    </row>
    <row r="138" spans="1:13" ht="31.5" outlineLevel="5">
      <c r="A138" s="19" t="s">
        <v>434</v>
      </c>
      <c r="B138" s="20" t="s">
        <v>2</v>
      </c>
      <c r="C138" s="20" t="s">
        <v>60</v>
      </c>
      <c r="D138" s="20" t="s">
        <v>21</v>
      </c>
      <c r="E138" s="20" t="s">
        <v>1</v>
      </c>
      <c r="F138" s="13">
        <f>F139</f>
        <v>2047661</v>
      </c>
      <c r="G138" s="2"/>
      <c r="I138" s="13">
        <v>2047661</v>
      </c>
      <c r="J138" s="2"/>
      <c r="L138" s="114">
        <f t="shared" si="2"/>
        <v>0</v>
      </c>
      <c r="M138" s="114">
        <f t="shared" si="3"/>
        <v>0</v>
      </c>
    </row>
    <row r="139" spans="1:13" ht="78.75" outlineLevel="6">
      <c r="A139" s="19" t="s">
        <v>708</v>
      </c>
      <c r="B139" s="20" t="s">
        <v>2</v>
      </c>
      <c r="C139" s="20" t="s">
        <v>60</v>
      </c>
      <c r="D139" s="20" t="s">
        <v>21</v>
      </c>
      <c r="E139" s="20" t="s">
        <v>10</v>
      </c>
      <c r="F139" s="13">
        <f>'Приложение_7 '!G1079</f>
        <v>2047661</v>
      </c>
      <c r="G139" s="1"/>
      <c r="I139" s="13">
        <v>2047661</v>
      </c>
      <c r="J139" s="1"/>
      <c r="L139" s="114">
        <f t="shared" si="2"/>
        <v>0</v>
      </c>
      <c r="M139" s="114">
        <f t="shared" si="3"/>
        <v>0</v>
      </c>
    </row>
    <row r="140" spans="1:13" ht="47.25" outlineLevel="5">
      <c r="A140" s="19" t="s">
        <v>436</v>
      </c>
      <c r="B140" s="20" t="s">
        <v>2</v>
      </c>
      <c r="C140" s="20" t="s">
        <v>60</v>
      </c>
      <c r="D140" s="20" t="s">
        <v>62</v>
      </c>
      <c r="E140" s="20" t="s">
        <v>1</v>
      </c>
      <c r="F140" s="13">
        <f>F141</f>
        <v>533598.17</v>
      </c>
      <c r="G140" s="2"/>
      <c r="I140" s="13">
        <v>548195</v>
      </c>
      <c r="J140" s="2"/>
      <c r="L140" s="114">
        <f t="shared" si="2"/>
        <v>-14596.829999999958</v>
      </c>
      <c r="M140" s="114">
        <f t="shared" si="3"/>
        <v>0</v>
      </c>
    </row>
    <row r="141" spans="1:13" ht="78.75" outlineLevel="6">
      <c r="A141" s="19" t="s">
        <v>708</v>
      </c>
      <c r="B141" s="20" t="s">
        <v>2</v>
      </c>
      <c r="C141" s="20" t="s">
        <v>60</v>
      </c>
      <c r="D141" s="20" t="s">
        <v>62</v>
      </c>
      <c r="E141" s="20" t="s">
        <v>10</v>
      </c>
      <c r="F141" s="13">
        <f>'Приложение_7 '!G1081</f>
        <v>533598.17</v>
      </c>
      <c r="G141" s="2"/>
      <c r="I141" s="13">
        <v>548195</v>
      </c>
      <c r="J141" s="2"/>
      <c r="L141" s="114">
        <f t="shared" si="2"/>
        <v>-14596.829999999958</v>
      </c>
      <c r="M141" s="114">
        <f t="shared" si="3"/>
        <v>0</v>
      </c>
    </row>
    <row r="142" spans="1:13" ht="63" outlineLevel="5">
      <c r="A142" s="19" t="s">
        <v>432</v>
      </c>
      <c r="B142" s="20" t="s">
        <v>2</v>
      </c>
      <c r="C142" s="20" t="s">
        <v>60</v>
      </c>
      <c r="D142" s="20" t="s">
        <v>13</v>
      </c>
      <c r="E142" s="20" t="s">
        <v>1</v>
      </c>
      <c r="F142" s="13">
        <f>F143</f>
        <v>86000</v>
      </c>
      <c r="G142" s="2"/>
      <c r="I142" s="13">
        <v>86000</v>
      </c>
      <c r="J142" s="2"/>
      <c r="L142" s="114">
        <f t="shared" si="2"/>
        <v>0</v>
      </c>
      <c r="M142" s="114">
        <f t="shared" si="3"/>
        <v>0</v>
      </c>
    </row>
    <row r="143" spans="1:13" ht="78.75" outlineLevel="6">
      <c r="A143" s="19" t="s">
        <v>708</v>
      </c>
      <c r="B143" s="20" t="s">
        <v>2</v>
      </c>
      <c r="C143" s="20" t="s">
        <v>60</v>
      </c>
      <c r="D143" s="20" t="s">
        <v>13</v>
      </c>
      <c r="E143" s="20" t="s">
        <v>10</v>
      </c>
      <c r="F143" s="13">
        <f>'Приложение_7 '!G1083</f>
        <v>86000</v>
      </c>
      <c r="G143" s="2"/>
      <c r="I143" s="13">
        <v>86000</v>
      </c>
      <c r="J143" s="2"/>
      <c r="L143" s="114">
        <f t="shared" si="2"/>
        <v>0</v>
      </c>
      <c r="M143" s="114">
        <f t="shared" si="3"/>
        <v>0</v>
      </c>
    </row>
    <row r="144" spans="1:13" ht="31.5" outlineLevel="6">
      <c r="A144" s="145" t="s">
        <v>1239</v>
      </c>
      <c r="B144" s="146" t="s">
        <v>2</v>
      </c>
      <c r="C144" s="146" t="s">
        <v>239</v>
      </c>
      <c r="D144" s="214" t="s">
        <v>4</v>
      </c>
      <c r="E144" s="146" t="s">
        <v>1</v>
      </c>
      <c r="F144" s="215">
        <f>F145</f>
        <v>1063600</v>
      </c>
      <c r="G144" s="2"/>
      <c r="I144" s="13"/>
      <c r="J144" s="2"/>
      <c r="L144" s="114"/>
      <c r="M144" s="114"/>
    </row>
    <row r="145" spans="1:13" ht="15.75" outlineLevel="6">
      <c r="A145" s="134" t="s">
        <v>490</v>
      </c>
      <c r="B145" s="135" t="s">
        <v>2</v>
      </c>
      <c r="C145" s="135" t="s">
        <v>239</v>
      </c>
      <c r="D145" s="135" t="s">
        <v>11</v>
      </c>
      <c r="E145" s="135" t="s">
        <v>1</v>
      </c>
      <c r="F145" s="216">
        <f>F146</f>
        <v>1063600</v>
      </c>
      <c r="G145" s="2"/>
      <c r="I145" s="13"/>
      <c r="J145" s="2"/>
      <c r="L145" s="114"/>
      <c r="M145" s="114"/>
    </row>
    <row r="146" spans="1:13" ht="31.5" outlineLevel="6">
      <c r="A146" s="134" t="s">
        <v>1240</v>
      </c>
      <c r="B146" s="135" t="s">
        <v>2</v>
      </c>
      <c r="C146" s="135" t="s">
        <v>239</v>
      </c>
      <c r="D146" s="135" t="s">
        <v>1241</v>
      </c>
      <c r="E146" s="135" t="s">
        <v>1</v>
      </c>
      <c r="F146" s="216">
        <f>F147</f>
        <v>1063600</v>
      </c>
      <c r="G146" s="2"/>
      <c r="I146" s="13"/>
      <c r="J146" s="2"/>
      <c r="L146" s="114"/>
      <c r="M146" s="114"/>
    </row>
    <row r="147" spans="1:13" ht="31.5" outlineLevel="6">
      <c r="A147" s="134" t="s">
        <v>693</v>
      </c>
      <c r="B147" s="135" t="s">
        <v>2</v>
      </c>
      <c r="C147" s="135" t="s">
        <v>239</v>
      </c>
      <c r="D147" s="135" t="s">
        <v>1241</v>
      </c>
      <c r="E147" s="135" t="s">
        <v>65</v>
      </c>
      <c r="F147" s="216">
        <f>'Приложение_7 '!G97</f>
        <v>1063600</v>
      </c>
      <c r="G147" s="2"/>
      <c r="I147" s="13"/>
      <c r="J147" s="2"/>
      <c r="L147" s="114"/>
      <c r="M147" s="114"/>
    </row>
    <row r="148" spans="1:13" s="113" customFormat="1" ht="15.75" outlineLevel="1">
      <c r="A148" s="82" t="s">
        <v>1312</v>
      </c>
      <c r="B148" s="83" t="s">
        <v>2</v>
      </c>
      <c r="C148" s="83" t="s">
        <v>63</v>
      </c>
      <c r="D148" s="83" t="s">
        <v>4</v>
      </c>
      <c r="E148" s="83" t="s">
        <v>1</v>
      </c>
      <c r="F148" s="12">
        <f>F149</f>
        <v>513310</v>
      </c>
      <c r="G148" s="1"/>
      <c r="I148" s="12">
        <v>1606000</v>
      </c>
      <c r="J148" s="1"/>
      <c r="L148" s="114">
        <f t="shared" si="2"/>
        <v>-1092690</v>
      </c>
      <c r="M148" s="114">
        <f t="shared" si="3"/>
        <v>0</v>
      </c>
    </row>
    <row r="149" spans="1:13" ht="15.75" outlineLevel="2">
      <c r="A149" s="82" t="s">
        <v>490</v>
      </c>
      <c r="B149" s="83" t="s">
        <v>2</v>
      </c>
      <c r="C149" s="83" t="s">
        <v>63</v>
      </c>
      <c r="D149" s="83" t="s">
        <v>11</v>
      </c>
      <c r="E149" s="83" t="s">
        <v>1</v>
      </c>
      <c r="F149" s="12">
        <f>F150</f>
        <v>513310</v>
      </c>
      <c r="G149" s="1"/>
      <c r="I149" s="12">
        <v>1606000</v>
      </c>
      <c r="J149" s="1"/>
      <c r="L149" s="114">
        <f t="shared" si="2"/>
        <v>-1092690</v>
      </c>
      <c r="M149" s="114">
        <f t="shared" si="3"/>
        <v>0</v>
      </c>
    </row>
    <row r="150" spans="1:13" ht="31.5" outlineLevel="5">
      <c r="A150" s="19" t="s">
        <v>438</v>
      </c>
      <c r="B150" s="20" t="s">
        <v>2</v>
      </c>
      <c r="C150" s="20" t="s">
        <v>63</v>
      </c>
      <c r="D150" s="20" t="s">
        <v>64</v>
      </c>
      <c r="E150" s="20" t="s">
        <v>1</v>
      </c>
      <c r="F150" s="13">
        <f>F151</f>
        <v>513310</v>
      </c>
      <c r="G150" s="2"/>
      <c r="I150" s="13">
        <v>1606000</v>
      </c>
      <c r="J150" s="2"/>
      <c r="L150" s="114">
        <f t="shared" si="2"/>
        <v>-1092690</v>
      </c>
      <c r="M150" s="114">
        <f t="shared" si="3"/>
        <v>0</v>
      </c>
    </row>
    <row r="151" spans="1:13" ht="15.75" outlineLevel="6">
      <c r="A151" s="19" t="s">
        <v>695</v>
      </c>
      <c r="B151" s="20" t="s">
        <v>2</v>
      </c>
      <c r="C151" s="20" t="s">
        <v>63</v>
      </c>
      <c r="D151" s="20" t="s">
        <v>64</v>
      </c>
      <c r="E151" s="20" t="s">
        <v>65</v>
      </c>
      <c r="F151" s="13">
        <f>'Приложение_7 '!G599</f>
        <v>513310</v>
      </c>
      <c r="G151" s="2"/>
      <c r="I151" s="13">
        <v>1606000</v>
      </c>
      <c r="J151" s="2"/>
      <c r="L151" s="114">
        <f t="shared" si="2"/>
        <v>-1092690</v>
      </c>
      <c r="M151" s="114">
        <f t="shared" si="3"/>
        <v>0</v>
      </c>
    </row>
    <row r="152" spans="1:13" s="113" customFormat="1" ht="24.75" customHeight="1" outlineLevel="1">
      <c r="A152" s="82" t="s">
        <v>668</v>
      </c>
      <c r="B152" s="83" t="s">
        <v>2</v>
      </c>
      <c r="C152" s="83" t="s">
        <v>66</v>
      </c>
      <c r="D152" s="83" t="s">
        <v>4</v>
      </c>
      <c r="E152" s="83" t="s">
        <v>1</v>
      </c>
      <c r="F152" s="12">
        <f>F153+F157+F169+F173+F183+F214+F278</f>
        <v>118707492.35000001</v>
      </c>
      <c r="G152" s="12">
        <f>G153+G157+G169+G173+G183+G214+G278</f>
        <v>784042</v>
      </c>
      <c r="I152" s="12">
        <v>110418207.42</v>
      </c>
      <c r="J152" s="1">
        <f>J183+J214</f>
        <v>784042</v>
      </c>
      <c r="L152" s="114">
        <f t="shared" si="2"/>
        <v>8289284.930000007</v>
      </c>
      <c r="M152" s="114">
        <f t="shared" si="3"/>
        <v>0</v>
      </c>
    </row>
    <row r="153" spans="1:13" ht="47.25" outlineLevel="2">
      <c r="A153" s="82" t="s">
        <v>619</v>
      </c>
      <c r="B153" s="83" t="s">
        <v>2</v>
      </c>
      <c r="C153" s="83" t="s">
        <v>66</v>
      </c>
      <c r="D153" s="83" t="s">
        <v>67</v>
      </c>
      <c r="E153" s="83" t="s">
        <v>1</v>
      </c>
      <c r="F153" s="12">
        <f>F154</f>
        <v>318944</v>
      </c>
      <c r="G153" s="1"/>
      <c r="I153" s="12">
        <v>318944</v>
      </c>
      <c r="J153" s="1"/>
      <c r="L153" s="114">
        <f t="shared" si="2"/>
        <v>0</v>
      </c>
      <c r="M153" s="114">
        <f t="shared" si="3"/>
        <v>0</v>
      </c>
    </row>
    <row r="154" spans="1:13" ht="47.25" outlineLevel="4">
      <c r="A154" s="19" t="s">
        <v>499</v>
      </c>
      <c r="B154" s="20" t="s">
        <v>2</v>
      </c>
      <c r="C154" s="20" t="s">
        <v>66</v>
      </c>
      <c r="D154" s="20" t="s">
        <v>68</v>
      </c>
      <c r="E154" s="20" t="s">
        <v>1</v>
      </c>
      <c r="F154" s="13">
        <f>F155</f>
        <v>318944</v>
      </c>
      <c r="G154" s="2"/>
      <c r="I154" s="13">
        <v>318944</v>
      </c>
      <c r="J154" s="2"/>
      <c r="L154" s="114">
        <f t="shared" si="2"/>
        <v>0</v>
      </c>
      <c r="M154" s="114">
        <f t="shared" si="3"/>
        <v>0</v>
      </c>
    </row>
    <row r="155" spans="1:13" ht="31.5" outlineLevel="5">
      <c r="A155" s="19" t="s">
        <v>439</v>
      </c>
      <c r="B155" s="20" t="s">
        <v>2</v>
      </c>
      <c r="C155" s="20" t="s">
        <v>66</v>
      </c>
      <c r="D155" s="20" t="s">
        <v>69</v>
      </c>
      <c r="E155" s="20" t="s">
        <v>1</v>
      </c>
      <c r="F155" s="13">
        <f>F156</f>
        <v>318944</v>
      </c>
      <c r="G155" s="2"/>
      <c r="I155" s="13">
        <v>318944</v>
      </c>
      <c r="J155" s="2"/>
      <c r="L155" s="114">
        <f t="shared" si="2"/>
        <v>0</v>
      </c>
      <c r="M155" s="114">
        <f t="shared" si="3"/>
        <v>0</v>
      </c>
    </row>
    <row r="156" spans="1:13" ht="31.5" outlineLevel="6">
      <c r="A156" s="19" t="s">
        <v>696</v>
      </c>
      <c r="B156" s="20" t="s">
        <v>2</v>
      </c>
      <c r="C156" s="20" t="s">
        <v>66</v>
      </c>
      <c r="D156" s="20" t="s">
        <v>69</v>
      </c>
      <c r="E156" s="20" t="s">
        <v>70</v>
      </c>
      <c r="F156" s="13">
        <f>'Приложение_7 '!G102</f>
        <v>318944</v>
      </c>
      <c r="G156" s="2"/>
      <c r="I156" s="13">
        <v>318944</v>
      </c>
      <c r="J156" s="2"/>
      <c r="L156" s="114">
        <f t="shared" si="2"/>
        <v>0</v>
      </c>
      <c r="M156" s="114">
        <f t="shared" si="3"/>
        <v>0</v>
      </c>
    </row>
    <row r="157" spans="1:13" ht="47.25" outlineLevel="2">
      <c r="A157" s="82" t="s">
        <v>658</v>
      </c>
      <c r="B157" s="83" t="s">
        <v>2</v>
      </c>
      <c r="C157" s="83" t="s">
        <v>66</v>
      </c>
      <c r="D157" s="83" t="s">
        <v>71</v>
      </c>
      <c r="E157" s="83" t="s">
        <v>1</v>
      </c>
      <c r="F157" s="12">
        <f>F158+F165</f>
        <v>2816687.59</v>
      </c>
      <c r="G157" s="1"/>
      <c r="I157" s="12">
        <v>3518500</v>
      </c>
      <c r="J157" s="1"/>
      <c r="L157" s="114">
        <f t="shared" si="2"/>
        <v>-701812.4100000001</v>
      </c>
      <c r="M157" s="114">
        <f t="shared" si="3"/>
        <v>0</v>
      </c>
    </row>
    <row r="158" spans="1:13" ht="47.25" outlineLevel="3">
      <c r="A158" s="82" t="s">
        <v>620</v>
      </c>
      <c r="B158" s="83" t="s">
        <v>2</v>
      </c>
      <c r="C158" s="83" t="s">
        <v>66</v>
      </c>
      <c r="D158" s="83" t="s">
        <v>72</v>
      </c>
      <c r="E158" s="83" t="s">
        <v>1</v>
      </c>
      <c r="F158" s="12">
        <f>F159+F162</f>
        <v>2529687.59</v>
      </c>
      <c r="G158" s="1"/>
      <c r="I158" s="12">
        <v>3231500</v>
      </c>
      <c r="J158" s="1"/>
      <c r="L158" s="114">
        <f aca="true" t="shared" si="4" ref="L158:L221">F158-I158</f>
        <v>-701812.4100000001</v>
      </c>
      <c r="M158" s="114">
        <f aca="true" t="shared" si="5" ref="M158:M221">G158-J158</f>
        <v>0</v>
      </c>
    </row>
    <row r="159" spans="1:13" ht="31.5" outlineLevel="4">
      <c r="A159" s="19" t="s">
        <v>500</v>
      </c>
      <c r="B159" s="20" t="s">
        <v>2</v>
      </c>
      <c r="C159" s="20" t="s">
        <v>66</v>
      </c>
      <c r="D159" s="20" t="s">
        <v>73</v>
      </c>
      <c r="E159" s="20" t="s">
        <v>1</v>
      </c>
      <c r="F159" s="13">
        <f>F160</f>
        <v>822850</v>
      </c>
      <c r="G159" s="2"/>
      <c r="I159" s="13">
        <v>231500</v>
      </c>
      <c r="J159" s="2"/>
      <c r="L159" s="114">
        <f t="shared" si="4"/>
        <v>591350</v>
      </c>
      <c r="M159" s="114">
        <f t="shared" si="5"/>
        <v>0</v>
      </c>
    </row>
    <row r="160" spans="1:13" ht="31.5" outlineLevel="5">
      <c r="A160" s="19" t="s">
        <v>440</v>
      </c>
      <c r="B160" s="20" t="s">
        <v>2</v>
      </c>
      <c r="C160" s="20" t="s">
        <v>66</v>
      </c>
      <c r="D160" s="20" t="s">
        <v>74</v>
      </c>
      <c r="E160" s="20" t="s">
        <v>1</v>
      </c>
      <c r="F160" s="13">
        <f>F161</f>
        <v>822850</v>
      </c>
      <c r="G160" s="2"/>
      <c r="I160" s="13">
        <v>231500</v>
      </c>
      <c r="J160" s="2"/>
      <c r="L160" s="114">
        <f t="shared" si="4"/>
        <v>591350</v>
      </c>
      <c r="M160" s="114">
        <f t="shared" si="5"/>
        <v>0</v>
      </c>
    </row>
    <row r="161" spans="1:13" ht="31.5" outlineLevel="6">
      <c r="A161" s="19" t="s">
        <v>693</v>
      </c>
      <c r="B161" s="20" t="s">
        <v>2</v>
      </c>
      <c r="C161" s="20" t="s">
        <v>66</v>
      </c>
      <c r="D161" s="20" t="s">
        <v>74</v>
      </c>
      <c r="E161" s="20" t="s">
        <v>17</v>
      </c>
      <c r="F161" s="13">
        <f>'Приложение_7 '!G107</f>
        <v>822850</v>
      </c>
      <c r="G161" s="2"/>
      <c r="I161" s="13">
        <v>231500</v>
      </c>
      <c r="J161" s="2"/>
      <c r="L161" s="114">
        <f t="shared" si="4"/>
        <v>591350</v>
      </c>
      <c r="M161" s="114">
        <f t="shared" si="5"/>
        <v>0</v>
      </c>
    </row>
    <row r="162" spans="1:13" ht="31.5" outlineLevel="4">
      <c r="A162" s="19" t="s">
        <v>501</v>
      </c>
      <c r="B162" s="20" t="s">
        <v>2</v>
      </c>
      <c r="C162" s="20" t="s">
        <v>66</v>
      </c>
      <c r="D162" s="20" t="s">
        <v>75</v>
      </c>
      <c r="E162" s="20" t="s">
        <v>1</v>
      </c>
      <c r="F162" s="13">
        <f>F163</f>
        <v>1706837.5899999999</v>
      </c>
      <c r="G162" s="2"/>
      <c r="I162" s="13">
        <v>3000000</v>
      </c>
      <c r="J162" s="2"/>
      <c r="L162" s="114">
        <f t="shared" si="4"/>
        <v>-1293162.4100000001</v>
      </c>
      <c r="M162" s="114">
        <f t="shared" si="5"/>
        <v>0</v>
      </c>
    </row>
    <row r="163" spans="1:13" ht="31.5" outlineLevel="5">
      <c r="A163" s="19" t="s">
        <v>441</v>
      </c>
      <c r="B163" s="20" t="s">
        <v>2</v>
      </c>
      <c r="C163" s="20" t="s">
        <v>66</v>
      </c>
      <c r="D163" s="20" t="s">
        <v>76</v>
      </c>
      <c r="E163" s="20" t="s">
        <v>1</v>
      </c>
      <c r="F163" s="13">
        <f>F164</f>
        <v>1706837.5899999999</v>
      </c>
      <c r="G163" s="2"/>
      <c r="I163" s="13">
        <v>3000000</v>
      </c>
      <c r="J163" s="2"/>
      <c r="L163" s="114">
        <f t="shared" si="4"/>
        <v>-1293162.4100000001</v>
      </c>
      <c r="M163" s="114">
        <f t="shared" si="5"/>
        <v>0</v>
      </c>
    </row>
    <row r="164" spans="1:13" ht="31.5" outlineLevel="6">
      <c r="A164" s="19" t="s">
        <v>693</v>
      </c>
      <c r="B164" s="20" t="s">
        <v>2</v>
      </c>
      <c r="C164" s="20" t="s">
        <v>66</v>
      </c>
      <c r="D164" s="20" t="s">
        <v>76</v>
      </c>
      <c r="E164" s="20" t="s">
        <v>17</v>
      </c>
      <c r="F164" s="13">
        <f>'Приложение_7 '!G110</f>
        <v>1706837.5899999999</v>
      </c>
      <c r="G164" s="2"/>
      <c r="I164" s="13">
        <v>3000000</v>
      </c>
      <c r="J164" s="2"/>
      <c r="L164" s="114">
        <f t="shared" si="4"/>
        <v>-1293162.4100000001</v>
      </c>
      <c r="M164" s="114">
        <f t="shared" si="5"/>
        <v>0</v>
      </c>
    </row>
    <row r="165" spans="1:13" ht="31.5" outlineLevel="3">
      <c r="A165" s="82" t="s">
        <v>621</v>
      </c>
      <c r="B165" s="83" t="s">
        <v>2</v>
      </c>
      <c r="C165" s="83" t="s">
        <v>66</v>
      </c>
      <c r="D165" s="83" t="s">
        <v>77</v>
      </c>
      <c r="E165" s="83" t="s">
        <v>1</v>
      </c>
      <c r="F165" s="12">
        <f>F166</f>
        <v>287000</v>
      </c>
      <c r="G165" s="1"/>
      <c r="I165" s="12">
        <v>287000</v>
      </c>
      <c r="J165" s="1"/>
      <c r="L165" s="114">
        <f t="shared" si="4"/>
        <v>0</v>
      </c>
      <c r="M165" s="114">
        <f t="shared" si="5"/>
        <v>0</v>
      </c>
    </row>
    <row r="166" spans="1:13" ht="63" outlineLevel="4">
      <c r="A166" s="19" t="s">
        <v>502</v>
      </c>
      <c r="B166" s="20" t="s">
        <v>2</v>
      </c>
      <c r="C166" s="20" t="s">
        <v>66</v>
      </c>
      <c r="D166" s="20" t="s">
        <v>78</v>
      </c>
      <c r="E166" s="20" t="s">
        <v>1</v>
      </c>
      <c r="F166" s="13">
        <f>F167</f>
        <v>287000</v>
      </c>
      <c r="G166" s="2"/>
      <c r="I166" s="13">
        <v>287000</v>
      </c>
      <c r="J166" s="2"/>
      <c r="L166" s="114">
        <f t="shared" si="4"/>
        <v>0</v>
      </c>
      <c r="M166" s="114">
        <f t="shared" si="5"/>
        <v>0</v>
      </c>
    </row>
    <row r="167" spans="1:13" ht="31.5" outlineLevel="5">
      <c r="A167" s="19" t="s">
        <v>441</v>
      </c>
      <c r="B167" s="20" t="s">
        <v>2</v>
      </c>
      <c r="C167" s="20" t="s">
        <v>66</v>
      </c>
      <c r="D167" s="20" t="s">
        <v>79</v>
      </c>
      <c r="E167" s="20" t="s">
        <v>1</v>
      </c>
      <c r="F167" s="13">
        <f>F168</f>
        <v>287000</v>
      </c>
      <c r="G167" s="2"/>
      <c r="I167" s="13">
        <v>287000</v>
      </c>
      <c r="J167" s="2"/>
      <c r="L167" s="114">
        <f t="shared" si="4"/>
        <v>0</v>
      </c>
      <c r="M167" s="114">
        <f t="shared" si="5"/>
        <v>0</v>
      </c>
    </row>
    <row r="168" spans="1:13" ht="31.5" outlineLevel="6">
      <c r="A168" s="19" t="s">
        <v>693</v>
      </c>
      <c r="B168" s="20" t="s">
        <v>2</v>
      </c>
      <c r="C168" s="20" t="s">
        <v>66</v>
      </c>
      <c r="D168" s="20" t="s">
        <v>79</v>
      </c>
      <c r="E168" s="20" t="s">
        <v>17</v>
      </c>
      <c r="F168" s="13">
        <f>'Приложение_7 '!G325</f>
        <v>287000</v>
      </c>
      <c r="G168" s="2"/>
      <c r="I168" s="13">
        <v>287000</v>
      </c>
      <c r="J168" s="2"/>
      <c r="L168" s="114">
        <f t="shared" si="4"/>
        <v>0</v>
      </c>
      <c r="M168" s="114">
        <f t="shared" si="5"/>
        <v>0</v>
      </c>
    </row>
    <row r="169" spans="1:13" ht="47.25" outlineLevel="2">
      <c r="A169" s="82" t="s">
        <v>622</v>
      </c>
      <c r="B169" s="83" t="s">
        <v>2</v>
      </c>
      <c r="C169" s="83" t="s">
        <v>66</v>
      </c>
      <c r="D169" s="83" t="s">
        <v>80</v>
      </c>
      <c r="E169" s="83" t="s">
        <v>1</v>
      </c>
      <c r="F169" s="12">
        <f>F170</f>
        <v>246750</v>
      </c>
      <c r="G169" s="1"/>
      <c r="I169" s="12">
        <v>200000</v>
      </c>
      <c r="J169" s="1"/>
      <c r="L169" s="114">
        <f t="shared" si="4"/>
        <v>46750</v>
      </c>
      <c r="M169" s="114">
        <f t="shared" si="5"/>
        <v>0</v>
      </c>
    </row>
    <row r="170" spans="1:13" ht="110.25" outlineLevel="4">
      <c r="A170" s="19" t="s">
        <v>503</v>
      </c>
      <c r="B170" s="20" t="s">
        <v>2</v>
      </c>
      <c r="C170" s="20" t="s">
        <v>66</v>
      </c>
      <c r="D170" s="20" t="s">
        <v>81</v>
      </c>
      <c r="E170" s="20" t="s">
        <v>1</v>
      </c>
      <c r="F170" s="13">
        <f>F171</f>
        <v>246750</v>
      </c>
      <c r="G170" s="2"/>
      <c r="I170" s="13">
        <v>200000</v>
      </c>
      <c r="J170" s="2"/>
      <c r="L170" s="114">
        <f t="shared" si="4"/>
        <v>46750</v>
      </c>
      <c r="M170" s="114">
        <f t="shared" si="5"/>
        <v>0</v>
      </c>
    </row>
    <row r="171" spans="1:13" ht="31.5" outlineLevel="5">
      <c r="A171" s="19" t="s">
        <v>441</v>
      </c>
      <c r="B171" s="20" t="s">
        <v>2</v>
      </c>
      <c r="C171" s="20" t="s">
        <v>66</v>
      </c>
      <c r="D171" s="20" t="s">
        <v>82</v>
      </c>
      <c r="E171" s="20" t="s">
        <v>1</v>
      </c>
      <c r="F171" s="13">
        <f>F172</f>
        <v>246750</v>
      </c>
      <c r="G171" s="2"/>
      <c r="I171" s="13">
        <v>200000</v>
      </c>
      <c r="J171" s="2"/>
      <c r="L171" s="114">
        <f t="shared" si="4"/>
        <v>46750</v>
      </c>
      <c r="M171" s="114">
        <f t="shared" si="5"/>
        <v>0</v>
      </c>
    </row>
    <row r="172" spans="1:13" ht="31.5" outlineLevel="6">
      <c r="A172" s="19" t="s">
        <v>693</v>
      </c>
      <c r="B172" s="20" t="s">
        <v>2</v>
      </c>
      <c r="C172" s="20" t="s">
        <v>66</v>
      </c>
      <c r="D172" s="20" t="s">
        <v>82</v>
      </c>
      <c r="E172" s="20" t="s">
        <v>17</v>
      </c>
      <c r="F172" s="13">
        <f>'Приложение_7 '!G114</f>
        <v>246750</v>
      </c>
      <c r="G172" s="2"/>
      <c r="I172" s="13">
        <v>200000</v>
      </c>
      <c r="J172" s="2"/>
      <c r="L172" s="114">
        <f t="shared" si="4"/>
        <v>46750</v>
      </c>
      <c r="M172" s="114">
        <f t="shared" si="5"/>
        <v>0</v>
      </c>
    </row>
    <row r="173" spans="1:13" ht="63" outlineLevel="2">
      <c r="A173" s="82" t="s">
        <v>623</v>
      </c>
      <c r="B173" s="83" t="s">
        <v>2</v>
      </c>
      <c r="C173" s="83" t="s">
        <v>66</v>
      </c>
      <c r="D173" s="83" t="s">
        <v>83</v>
      </c>
      <c r="E173" s="83" t="s">
        <v>1</v>
      </c>
      <c r="F173" s="12">
        <f>F174+F177+F180</f>
        <v>150500</v>
      </c>
      <c r="G173" s="1"/>
      <c r="I173" s="12">
        <v>198000</v>
      </c>
      <c r="J173" s="1"/>
      <c r="L173" s="114">
        <f t="shared" si="4"/>
        <v>-47500</v>
      </c>
      <c r="M173" s="114">
        <f t="shared" si="5"/>
        <v>0</v>
      </c>
    </row>
    <row r="174" spans="1:13" ht="31.5" outlineLevel="4">
      <c r="A174" s="19" t="s">
        <v>504</v>
      </c>
      <c r="B174" s="20" t="s">
        <v>2</v>
      </c>
      <c r="C174" s="20" t="s">
        <v>66</v>
      </c>
      <c r="D174" s="20" t="s">
        <v>84</v>
      </c>
      <c r="E174" s="20" t="s">
        <v>1</v>
      </c>
      <c r="F174" s="13">
        <f>F175</f>
        <v>50500</v>
      </c>
      <c r="G174" s="2"/>
      <c r="I174" s="13">
        <v>50500</v>
      </c>
      <c r="J174" s="2"/>
      <c r="L174" s="114">
        <f t="shared" si="4"/>
        <v>0</v>
      </c>
      <c r="M174" s="114">
        <f t="shared" si="5"/>
        <v>0</v>
      </c>
    </row>
    <row r="175" spans="1:13" ht="31.5" outlineLevel="5">
      <c r="A175" s="19" t="s">
        <v>441</v>
      </c>
      <c r="B175" s="20" t="s">
        <v>2</v>
      </c>
      <c r="C175" s="20" t="s">
        <v>66</v>
      </c>
      <c r="D175" s="20" t="s">
        <v>85</v>
      </c>
      <c r="E175" s="20" t="s">
        <v>1</v>
      </c>
      <c r="F175" s="13">
        <f>F176</f>
        <v>50500</v>
      </c>
      <c r="G175" s="2"/>
      <c r="I175" s="13">
        <v>50500</v>
      </c>
      <c r="J175" s="2"/>
      <c r="L175" s="114">
        <f t="shared" si="4"/>
        <v>0</v>
      </c>
      <c r="M175" s="114">
        <f t="shared" si="5"/>
        <v>0</v>
      </c>
    </row>
    <row r="176" spans="1:13" ht="31.5" outlineLevel="6">
      <c r="A176" s="19" t="s">
        <v>693</v>
      </c>
      <c r="B176" s="20" t="s">
        <v>2</v>
      </c>
      <c r="C176" s="20" t="s">
        <v>66</v>
      </c>
      <c r="D176" s="20" t="s">
        <v>85</v>
      </c>
      <c r="E176" s="20" t="s">
        <v>17</v>
      </c>
      <c r="F176" s="13">
        <f>'Приложение_7 '!G329</f>
        <v>50500</v>
      </c>
      <c r="G176" s="2"/>
      <c r="I176" s="13">
        <v>50500</v>
      </c>
      <c r="J176" s="2"/>
      <c r="L176" s="114">
        <f t="shared" si="4"/>
        <v>0</v>
      </c>
      <c r="M176" s="114">
        <f t="shared" si="5"/>
        <v>0</v>
      </c>
    </row>
    <row r="177" spans="1:13" ht="31.5" outlineLevel="4">
      <c r="A177" s="19" t="s">
        <v>505</v>
      </c>
      <c r="B177" s="20" t="s">
        <v>2</v>
      </c>
      <c r="C177" s="20" t="s">
        <v>66</v>
      </c>
      <c r="D177" s="20" t="s">
        <v>86</v>
      </c>
      <c r="E177" s="20" t="s">
        <v>1</v>
      </c>
      <c r="F177" s="13">
        <f>F178</f>
        <v>100000</v>
      </c>
      <c r="G177" s="2"/>
      <c r="I177" s="13">
        <v>100000</v>
      </c>
      <c r="J177" s="2"/>
      <c r="L177" s="114">
        <f t="shared" si="4"/>
        <v>0</v>
      </c>
      <c r="M177" s="114">
        <f t="shared" si="5"/>
        <v>0</v>
      </c>
    </row>
    <row r="178" spans="1:13" ht="31.5" outlineLevel="5">
      <c r="A178" s="19" t="s">
        <v>441</v>
      </c>
      <c r="B178" s="20" t="s">
        <v>2</v>
      </c>
      <c r="C178" s="20" t="s">
        <v>66</v>
      </c>
      <c r="D178" s="20" t="s">
        <v>87</v>
      </c>
      <c r="E178" s="20" t="s">
        <v>1</v>
      </c>
      <c r="F178" s="13">
        <f>F179</f>
        <v>100000</v>
      </c>
      <c r="G178" s="2"/>
      <c r="I178" s="13">
        <v>100000</v>
      </c>
      <c r="J178" s="2"/>
      <c r="L178" s="114">
        <f t="shared" si="4"/>
        <v>0</v>
      </c>
      <c r="M178" s="114">
        <f t="shared" si="5"/>
        <v>0</v>
      </c>
    </row>
    <row r="179" spans="1:13" ht="31.5" outlineLevel="6">
      <c r="A179" s="19" t="s">
        <v>693</v>
      </c>
      <c r="B179" s="20" t="s">
        <v>2</v>
      </c>
      <c r="C179" s="20" t="s">
        <v>66</v>
      </c>
      <c r="D179" s="20" t="s">
        <v>87</v>
      </c>
      <c r="E179" s="20" t="s">
        <v>17</v>
      </c>
      <c r="F179" s="13">
        <f>'Приложение_7 '!G332</f>
        <v>100000</v>
      </c>
      <c r="G179" s="2"/>
      <c r="I179" s="13">
        <v>100000</v>
      </c>
      <c r="J179" s="2"/>
      <c r="L179" s="114">
        <f t="shared" si="4"/>
        <v>0</v>
      </c>
      <c r="M179" s="114">
        <f t="shared" si="5"/>
        <v>0</v>
      </c>
    </row>
    <row r="180" spans="1:13" ht="63" hidden="1" outlineLevel="4">
      <c r="A180" s="19" t="s">
        <v>506</v>
      </c>
      <c r="B180" s="20" t="s">
        <v>2</v>
      </c>
      <c r="C180" s="20" t="s">
        <v>66</v>
      </c>
      <c r="D180" s="20" t="s">
        <v>88</v>
      </c>
      <c r="E180" s="20" t="s">
        <v>1</v>
      </c>
      <c r="F180" s="13">
        <f>F181</f>
        <v>0</v>
      </c>
      <c r="G180" s="2"/>
      <c r="I180" s="13">
        <v>47500</v>
      </c>
      <c r="J180" s="2"/>
      <c r="L180" s="114">
        <f t="shared" si="4"/>
        <v>-47500</v>
      </c>
      <c r="M180" s="114">
        <f t="shared" si="5"/>
        <v>0</v>
      </c>
    </row>
    <row r="181" spans="1:13" ht="31.5" hidden="1" outlineLevel="5">
      <c r="A181" s="19" t="s">
        <v>441</v>
      </c>
      <c r="B181" s="20" t="s">
        <v>2</v>
      </c>
      <c r="C181" s="20" t="s">
        <v>66</v>
      </c>
      <c r="D181" s="20" t="s">
        <v>89</v>
      </c>
      <c r="E181" s="20" t="s">
        <v>1</v>
      </c>
      <c r="F181" s="13">
        <f>F182</f>
        <v>0</v>
      </c>
      <c r="G181" s="2"/>
      <c r="I181" s="13">
        <v>47500</v>
      </c>
      <c r="J181" s="2"/>
      <c r="L181" s="114">
        <f t="shared" si="4"/>
        <v>-47500</v>
      </c>
      <c r="M181" s="114">
        <f t="shared" si="5"/>
        <v>0</v>
      </c>
    </row>
    <row r="182" spans="1:13" ht="29.25" customHeight="1" hidden="1" outlineLevel="6">
      <c r="A182" s="19" t="s">
        <v>695</v>
      </c>
      <c r="B182" s="20" t="s">
        <v>2</v>
      </c>
      <c r="C182" s="20" t="s">
        <v>66</v>
      </c>
      <c r="D182" s="20" t="s">
        <v>89</v>
      </c>
      <c r="E182" s="20" t="s">
        <v>65</v>
      </c>
      <c r="F182" s="13">
        <f>'Приложение_7 '!G118</f>
        <v>0</v>
      </c>
      <c r="G182" s="2"/>
      <c r="I182" s="13">
        <v>47500</v>
      </c>
      <c r="J182" s="2"/>
      <c r="L182" s="114">
        <f t="shared" si="4"/>
        <v>-47500</v>
      </c>
      <c r="M182" s="114">
        <f t="shared" si="5"/>
        <v>0</v>
      </c>
    </row>
    <row r="183" spans="1:13" ht="31.5" outlineLevel="2" collapsed="1">
      <c r="A183" s="82" t="s">
        <v>659</v>
      </c>
      <c r="B183" s="83" t="s">
        <v>2</v>
      </c>
      <c r="C183" s="83" t="s">
        <v>66</v>
      </c>
      <c r="D183" s="83" t="s">
        <v>90</v>
      </c>
      <c r="E183" s="83" t="s">
        <v>1</v>
      </c>
      <c r="F183" s="12">
        <f>F184+F208</f>
        <v>28502890.22</v>
      </c>
      <c r="G183" s="12">
        <f>G184+G208</f>
        <v>13042</v>
      </c>
      <c r="I183" s="12">
        <v>26883986.99</v>
      </c>
      <c r="J183" s="1">
        <f>J184</f>
        <v>13042</v>
      </c>
      <c r="L183" s="114">
        <f t="shared" si="4"/>
        <v>1618903.2300000004</v>
      </c>
      <c r="M183" s="114">
        <f t="shared" si="5"/>
        <v>0</v>
      </c>
    </row>
    <row r="184" spans="1:13" ht="47.25" outlineLevel="3">
      <c r="A184" s="82" t="s">
        <v>624</v>
      </c>
      <c r="B184" s="83" t="s">
        <v>2</v>
      </c>
      <c r="C184" s="83" t="s">
        <v>66</v>
      </c>
      <c r="D184" s="83" t="s">
        <v>91</v>
      </c>
      <c r="E184" s="83" t="s">
        <v>1</v>
      </c>
      <c r="F184" s="12">
        <f>F185+F188+F195+F198+F202+F205</f>
        <v>7436761.220000001</v>
      </c>
      <c r="G184" s="12">
        <f>G185+G188+G195+G198+G202+G205</f>
        <v>13042</v>
      </c>
      <c r="I184" s="12">
        <v>5817857.99</v>
      </c>
      <c r="J184" s="1">
        <f>J188</f>
        <v>13042</v>
      </c>
      <c r="L184" s="114">
        <f t="shared" si="4"/>
        <v>1618903.2300000004</v>
      </c>
      <c r="M184" s="114">
        <f t="shared" si="5"/>
        <v>0</v>
      </c>
    </row>
    <row r="185" spans="1:13" ht="47.25" outlineLevel="4">
      <c r="A185" s="19" t="s">
        <v>507</v>
      </c>
      <c r="B185" s="20" t="s">
        <v>2</v>
      </c>
      <c r="C185" s="20" t="s">
        <v>66</v>
      </c>
      <c r="D185" s="20" t="s">
        <v>92</v>
      </c>
      <c r="E185" s="20" t="s">
        <v>1</v>
      </c>
      <c r="F185" s="13">
        <f>F186</f>
        <v>77040.49</v>
      </c>
      <c r="G185" s="2"/>
      <c r="I185" s="13">
        <v>95963</v>
      </c>
      <c r="J185" s="2"/>
      <c r="L185" s="114">
        <f t="shared" si="4"/>
        <v>-18922.509999999995</v>
      </c>
      <c r="M185" s="114">
        <f t="shared" si="5"/>
        <v>0</v>
      </c>
    </row>
    <row r="186" spans="1:13" ht="31.5" outlineLevel="5">
      <c r="A186" s="19" t="s">
        <v>441</v>
      </c>
      <c r="B186" s="20" t="s">
        <v>2</v>
      </c>
      <c r="C186" s="20" t="s">
        <v>66</v>
      </c>
      <c r="D186" s="20" t="s">
        <v>93</v>
      </c>
      <c r="E186" s="20" t="s">
        <v>1</v>
      </c>
      <c r="F186" s="13">
        <f>F187</f>
        <v>77040.49</v>
      </c>
      <c r="G186" s="2"/>
      <c r="I186" s="13">
        <v>95963</v>
      </c>
      <c r="J186" s="2"/>
      <c r="L186" s="114">
        <f t="shared" si="4"/>
        <v>-18922.509999999995</v>
      </c>
      <c r="M186" s="114">
        <f t="shared" si="5"/>
        <v>0</v>
      </c>
    </row>
    <row r="187" spans="1:13" ht="31.5" outlineLevel="6">
      <c r="A187" s="19" t="s">
        <v>693</v>
      </c>
      <c r="B187" s="20" t="s">
        <v>2</v>
      </c>
      <c r="C187" s="20" t="s">
        <v>66</v>
      </c>
      <c r="D187" s="20" t="s">
        <v>93</v>
      </c>
      <c r="E187" s="20" t="s">
        <v>17</v>
      </c>
      <c r="F187" s="13">
        <f>'Приложение_7 '!G56+'Приложение_7 '!G1089</f>
        <v>77040.49</v>
      </c>
      <c r="G187" s="2"/>
      <c r="I187" s="13">
        <v>95963</v>
      </c>
      <c r="J187" s="2"/>
      <c r="L187" s="114">
        <f t="shared" si="4"/>
        <v>-18922.509999999995</v>
      </c>
      <c r="M187" s="114">
        <f t="shared" si="5"/>
        <v>0</v>
      </c>
    </row>
    <row r="188" spans="1:13" ht="31.5" outlineLevel="4">
      <c r="A188" s="19" t="s">
        <v>508</v>
      </c>
      <c r="B188" s="20" t="s">
        <v>2</v>
      </c>
      <c r="C188" s="20" t="s">
        <v>66</v>
      </c>
      <c r="D188" s="20" t="s">
        <v>94</v>
      </c>
      <c r="E188" s="20" t="s">
        <v>1</v>
      </c>
      <c r="F188" s="13">
        <f>F189+F191+F193</f>
        <v>3416767.03</v>
      </c>
      <c r="G188" s="13">
        <f>G189+G191+G193</f>
        <v>13042</v>
      </c>
      <c r="I188" s="13">
        <v>3567771.47</v>
      </c>
      <c r="J188" s="2">
        <f>J191</f>
        <v>13042</v>
      </c>
      <c r="L188" s="114">
        <f t="shared" si="4"/>
        <v>-151004.4400000004</v>
      </c>
      <c r="M188" s="114">
        <f t="shared" si="5"/>
        <v>0</v>
      </c>
    </row>
    <row r="189" spans="1:13" ht="31.5" outlineLevel="5">
      <c r="A189" s="19" t="s">
        <v>441</v>
      </c>
      <c r="B189" s="20" t="s">
        <v>2</v>
      </c>
      <c r="C189" s="20" t="s">
        <v>66</v>
      </c>
      <c r="D189" s="20" t="s">
        <v>95</v>
      </c>
      <c r="E189" s="20" t="s">
        <v>1</v>
      </c>
      <c r="F189" s="13">
        <f>F190</f>
        <v>3403039.25</v>
      </c>
      <c r="G189" s="2"/>
      <c r="I189" s="13">
        <v>3553079.47</v>
      </c>
      <c r="J189" s="2"/>
      <c r="L189" s="114">
        <f t="shared" si="4"/>
        <v>-150040.2200000002</v>
      </c>
      <c r="M189" s="114">
        <f t="shared" si="5"/>
        <v>0</v>
      </c>
    </row>
    <row r="190" spans="1:13" ht="31.5" outlineLevel="6">
      <c r="A190" s="19" t="s">
        <v>693</v>
      </c>
      <c r="B190" s="20" t="s">
        <v>2</v>
      </c>
      <c r="C190" s="20" t="s">
        <v>66</v>
      </c>
      <c r="D190" s="20" t="s">
        <v>95</v>
      </c>
      <c r="E190" s="20" t="s">
        <v>17</v>
      </c>
      <c r="F190" s="13">
        <f>'Приложение_7 '!G59+'Приложение_7 '!G123+'Приложение_7 '!G337+'Приложение_7 '!G605+'Приложение_7 '!G663+'Приложение_7 '!G896+'Приложение_7 '!G1092</f>
        <v>3403039.25</v>
      </c>
      <c r="G190" s="2"/>
      <c r="I190" s="13">
        <v>3553079.47</v>
      </c>
      <c r="J190" s="2"/>
      <c r="L190" s="114">
        <f t="shared" si="4"/>
        <v>-150040.2200000002</v>
      </c>
      <c r="M190" s="114">
        <f t="shared" si="5"/>
        <v>0</v>
      </c>
    </row>
    <row r="191" spans="1:13" ht="63" outlineLevel="5">
      <c r="A191" s="19" t="s">
        <v>442</v>
      </c>
      <c r="B191" s="20" t="s">
        <v>2</v>
      </c>
      <c r="C191" s="20" t="s">
        <v>66</v>
      </c>
      <c r="D191" s="20" t="s">
        <v>96</v>
      </c>
      <c r="E191" s="20" t="s">
        <v>1</v>
      </c>
      <c r="F191" s="13">
        <f>F192</f>
        <v>13042</v>
      </c>
      <c r="G191" s="13">
        <f>G192</f>
        <v>13042</v>
      </c>
      <c r="I191" s="13">
        <v>13042</v>
      </c>
      <c r="J191" s="2">
        <f>I191</f>
        <v>13042</v>
      </c>
      <c r="L191" s="114">
        <f t="shared" si="4"/>
        <v>0</v>
      </c>
      <c r="M191" s="114">
        <f t="shared" si="5"/>
        <v>0</v>
      </c>
    </row>
    <row r="192" spans="1:13" ht="31.5" outlineLevel="6">
      <c r="A192" s="19" t="s">
        <v>693</v>
      </c>
      <c r="B192" s="20" t="s">
        <v>2</v>
      </c>
      <c r="C192" s="20" t="s">
        <v>66</v>
      </c>
      <c r="D192" s="20" t="s">
        <v>96</v>
      </c>
      <c r="E192" s="20" t="s">
        <v>17</v>
      </c>
      <c r="F192" s="13">
        <f>'Приложение_7 '!G125</f>
        <v>13042</v>
      </c>
      <c r="G192" s="2">
        <f>F192</f>
        <v>13042</v>
      </c>
      <c r="I192" s="13">
        <v>13042</v>
      </c>
      <c r="J192" s="2">
        <f>I192</f>
        <v>13042</v>
      </c>
      <c r="L192" s="114">
        <f t="shared" si="4"/>
        <v>0</v>
      </c>
      <c r="M192" s="114">
        <f t="shared" si="5"/>
        <v>0</v>
      </c>
    </row>
    <row r="193" spans="1:13" ht="63" outlineLevel="5">
      <c r="A193" s="19" t="s">
        <v>442</v>
      </c>
      <c r="B193" s="20" t="s">
        <v>2</v>
      </c>
      <c r="C193" s="20" t="s">
        <v>66</v>
      </c>
      <c r="D193" s="20" t="s">
        <v>97</v>
      </c>
      <c r="E193" s="20" t="s">
        <v>1</v>
      </c>
      <c r="F193" s="13">
        <f>F194</f>
        <v>685.78</v>
      </c>
      <c r="G193" s="2"/>
      <c r="I193" s="13">
        <v>1650</v>
      </c>
      <c r="J193" s="2"/>
      <c r="L193" s="114">
        <f t="shared" si="4"/>
        <v>-964.22</v>
      </c>
      <c r="M193" s="114">
        <f t="shared" si="5"/>
        <v>0</v>
      </c>
    </row>
    <row r="194" spans="1:13" ht="31.5" outlineLevel="6">
      <c r="A194" s="19" t="s">
        <v>693</v>
      </c>
      <c r="B194" s="20" t="s">
        <v>2</v>
      </c>
      <c r="C194" s="20" t="s">
        <v>66</v>
      </c>
      <c r="D194" s="20" t="s">
        <v>97</v>
      </c>
      <c r="E194" s="20" t="s">
        <v>17</v>
      </c>
      <c r="F194" s="13">
        <f>'Приложение_7 '!G127</f>
        <v>685.78</v>
      </c>
      <c r="G194" s="2"/>
      <c r="I194" s="13">
        <v>1650</v>
      </c>
      <c r="J194" s="2"/>
      <c r="L194" s="114">
        <f t="shared" si="4"/>
        <v>-964.22</v>
      </c>
      <c r="M194" s="114">
        <f t="shared" si="5"/>
        <v>0</v>
      </c>
    </row>
    <row r="195" spans="1:13" ht="47.25" outlineLevel="4">
      <c r="A195" s="19" t="s">
        <v>509</v>
      </c>
      <c r="B195" s="20" t="s">
        <v>2</v>
      </c>
      <c r="C195" s="20" t="s">
        <v>66</v>
      </c>
      <c r="D195" s="20" t="s">
        <v>98</v>
      </c>
      <c r="E195" s="20" t="s">
        <v>1</v>
      </c>
      <c r="F195" s="13">
        <f>F196</f>
        <v>5000</v>
      </c>
      <c r="G195" s="2"/>
      <c r="I195" s="13">
        <v>14000</v>
      </c>
      <c r="J195" s="2"/>
      <c r="L195" s="114">
        <f t="shared" si="4"/>
        <v>-9000</v>
      </c>
      <c r="M195" s="114">
        <f t="shared" si="5"/>
        <v>0</v>
      </c>
    </row>
    <row r="196" spans="1:13" ht="31.5" outlineLevel="5">
      <c r="A196" s="19" t="s">
        <v>441</v>
      </c>
      <c r="B196" s="20" t="s">
        <v>2</v>
      </c>
      <c r="C196" s="20" t="s">
        <v>66</v>
      </c>
      <c r="D196" s="20" t="s">
        <v>99</v>
      </c>
      <c r="E196" s="20" t="s">
        <v>1</v>
      </c>
      <c r="F196" s="13">
        <f>F197</f>
        <v>5000</v>
      </c>
      <c r="G196" s="2"/>
      <c r="I196" s="13">
        <v>14000</v>
      </c>
      <c r="J196" s="2"/>
      <c r="L196" s="114">
        <f t="shared" si="4"/>
        <v>-9000</v>
      </c>
      <c r="M196" s="114">
        <f t="shared" si="5"/>
        <v>0</v>
      </c>
    </row>
    <row r="197" spans="1:13" ht="31.5" outlineLevel="6">
      <c r="A197" s="19" t="s">
        <v>693</v>
      </c>
      <c r="B197" s="20" t="s">
        <v>2</v>
      </c>
      <c r="C197" s="20" t="s">
        <v>66</v>
      </c>
      <c r="D197" s="20" t="s">
        <v>99</v>
      </c>
      <c r="E197" s="20" t="s">
        <v>17</v>
      </c>
      <c r="F197" s="13">
        <f>'Приложение_7 '!G130</f>
        <v>5000</v>
      </c>
      <c r="G197" s="2"/>
      <c r="I197" s="13">
        <v>14000</v>
      </c>
      <c r="J197" s="2"/>
      <c r="L197" s="114">
        <f t="shared" si="4"/>
        <v>-9000</v>
      </c>
      <c r="M197" s="114">
        <f t="shared" si="5"/>
        <v>0</v>
      </c>
    </row>
    <row r="198" spans="1:13" ht="31.5" outlineLevel="4">
      <c r="A198" s="19" t="s">
        <v>510</v>
      </c>
      <c r="B198" s="20" t="s">
        <v>2</v>
      </c>
      <c r="C198" s="20" t="s">
        <v>66</v>
      </c>
      <c r="D198" s="20" t="s">
        <v>100</v>
      </c>
      <c r="E198" s="20" t="s">
        <v>1</v>
      </c>
      <c r="F198" s="13">
        <f>F199</f>
        <v>3480903.7</v>
      </c>
      <c r="G198" s="2"/>
      <c r="I198" s="13">
        <v>1777733.52</v>
      </c>
      <c r="J198" s="2"/>
      <c r="L198" s="114">
        <f t="shared" si="4"/>
        <v>1703170.1800000002</v>
      </c>
      <c r="M198" s="114">
        <f t="shared" si="5"/>
        <v>0</v>
      </c>
    </row>
    <row r="199" spans="1:13" ht="31.5" outlineLevel="5">
      <c r="A199" s="19" t="s">
        <v>441</v>
      </c>
      <c r="B199" s="20" t="s">
        <v>2</v>
      </c>
      <c r="C199" s="20" t="s">
        <v>66</v>
      </c>
      <c r="D199" s="20" t="s">
        <v>101</v>
      </c>
      <c r="E199" s="20" t="s">
        <v>1</v>
      </c>
      <c r="F199" s="13">
        <f>F200+F201</f>
        <v>3480903.7</v>
      </c>
      <c r="G199" s="2"/>
      <c r="I199" s="13">
        <v>1777733.52</v>
      </c>
      <c r="J199" s="2"/>
      <c r="L199" s="114">
        <f t="shared" si="4"/>
        <v>1703170.1800000002</v>
      </c>
      <c r="M199" s="114">
        <f t="shared" si="5"/>
        <v>0</v>
      </c>
    </row>
    <row r="200" spans="1:13" ht="31.5" outlineLevel="6">
      <c r="A200" s="19" t="s">
        <v>693</v>
      </c>
      <c r="B200" s="20" t="s">
        <v>2</v>
      </c>
      <c r="C200" s="20" t="s">
        <v>66</v>
      </c>
      <c r="D200" s="20" t="s">
        <v>101</v>
      </c>
      <c r="E200" s="20" t="s">
        <v>17</v>
      </c>
      <c r="F200" s="13">
        <f>'Приложение_7 '!G133+'Приложение_7 '!G340</f>
        <v>1150352.42</v>
      </c>
      <c r="G200" s="2"/>
      <c r="I200" s="13">
        <v>1001182.24</v>
      </c>
      <c r="J200" s="2"/>
      <c r="L200" s="114">
        <f t="shared" si="4"/>
        <v>149170.17999999993</v>
      </c>
      <c r="M200" s="114">
        <f t="shared" si="5"/>
        <v>0</v>
      </c>
    </row>
    <row r="201" spans="1:13" ht="31.5" outlineLevel="6">
      <c r="A201" s="19" t="s">
        <v>696</v>
      </c>
      <c r="B201" s="20" t="s">
        <v>2</v>
      </c>
      <c r="C201" s="20" t="s">
        <v>66</v>
      </c>
      <c r="D201" s="20" t="s">
        <v>101</v>
      </c>
      <c r="E201" s="20" t="s">
        <v>70</v>
      </c>
      <c r="F201" s="13">
        <f>'Приложение_7 '!G134</f>
        <v>2330551.2800000003</v>
      </c>
      <c r="G201" s="2"/>
      <c r="I201" s="13">
        <v>776551.28</v>
      </c>
      <c r="J201" s="2"/>
      <c r="L201" s="114">
        <f t="shared" si="4"/>
        <v>1554000.0000000002</v>
      </c>
      <c r="M201" s="114">
        <f t="shared" si="5"/>
        <v>0</v>
      </c>
    </row>
    <row r="202" spans="1:13" ht="15.75" outlineLevel="4">
      <c r="A202" s="19" t="s">
        <v>511</v>
      </c>
      <c r="B202" s="20" t="s">
        <v>2</v>
      </c>
      <c r="C202" s="20" t="s">
        <v>66</v>
      </c>
      <c r="D202" s="20" t="s">
        <v>102</v>
      </c>
      <c r="E202" s="20" t="s">
        <v>1</v>
      </c>
      <c r="F202" s="13">
        <f>F203</f>
        <v>2390</v>
      </c>
      <c r="G202" s="2"/>
      <c r="I202" s="13">
        <v>2390</v>
      </c>
      <c r="J202" s="2"/>
      <c r="L202" s="114">
        <f t="shared" si="4"/>
        <v>0</v>
      </c>
      <c r="M202" s="114">
        <f t="shared" si="5"/>
        <v>0</v>
      </c>
    </row>
    <row r="203" spans="1:13" ht="31.5" outlineLevel="5">
      <c r="A203" s="19" t="s">
        <v>441</v>
      </c>
      <c r="B203" s="20" t="s">
        <v>2</v>
      </c>
      <c r="C203" s="20" t="s">
        <v>66</v>
      </c>
      <c r="D203" s="20" t="s">
        <v>103</v>
      </c>
      <c r="E203" s="20" t="s">
        <v>1</v>
      </c>
      <c r="F203" s="13">
        <f>F204</f>
        <v>2390</v>
      </c>
      <c r="G203" s="2"/>
      <c r="I203" s="13">
        <v>2390</v>
      </c>
      <c r="J203" s="2"/>
      <c r="L203" s="114">
        <f t="shared" si="4"/>
        <v>0</v>
      </c>
      <c r="M203" s="114">
        <f t="shared" si="5"/>
        <v>0</v>
      </c>
    </row>
    <row r="204" spans="1:13" ht="31.5" outlineLevel="6">
      <c r="A204" s="19" t="s">
        <v>693</v>
      </c>
      <c r="B204" s="20" t="s">
        <v>2</v>
      </c>
      <c r="C204" s="20" t="s">
        <v>66</v>
      </c>
      <c r="D204" s="20" t="s">
        <v>103</v>
      </c>
      <c r="E204" s="20" t="s">
        <v>17</v>
      </c>
      <c r="F204" s="13">
        <f>'Приложение_7 '!G137</f>
        <v>2390</v>
      </c>
      <c r="G204" s="2"/>
      <c r="I204" s="13">
        <v>2390</v>
      </c>
      <c r="J204" s="2"/>
      <c r="L204" s="114">
        <f t="shared" si="4"/>
        <v>0</v>
      </c>
      <c r="M204" s="114">
        <f t="shared" si="5"/>
        <v>0</v>
      </c>
    </row>
    <row r="205" spans="1:13" ht="15.75" outlineLevel="4">
      <c r="A205" s="19" t="s">
        <v>512</v>
      </c>
      <c r="B205" s="20" t="s">
        <v>2</v>
      </c>
      <c r="C205" s="20" t="s">
        <v>66</v>
      </c>
      <c r="D205" s="20" t="s">
        <v>104</v>
      </c>
      <c r="E205" s="20" t="s">
        <v>1</v>
      </c>
      <c r="F205" s="13">
        <f>F206</f>
        <v>454660</v>
      </c>
      <c r="G205" s="2"/>
      <c r="I205" s="13">
        <v>360000</v>
      </c>
      <c r="J205" s="2"/>
      <c r="L205" s="114">
        <f t="shared" si="4"/>
        <v>94660</v>
      </c>
      <c r="M205" s="114">
        <f t="shared" si="5"/>
        <v>0</v>
      </c>
    </row>
    <row r="206" spans="1:13" ht="31.5" outlineLevel="5">
      <c r="A206" s="19" t="s">
        <v>441</v>
      </c>
      <c r="B206" s="20" t="s">
        <v>2</v>
      </c>
      <c r="C206" s="20" t="s">
        <v>66</v>
      </c>
      <c r="D206" s="20" t="s">
        <v>105</v>
      </c>
      <c r="E206" s="20" t="s">
        <v>1</v>
      </c>
      <c r="F206" s="13">
        <f>F207</f>
        <v>454660</v>
      </c>
      <c r="G206" s="2"/>
      <c r="I206" s="13">
        <v>360000</v>
      </c>
      <c r="J206" s="2"/>
      <c r="L206" s="114">
        <f t="shared" si="4"/>
        <v>94660</v>
      </c>
      <c r="M206" s="114">
        <f t="shared" si="5"/>
        <v>0</v>
      </c>
    </row>
    <row r="207" spans="1:13" ht="31.5" outlineLevel="6">
      <c r="A207" s="19" t="s">
        <v>693</v>
      </c>
      <c r="B207" s="20" t="s">
        <v>2</v>
      </c>
      <c r="C207" s="20" t="s">
        <v>66</v>
      </c>
      <c r="D207" s="20" t="s">
        <v>105</v>
      </c>
      <c r="E207" s="20" t="s">
        <v>17</v>
      </c>
      <c r="F207" s="13">
        <f>'Приложение_7 '!G140</f>
        <v>454660</v>
      </c>
      <c r="G207" s="2"/>
      <c r="I207" s="13">
        <v>360000</v>
      </c>
      <c r="J207" s="2"/>
      <c r="L207" s="114">
        <f t="shared" si="4"/>
        <v>94660</v>
      </c>
      <c r="M207" s="114">
        <f t="shared" si="5"/>
        <v>0</v>
      </c>
    </row>
    <row r="208" spans="1:13" ht="63" outlineLevel="3">
      <c r="A208" s="82" t="s">
        <v>625</v>
      </c>
      <c r="B208" s="83" t="s">
        <v>2</v>
      </c>
      <c r="C208" s="83" t="s">
        <v>66</v>
      </c>
      <c r="D208" s="83" t="s">
        <v>106</v>
      </c>
      <c r="E208" s="83" t="s">
        <v>1</v>
      </c>
      <c r="F208" s="12">
        <f>F209</f>
        <v>21066129</v>
      </c>
      <c r="G208" s="1"/>
      <c r="I208" s="12">
        <v>21066129</v>
      </c>
      <c r="J208" s="1"/>
      <c r="L208" s="114">
        <f t="shared" si="4"/>
        <v>0</v>
      </c>
      <c r="M208" s="114">
        <f t="shared" si="5"/>
        <v>0</v>
      </c>
    </row>
    <row r="209" spans="1:13" ht="31.5" outlineLevel="4">
      <c r="A209" s="19" t="s">
        <v>513</v>
      </c>
      <c r="B209" s="20" t="s">
        <v>2</v>
      </c>
      <c r="C209" s="20" t="s">
        <v>66</v>
      </c>
      <c r="D209" s="20" t="s">
        <v>107</v>
      </c>
      <c r="E209" s="20" t="s">
        <v>1</v>
      </c>
      <c r="F209" s="13">
        <f>F210+F212</f>
        <v>21066129</v>
      </c>
      <c r="G209" s="2"/>
      <c r="I209" s="13">
        <v>21066129</v>
      </c>
      <c r="J209" s="2"/>
      <c r="L209" s="114">
        <f t="shared" si="4"/>
        <v>0</v>
      </c>
      <c r="M209" s="114">
        <f t="shared" si="5"/>
        <v>0</v>
      </c>
    </row>
    <row r="210" spans="1:13" ht="63" outlineLevel="5">
      <c r="A210" s="19" t="s">
        <v>443</v>
      </c>
      <c r="B210" s="20" t="s">
        <v>2</v>
      </c>
      <c r="C210" s="20" t="s">
        <v>66</v>
      </c>
      <c r="D210" s="20" t="s">
        <v>108</v>
      </c>
      <c r="E210" s="20" t="s">
        <v>1</v>
      </c>
      <c r="F210" s="13">
        <f>F211</f>
        <v>20627809</v>
      </c>
      <c r="G210" s="2"/>
      <c r="I210" s="13">
        <v>20627809</v>
      </c>
      <c r="J210" s="2"/>
      <c r="L210" s="114">
        <f t="shared" si="4"/>
        <v>0</v>
      </c>
      <c r="M210" s="114">
        <f t="shared" si="5"/>
        <v>0</v>
      </c>
    </row>
    <row r="211" spans="1:13" ht="31.5" outlineLevel="6">
      <c r="A211" s="19" t="s">
        <v>696</v>
      </c>
      <c r="B211" s="20" t="s">
        <v>2</v>
      </c>
      <c r="C211" s="20" t="s">
        <v>66</v>
      </c>
      <c r="D211" s="20" t="s">
        <v>108</v>
      </c>
      <c r="E211" s="20" t="s">
        <v>70</v>
      </c>
      <c r="F211" s="13">
        <f>'Приложение_7 '!G144</f>
        <v>20627809</v>
      </c>
      <c r="G211" s="2"/>
      <c r="I211" s="13">
        <v>20627809</v>
      </c>
      <c r="J211" s="2"/>
      <c r="L211" s="114">
        <f t="shared" si="4"/>
        <v>0</v>
      </c>
      <c r="M211" s="114">
        <f t="shared" si="5"/>
        <v>0</v>
      </c>
    </row>
    <row r="212" spans="1:13" ht="63" outlineLevel="5">
      <c r="A212" s="19" t="s">
        <v>432</v>
      </c>
      <c r="B212" s="20" t="s">
        <v>2</v>
      </c>
      <c r="C212" s="20" t="s">
        <v>66</v>
      </c>
      <c r="D212" s="20" t="s">
        <v>109</v>
      </c>
      <c r="E212" s="20" t="s">
        <v>1</v>
      </c>
      <c r="F212" s="13">
        <f>F213</f>
        <v>438320</v>
      </c>
      <c r="G212" s="2"/>
      <c r="I212" s="13">
        <v>438320</v>
      </c>
      <c r="J212" s="2"/>
      <c r="L212" s="114">
        <f t="shared" si="4"/>
        <v>0</v>
      </c>
      <c r="M212" s="114">
        <f t="shared" si="5"/>
        <v>0</v>
      </c>
    </row>
    <row r="213" spans="1:13" ht="31.5" outlineLevel="6">
      <c r="A213" s="19" t="s">
        <v>696</v>
      </c>
      <c r="B213" s="20" t="s">
        <v>2</v>
      </c>
      <c r="C213" s="20" t="s">
        <v>66</v>
      </c>
      <c r="D213" s="20" t="s">
        <v>109</v>
      </c>
      <c r="E213" s="20" t="s">
        <v>70</v>
      </c>
      <c r="F213" s="13">
        <f>'Приложение_7 '!G146</f>
        <v>438320</v>
      </c>
      <c r="G213" s="2"/>
      <c r="I213" s="13">
        <v>438320</v>
      </c>
      <c r="J213" s="2"/>
      <c r="L213" s="114">
        <f t="shared" si="4"/>
        <v>0</v>
      </c>
      <c r="M213" s="114">
        <f t="shared" si="5"/>
        <v>0</v>
      </c>
    </row>
    <row r="214" spans="1:13" s="112" customFormat="1" ht="47.25" outlineLevel="2">
      <c r="A214" s="115" t="s">
        <v>656</v>
      </c>
      <c r="B214" s="116" t="s">
        <v>2</v>
      </c>
      <c r="C214" s="116" t="s">
        <v>66</v>
      </c>
      <c r="D214" s="116" t="s">
        <v>6</v>
      </c>
      <c r="E214" s="116" t="s">
        <v>1</v>
      </c>
      <c r="F214" s="117">
        <f>F215+F222+F226+F233+F255</f>
        <v>70981908.31</v>
      </c>
      <c r="G214" s="117">
        <f>G215+G222+G226+G233+G255</f>
        <v>771000</v>
      </c>
      <c r="I214" s="117">
        <v>69947808.56</v>
      </c>
      <c r="J214" s="118">
        <f>J215</f>
        <v>771000</v>
      </c>
      <c r="L214" s="114">
        <f t="shared" si="4"/>
        <v>1034099.75</v>
      </c>
      <c r="M214" s="114">
        <f t="shared" si="5"/>
        <v>0</v>
      </c>
    </row>
    <row r="215" spans="1:13" ht="31.5" outlineLevel="3">
      <c r="A215" s="82" t="s">
        <v>616</v>
      </c>
      <c r="B215" s="83" t="s">
        <v>2</v>
      </c>
      <c r="C215" s="83" t="s">
        <v>66</v>
      </c>
      <c r="D215" s="83" t="s">
        <v>43</v>
      </c>
      <c r="E215" s="83" t="s">
        <v>1</v>
      </c>
      <c r="F215" s="12">
        <f>F216</f>
        <v>771000</v>
      </c>
      <c r="G215" s="12">
        <f>G216</f>
        <v>771000</v>
      </c>
      <c r="I215" s="12">
        <v>771000</v>
      </c>
      <c r="J215" s="12">
        <v>771000</v>
      </c>
      <c r="L215" s="114">
        <f t="shared" si="4"/>
        <v>0</v>
      </c>
      <c r="M215" s="114">
        <f t="shared" si="5"/>
        <v>0</v>
      </c>
    </row>
    <row r="216" spans="1:13" ht="31.5" outlineLevel="4">
      <c r="A216" s="19" t="s">
        <v>514</v>
      </c>
      <c r="B216" s="20" t="s">
        <v>2</v>
      </c>
      <c r="C216" s="20" t="s">
        <v>66</v>
      </c>
      <c r="D216" s="20" t="s">
        <v>110</v>
      </c>
      <c r="E216" s="20" t="s">
        <v>1</v>
      </c>
      <c r="F216" s="13">
        <f>F217+F219</f>
        <v>771000</v>
      </c>
      <c r="G216" s="13">
        <f>G217+G219</f>
        <v>771000</v>
      </c>
      <c r="I216" s="13">
        <v>771000</v>
      </c>
      <c r="J216" s="13">
        <v>771000</v>
      </c>
      <c r="L216" s="114">
        <f t="shared" si="4"/>
        <v>0</v>
      </c>
      <c r="M216" s="114">
        <f t="shared" si="5"/>
        <v>0</v>
      </c>
    </row>
    <row r="217" spans="1:13" ht="126" outlineLevel="5">
      <c r="A217" s="19" t="s">
        <v>444</v>
      </c>
      <c r="B217" s="20" t="s">
        <v>2</v>
      </c>
      <c r="C217" s="20" t="s">
        <v>66</v>
      </c>
      <c r="D217" s="20" t="s">
        <v>111</v>
      </c>
      <c r="E217" s="20" t="s">
        <v>1</v>
      </c>
      <c r="F217" s="13">
        <f>F218</f>
        <v>6000</v>
      </c>
      <c r="G217" s="13">
        <f>G218</f>
        <v>6000</v>
      </c>
      <c r="I217" s="13">
        <v>6000</v>
      </c>
      <c r="J217" s="13">
        <v>6000</v>
      </c>
      <c r="L217" s="114">
        <f t="shared" si="4"/>
        <v>0</v>
      </c>
      <c r="M217" s="114">
        <f t="shared" si="5"/>
        <v>0</v>
      </c>
    </row>
    <row r="218" spans="1:13" ht="31.5" outlineLevel="6">
      <c r="A218" s="19" t="s">
        <v>693</v>
      </c>
      <c r="B218" s="20" t="s">
        <v>2</v>
      </c>
      <c r="C218" s="20" t="s">
        <v>66</v>
      </c>
      <c r="D218" s="20" t="s">
        <v>111</v>
      </c>
      <c r="E218" s="20" t="s">
        <v>17</v>
      </c>
      <c r="F218" s="13">
        <f>'Приложение_7 '!G151</f>
        <v>6000</v>
      </c>
      <c r="G218" s="13">
        <v>6000</v>
      </c>
      <c r="I218" s="13">
        <v>6000</v>
      </c>
      <c r="J218" s="13">
        <v>6000</v>
      </c>
      <c r="L218" s="114">
        <f t="shared" si="4"/>
        <v>0</v>
      </c>
      <c r="M218" s="114">
        <f t="shared" si="5"/>
        <v>0</v>
      </c>
    </row>
    <row r="219" spans="1:13" ht="31.5" outlineLevel="5">
      <c r="A219" s="19" t="s">
        <v>445</v>
      </c>
      <c r="B219" s="20" t="s">
        <v>2</v>
      </c>
      <c r="C219" s="20" t="s">
        <v>66</v>
      </c>
      <c r="D219" s="20" t="s">
        <v>112</v>
      </c>
      <c r="E219" s="20" t="s">
        <v>1</v>
      </c>
      <c r="F219" s="13">
        <f>F220+F221</f>
        <v>765000</v>
      </c>
      <c r="G219" s="13">
        <f>G220+G221</f>
        <v>765000</v>
      </c>
      <c r="I219" s="13">
        <v>765000</v>
      </c>
      <c r="J219" s="13">
        <v>765000</v>
      </c>
      <c r="L219" s="114">
        <f t="shared" si="4"/>
        <v>0</v>
      </c>
      <c r="M219" s="114">
        <f t="shared" si="5"/>
        <v>0</v>
      </c>
    </row>
    <row r="220" spans="1:13" ht="78.75" outlineLevel="6">
      <c r="A220" s="19" t="s">
        <v>708</v>
      </c>
      <c r="B220" s="20" t="s">
        <v>2</v>
      </c>
      <c r="C220" s="20" t="s">
        <v>66</v>
      </c>
      <c r="D220" s="20" t="s">
        <v>112</v>
      </c>
      <c r="E220" s="20" t="s">
        <v>10</v>
      </c>
      <c r="F220" s="13">
        <f>'Приложение_7 '!G153</f>
        <v>698220.45</v>
      </c>
      <c r="G220" s="13">
        <v>698220.45</v>
      </c>
      <c r="I220" s="13">
        <v>698220.45</v>
      </c>
      <c r="J220" s="13">
        <v>698220.45</v>
      </c>
      <c r="L220" s="114">
        <f t="shared" si="4"/>
        <v>0</v>
      </c>
      <c r="M220" s="114">
        <f t="shared" si="5"/>
        <v>0</v>
      </c>
    </row>
    <row r="221" spans="1:13" ht="31.5" outlineLevel="6">
      <c r="A221" s="19" t="s">
        <v>693</v>
      </c>
      <c r="B221" s="20" t="s">
        <v>2</v>
      </c>
      <c r="C221" s="20" t="s">
        <v>66</v>
      </c>
      <c r="D221" s="20" t="s">
        <v>112</v>
      </c>
      <c r="E221" s="20" t="s">
        <v>17</v>
      </c>
      <c r="F221" s="13">
        <f>'Приложение_7 '!G154</f>
        <v>66779.55</v>
      </c>
      <c r="G221" s="13">
        <v>66779.55</v>
      </c>
      <c r="I221" s="13">
        <v>66779.55</v>
      </c>
      <c r="J221" s="13">
        <v>66779.55</v>
      </c>
      <c r="L221" s="114">
        <f t="shared" si="4"/>
        <v>0</v>
      </c>
      <c r="M221" s="114">
        <f t="shared" si="5"/>
        <v>0</v>
      </c>
    </row>
    <row r="222" spans="1:13" ht="47.25" outlineLevel="3">
      <c r="A222" s="82" t="s">
        <v>617</v>
      </c>
      <c r="B222" s="83" t="s">
        <v>2</v>
      </c>
      <c r="C222" s="83" t="s">
        <v>66</v>
      </c>
      <c r="D222" s="83" t="s">
        <v>51</v>
      </c>
      <c r="E222" s="83" t="s">
        <v>1</v>
      </c>
      <c r="F222" s="12">
        <f>F223</f>
        <v>181941.02000000002</v>
      </c>
      <c r="G222" s="1"/>
      <c r="I222" s="12">
        <v>415525.02</v>
      </c>
      <c r="J222" s="1"/>
      <c r="L222" s="114">
        <f aca="true" t="shared" si="6" ref="L222:L294">F222-I222</f>
        <v>-233584</v>
      </c>
      <c r="M222" s="114">
        <f aca="true" t="shared" si="7" ref="M222:M294">G222-J222</f>
        <v>0</v>
      </c>
    </row>
    <row r="223" spans="1:13" ht="63" outlineLevel="4">
      <c r="A223" s="19" t="s">
        <v>515</v>
      </c>
      <c r="B223" s="20" t="s">
        <v>2</v>
      </c>
      <c r="C223" s="20" t="s">
        <v>66</v>
      </c>
      <c r="D223" s="20" t="s">
        <v>113</v>
      </c>
      <c r="E223" s="20" t="s">
        <v>1</v>
      </c>
      <c r="F223" s="13">
        <f>F224</f>
        <v>181941.02000000002</v>
      </c>
      <c r="G223" s="2"/>
      <c r="I223" s="13">
        <v>415525.02</v>
      </c>
      <c r="J223" s="2"/>
      <c r="L223" s="114">
        <f t="shared" si="6"/>
        <v>-233584</v>
      </c>
      <c r="M223" s="114">
        <f t="shared" si="7"/>
        <v>0</v>
      </c>
    </row>
    <row r="224" spans="1:13" ht="47.25" outlineLevel="5">
      <c r="A224" s="19" t="s">
        <v>446</v>
      </c>
      <c r="B224" s="20" t="s">
        <v>2</v>
      </c>
      <c r="C224" s="20" t="s">
        <v>66</v>
      </c>
      <c r="D224" s="20" t="s">
        <v>114</v>
      </c>
      <c r="E224" s="20" t="s">
        <v>1</v>
      </c>
      <c r="F224" s="13">
        <f>F225</f>
        <v>181941.02000000002</v>
      </c>
      <c r="G224" s="2"/>
      <c r="I224" s="13">
        <v>415525.02</v>
      </c>
      <c r="J224" s="2"/>
      <c r="L224" s="114">
        <f t="shared" si="6"/>
        <v>-233584</v>
      </c>
      <c r="M224" s="114">
        <f t="shared" si="7"/>
        <v>0</v>
      </c>
    </row>
    <row r="225" spans="1:13" ht="31.5" outlineLevel="6">
      <c r="A225" s="19" t="s">
        <v>693</v>
      </c>
      <c r="B225" s="20" t="s">
        <v>2</v>
      </c>
      <c r="C225" s="20" t="s">
        <v>66</v>
      </c>
      <c r="D225" s="20" t="s">
        <v>114</v>
      </c>
      <c r="E225" s="20" t="s">
        <v>17</v>
      </c>
      <c r="F225" s="13">
        <f>'Приложение_7 '!G345</f>
        <v>181941.02000000002</v>
      </c>
      <c r="G225" s="2"/>
      <c r="I225" s="13">
        <v>415525.02</v>
      </c>
      <c r="J225" s="2"/>
      <c r="L225" s="114">
        <f t="shared" si="6"/>
        <v>-233584</v>
      </c>
      <c r="M225" s="114">
        <f t="shared" si="7"/>
        <v>0</v>
      </c>
    </row>
    <row r="226" spans="1:13" ht="31.5" outlineLevel="3">
      <c r="A226" s="82" t="s">
        <v>626</v>
      </c>
      <c r="B226" s="83" t="s">
        <v>2</v>
      </c>
      <c r="C226" s="83" t="s">
        <v>66</v>
      </c>
      <c r="D226" s="83" t="s">
        <v>115</v>
      </c>
      <c r="E226" s="83" t="s">
        <v>1</v>
      </c>
      <c r="F226" s="12">
        <f>F227</f>
        <v>8050035.49</v>
      </c>
      <c r="G226" s="1"/>
      <c r="I226" s="12">
        <v>8050035.49</v>
      </c>
      <c r="J226" s="1"/>
      <c r="L226" s="114">
        <f t="shared" si="6"/>
        <v>0</v>
      </c>
      <c r="M226" s="114">
        <f t="shared" si="7"/>
        <v>0</v>
      </c>
    </row>
    <row r="227" spans="1:13" ht="31.5" outlineLevel="4">
      <c r="A227" s="19" t="s">
        <v>516</v>
      </c>
      <c r="B227" s="20" t="s">
        <v>2</v>
      </c>
      <c r="C227" s="20" t="s">
        <v>66</v>
      </c>
      <c r="D227" s="20" t="s">
        <v>116</v>
      </c>
      <c r="E227" s="20" t="s">
        <v>1</v>
      </c>
      <c r="F227" s="13">
        <f>F228+F231</f>
        <v>8050035.49</v>
      </c>
      <c r="G227" s="2"/>
      <c r="I227" s="13">
        <v>8050035.49</v>
      </c>
      <c r="J227" s="2"/>
      <c r="L227" s="114">
        <f t="shared" si="6"/>
        <v>0</v>
      </c>
      <c r="M227" s="114">
        <f t="shared" si="7"/>
        <v>0</v>
      </c>
    </row>
    <row r="228" spans="1:13" ht="63" outlineLevel="5">
      <c r="A228" s="19" t="s">
        <v>443</v>
      </c>
      <c r="B228" s="20" t="s">
        <v>2</v>
      </c>
      <c r="C228" s="20" t="s">
        <v>66</v>
      </c>
      <c r="D228" s="20" t="s">
        <v>117</v>
      </c>
      <c r="E228" s="20" t="s">
        <v>1</v>
      </c>
      <c r="F228" s="13">
        <f>F229+F230</f>
        <v>7907648.49</v>
      </c>
      <c r="G228" s="2"/>
      <c r="I228" s="13">
        <v>7907648.49</v>
      </c>
      <c r="J228" s="2"/>
      <c r="L228" s="114">
        <f t="shared" si="6"/>
        <v>0</v>
      </c>
      <c r="M228" s="114">
        <f t="shared" si="7"/>
        <v>0</v>
      </c>
    </row>
    <row r="229" spans="1:13" ht="78.75" outlineLevel="6">
      <c r="A229" s="19" t="s">
        <v>708</v>
      </c>
      <c r="B229" s="20" t="s">
        <v>2</v>
      </c>
      <c r="C229" s="20" t="s">
        <v>66</v>
      </c>
      <c r="D229" s="20" t="s">
        <v>117</v>
      </c>
      <c r="E229" s="20" t="s">
        <v>10</v>
      </c>
      <c r="F229" s="13">
        <f>'Приложение_7 '!G158</f>
        <v>6312377.99</v>
      </c>
      <c r="G229" s="2"/>
      <c r="I229" s="13">
        <v>6312377.99</v>
      </c>
      <c r="J229" s="2"/>
      <c r="L229" s="114">
        <f t="shared" si="6"/>
        <v>0</v>
      </c>
      <c r="M229" s="114">
        <f t="shared" si="7"/>
        <v>0</v>
      </c>
    </row>
    <row r="230" spans="1:13" ht="31.5" outlineLevel="6">
      <c r="A230" s="19" t="s">
        <v>693</v>
      </c>
      <c r="B230" s="20" t="s">
        <v>2</v>
      </c>
      <c r="C230" s="20" t="s">
        <v>66</v>
      </c>
      <c r="D230" s="20" t="s">
        <v>117</v>
      </c>
      <c r="E230" s="20" t="s">
        <v>17</v>
      </c>
      <c r="F230" s="13">
        <f>'Приложение_7 '!G159</f>
        <v>1595270.5</v>
      </c>
      <c r="G230" s="2"/>
      <c r="I230" s="13">
        <v>1595270.5</v>
      </c>
      <c r="J230" s="2"/>
      <c r="L230" s="114">
        <f t="shared" si="6"/>
        <v>0</v>
      </c>
      <c r="M230" s="114">
        <f t="shared" si="7"/>
        <v>0</v>
      </c>
    </row>
    <row r="231" spans="1:13" ht="63" outlineLevel="5">
      <c r="A231" s="19" t="s">
        <v>432</v>
      </c>
      <c r="B231" s="20" t="s">
        <v>2</v>
      </c>
      <c r="C231" s="20" t="s">
        <v>66</v>
      </c>
      <c r="D231" s="20" t="s">
        <v>118</v>
      </c>
      <c r="E231" s="20" t="s">
        <v>1</v>
      </c>
      <c r="F231" s="13">
        <f>F232</f>
        <v>142387</v>
      </c>
      <c r="G231" s="2"/>
      <c r="I231" s="13">
        <v>142387</v>
      </c>
      <c r="J231" s="2"/>
      <c r="L231" s="114">
        <f t="shared" si="6"/>
        <v>0</v>
      </c>
      <c r="M231" s="114">
        <f t="shared" si="7"/>
        <v>0</v>
      </c>
    </row>
    <row r="232" spans="1:13" ht="78.75" outlineLevel="6">
      <c r="A232" s="19" t="s">
        <v>708</v>
      </c>
      <c r="B232" s="20" t="s">
        <v>2</v>
      </c>
      <c r="C232" s="20" t="s">
        <v>66</v>
      </c>
      <c r="D232" s="20" t="s">
        <v>118</v>
      </c>
      <c r="E232" s="20" t="s">
        <v>10</v>
      </c>
      <c r="F232" s="13">
        <f>'Приложение_7 '!G161</f>
        <v>142387</v>
      </c>
      <c r="G232" s="2"/>
      <c r="I232" s="13">
        <v>142387</v>
      </c>
      <c r="J232" s="2"/>
      <c r="L232" s="114">
        <f t="shared" si="6"/>
        <v>0</v>
      </c>
      <c r="M232" s="114">
        <f t="shared" si="7"/>
        <v>0</v>
      </c>
    </row>
    <row r="233" spans="1:13" ht="63" outlineLevel="3">
      <c r="A233" s="82" t="s">
        <v>627</v>
      </c>
      <c r="B233" s="83" t="s">
        <v>2</v>
      </c>
      <c r="C233" s="83" t="s">
        <v>66</v>
      </c>
      <c r="D233" s="83" t="s">
        <v>119</v>
      </c>
      <c r="E233" s="83" t="s">
        <v>1</v>
      </c>
      <c r="F233" s="12">
        <f>F234+F241+F244+F248+F252</f>
        <v>28409365.49</v>
      </c>
      <c r="G233" s="1"/>
      <c r="I233" s="12">
        <v>27264965.49</v>
      </c>
      <c r="J233" s="1"/>
      <c r="L233" s="114">
        <f t="shared" si="6"/>
        <v>1144400</v>
      </c>
      <c r="M233" s="114">
        <f t="shared" si="7"/>
        <v>0</v>
      </c>
    </row>
    <row r="234" spans="1:13" ht="94.5" outlineLevel="4">
      <c r="A234" s="19" t="s">
        <v>517</v>
      </c>
      <c r="B234" s="20" t="s">
        <v>2</v>
      </c>
      <c r="C234" s="20" t="s">
        <v>66</v>
      </c>
      <c r="D234" s="20" t="s">
        <v>120</v>
      </c>
      <c r="E234" s="20" t="s">
        <v>1</v>
      </c>
      <c r="F234" s="13">
        <f>F235+F239</f>
        <v>20196796.09</v>
      </c>
      <c r="G234" s="2"/>
      <c r="I234" s="13">
        <v>19184396.09</v>
      </c>
      <c r="J234" s="2"/>
      <c r="L234" s="114">
        <f t="shared" si="6"/>
        <v>1012400</v>
      </c>
      <c r="M234" s="114">
        <f t="shared" si="7"/>
        <v>0</v>
      </c>
    </row>
    <row r="235" spans="1:13" ht="63" outlineLevel="5">
      <c r="A235" s="19" t="s">
        <v>443</v>
      </c>
      <c r="B235" s="20" t="s">
        <v>2</v>
      </c>
      <c r="C235" s="20" t="s">
        <v>66</v>
      </c>
      <c r="D235" s="20" t="s">
        <v>121</v>
      </c>
      <c r="E235" s="20" t="s">
        <v>1</v>
      </c>
      <c r="F235" s="13">
        <f>F236+F237+F238</f>
        <v>19751490.51</v>
      </c>
      <c r="G235" s="2"/>
      <c r="I235" s="13">
        <v>18739090.51</v>
      </c>
      <c r="J235" s="2"/>
      <c r="L235" s="114">
        <f t="shared" si="6"/>
        <v>1012400</v>
      </c>
      <c r="M235" s="114">
        <f t="shared" si="7"/>
        <v>0</v>
      </c>
    </row>
    <row r="236" spans="1:13" ht="78.75" outlineLevel="6">
      <c r="A236" s="19" t="s">
        <v>708</v>
      </c>
      <c r="B236" s="20" t="s">
        <v>2</v>
      </c>
      <c r="C236" s="20" t="s">
        <v>66</v>
      </c>
      <c r="D236" s="20" t="s">
        <v>121</v>
      </c>
      <c r="E236" s="20" t="s">
        <v>10</v>
      </c>
      <c r="F236" s="13">
        <f>'Приложение_7 '!G349</f>
        <v>18566169.360000003</v>
      </c>
      <c r="G236" s="2"/>
      <c r="I236" s="13">
        <v>17709740.98</v>
      </c>
      <c r="J236" s="2"/>
      <c r="L236" s="114">
        <f t="shared" si="6"/>
        <v>856428.3800000027</v>
      </c>
      <c r="M236" s="114">
        <f t="shared" si="7"/>
        <v>0</v>
      </c>
    </row>
    <row r="237" spans="1:13" ht="31.5" outlineLevel="6">
      <c r="A237" s="19" t="s">
        <v>693</v>
      </c>
      <c r="B237" s="20" t="s">
        <v>2</v>
      </c>
      <c r="C237" s="20" t="s">
        <v>66</v>
      </c>
      <c r="D237" s="20" t="s">
        <v>121</v>
      </c>
      <c r="E237" s="20" t="s">
        <v>17</v>
      </c>
      <c r="F237" s="13">
        <f>'Приложение_7 '!G350</f>
        <v>1182521.15</v>
      </c>
      <c r="G237" s="2"/>
      <c r="I237" s="13">
        <v>1029349.53</v>
      </c>
      <c r="J237" s="2"/>
      <c r="L237" s="114">
        <f t="shared" si="6"/>
        <v>153171.61999999988</v>
      </c>
      <c r="M237" s="114">
        <f t="shared" si="7"/>
        <v>0</v>
      </c>
    </row>
    <row r="238" spans="1:13" ht="15.75" outlineLevel="6">
      <c r="A238" s="19" t="s">
        <v>695</v>
      </c>
      <c r="B238" s="77" t="s">
        <v>2</v>
      </c>
      <c r="C238" s="77" t="s">
        <v>66</v>
      </c>
      <c r="D238" s="77" t="s">
        <v>121</v>
      </c>
      <c r="E238" s="77" t="s">
        <v>65</v>
      </c>
      <c r="F238" s="13">
        <f>'Приложение_7 '!G351</f>
        <v>2800</v>
      </c>
      <c r="G238" s="2"/>
      <c r="I238" s="13"/>
      <c r="J238" s="2"/>
      <c r="L238" s="114"/>
      <c r="M238" s="114"/>
    </row>
    <row r="239" spans="1:13" ht="63" outlineLevel="5">
      <c r="A239" s="19" t="s">
        <v>432</v>
      </c>
      <c r="B239" s="20" t="s">
        <v>2</v>
      </c>
      <c r="C239" s="20" t="s">
        <v>66</v>
      </c>
      <c r="D239" s="20" t="s">
        <v>122</v>
      </c>
      <c r="E239" s="20" t="s">
        <v>1</v>
      </c>
      <c r="F239" s="13">
        <f>F240</f>
        <v>445305.58</v>
      </c>
      <c r="G239" s="2"/>
      <c r="I239" s="13">
        <v>445305.58</v>
      </c>
      <c r="J239" s="2"/>
      <c r="L239" s="114">
        <f t="shared" si="6"/>
        <v>0</v>
      </c>
      <c r="M239" s="114">
        <f t="shared" si="7"/>
        <v>0</v>
      </c>
    </row>
    <row r="240" spans="1:13" ht="78.75" outlineLevel="6">
      <c r="A240" s="19" t="s">
        <v>708</v>
      </c>
      <c r="B240" s="20" t="s">
        <v>2</v>
      </c>
      <c r="C240" s="20" t="s">
        <v>66</v>
      </c>
      <c r="D240" s="20" t="s">
        <v>122</v>
      </c>
      <c r="E240" s="20" t="s">
        <v>10</v>
      </c>
      <c r="F240" s="13">
        <f>'Приложение_7 '!G353</f>
        <v>445305.58</v>
      </c>
      <c r="G240" s="2"/>
      <c r="I240" s="13">
        <v>445305.58</v>
      </c>
      <c r="J240" s="2"/>
      <c r="L240" s="114">
        <f t="shared" si="6"/>
        <v>0</v>
      </c>
      <c r="M240" s="114">
        <f t="shared" si="7"/>
        <v>0</v>
      </c>
    </row>
    <row r="241" spans="1:13" ht="47.25" outlineLevel="4">
      <c r="A241" s="19" t="s">
        <v>518</v>
      </c>
      <c r="B241" s="20" t="s">
        <v>2</v>
      </c>
      <c r="C241" s="20" t="s">
        <v>66</v>
      </c>
      <c r="D241" s="20" t="s">
        <v>123</v>
      </c>
      <c r="E241" s="20" t="s">
        <v>1</v>
      </c>
      <c r="F241" s="13">
        <f>F242</f>
        <v>35908</v>
      </c>
      <c r="G241" s="2"/>
      <c r="I241" s="13">
        <v>35908</v>
      </c>
      <c r="J241" s="2"/>
      <c r="L241" s="114">
        <f t="shared" si="6"/>
        <v>0</v>
      </c>
      <c r="M241" s="114">
        <f t="shared" si="7"/>
        <v>0</v>
      </c>
    </row>
    <row r="242" spans="1:13" ht="63" outlineLevel="5">
      <c r="A242" s="19" t="s">
        <v>443</v>
      </c>
      <c r="B242" s="20" t="s">
        <v>2</v>
      </c>
      <c r="C242" s="20" t="s">
        <v>66</v>
      </c>
      <c r="D242" s="20" t="s">
        <v>124</v>
      </c>
      <c r="E242" s="20" t="s">
        <v>1</v>
      </c>
      <c r="F242" s="13">
        <f>F243</f>
        <v>35908</v>
      </c>
      <c r="G242" s="2"/>
      <c r="I242" s="13">
        <v>35908</v>
      </c>
      <c r="J242" s="2"/>
      <c r="L242" s="114">
        <f t="shared" si="6"/>
        <v>0</v>
      </c>
      <c r="M242" s="114">
        <f t="shared" si="7"/>
        <v>0</v>
      </c>
    </row>
    <row r="243" spans="1:13" ht="31.5" outlineLevel="6">
      <c r="A243" s="19" t="s">
        <v>693</v>
      </c>
      <c r="B243" s="20" t="s">
        <v>2</v>
      </c>
      <c r="C243" s="20" t="s">
        <v>66</v>
      </c>
      <c r="D243" s="20" t="s">
        <v>124</v>
      </c>
      <c r="E243" s="20" t="s">
        <v>17</v>
      </c>
      <c r="F243" s="13">
        <f>'Приложение_7 '!G356</f>
        <v>35908</v>
      </c>
      <c r="G243" s="2"/>
      <c r="I243" s="13">
        <v>35908</v>
      </c>
      <c r="J243" s="2"/>
      <c r="L243" s="114">
        <f t="shared" si="6"/>
        <v>0</v>
      </c>
      <c r="M243" s="114">
        <f t="shared" si="7"/>
        <v>0</v>
      </c>
    </row>
    <row r="244" spans="1:13" ht="31.5" outlineLevel="4">
      <c r="A244" s="19" t="s">
        <v>519</v>
      </c>
      <c r="B244" s="20" t="s">
        <v>2</v>
      </c>
      <c r="C244" s="20" t="s">
        <v>66</v>
      </c>
      <c r="D244" s="20" t="s">
        <v>125</v>
      </c>
      <c r="E244" s="20" t="s">
        <v>1</v>
      </c>
      <c r="F244" s="13">
        <f>F245</f>
        <v>5588721.359999999</v>
      </c>
      <c r="G244" s="2"/>
      <c r="I244" s="13">
        <v>5588721.36</v>
      </c>
      <c r="J244" s="2"/>
      <c r="L244" s="114">
        <f t="shared" si="6"/>
        <v>0</v>
      </c>
      <c r="M244" s="114">
        <f t="shared" si="7"/>
        <v>0</v>
      </c>
    </row>
    <row r="245" spans="1:13" ht="63" outlineLevel="5">
      <c r="A245" s="19" t="s">
        <v>443</v>
      </c>
      <c r="B245" s="20" t="s">
        <v>2</v>
      </c>
      <c r="C245" s="20" t="s">
        <v>66</v>
      </c>
      <c r="D245" s="20" t="s">
        <v>126</v>
      </c>
      <c r="E245" s="20" t="s">
        <v>1</v>
      </c>
      <c r="F245" s="13">
        <f>F246+F247</f>
        <v>5588721.359999999</v>
      </c>
      <c r="G245" s="2"/>
      <c r="I245" s="13">
        <v>5588721.36</v>
      </c>
      <c r="J245" s="2"/>
      <c r="L245" s="114">
        <f t="shared" si="6"/>
        <v>0</v>
      </c>
      <c r="M245" s="114">
        <f t="shared" si="7"/>
        <v>0</v>
      </c>
    </row>
    <row r="246" spans="1:13" ht="78.75" outlineLevel="6">
      <c r="A246" s="19" t="s">
        <v>708</v>
      </c>
      <c r="B246" s="20" t="s">
        <v>2</v>
      </c>
      <c r="C246" s="20" t="s">
        <v>66</v>
      </c>
      <c r="D246" s="20" t="s">
        <v>126</v>
      </c>
      <c r="E246" s="20" t="s">
        <v>10</v>
      </c>
      <c r="F246" s="13">
        <f>'Приложение_7 '!G359</f>
        <v>5040338.6</v>
      </c>
      <c r="G246" s="2"/>
      <c r="I246" s="13">
        <v>5040338.6</v>
      </c>
      <c r="J246" s="2"/>
      <c r="L246" s="114">
        <f t="shared" si="6"/>
        <v>0</v>
      </c>
      <c r="M246" s="114">
        <f t="shared" si="7"/>
        <v>0</v>
      </c>
    </row>
    <row r="247" spans="1:13" ht="31.5" outlineLevel="6">
      <c r="A247" s="19" t="s">
        <v>693</v>
      </c>
      <c r="B247" s="20" t="s">
        <v>2</v>
      </c>
      <c r="C247" s="20" t="s">
        <v>66</v>
      </c>
      <c r="D247" s="20" t="s">
        <v>126</v>
      </c>
      <c r="E247" s="20" t="s">
        <v>17</v>
      </c>
      <c r="F247" s="13">
        <f>'Приложение_7 '!G360</f>
        <v>548382.76</v>
      </c>
      <c r="G247" s="2"/>
      <c r="I247" s="13">
        <v>548382.76</v>
      </c>
      <c r="J247" s="2"/>
      <c r="L247" s="114">
        <f t="shared" si="6"/>
        <v>0</v>
      </c>
      <c r="M247" s="114">
        <f t="shared" si="7"/>
        <v>0</v>
      </c>
    </row>
    <row r="248" spans="1:13" ht="63" outlineLevel="4">
      <c r="A248" s="19" t="s">
        <v>520</v>
      </c>
      <c r="B248" s="20" t="s">
        <v>2</v>
      </c>
      <c r="C248" s="20" t="s">
        <v>66</v>
      </c>
      <c r="D248" s="20" t="s">
        <v>127</v>
      </c>
      <c r="E248" s="20" t="s">
        <v>1</v>
      </c>
      <c r="F248" s="13">
        <f>F249</f>
        <v>472380</v>
      </c>
      <c r="G248" s="2"/>
      <c r="I248" s="13">
        <v>340380</v>
      </c>
      <c r="J248" s="2"/>
      <c r="L248" s="114">
        <f t="shared" si="6"/>
        <v>132000</v>
      </c>
      <c r="M248" s="114">
        <f t="shared" si="7"/>
        <v>0</v>
      </c>
    </row>
    <row r="249" spans="1:13" ht="31.5" outlineLevel="5">
      <c r="A249" s="19" t="s">
        <v>441</v>
      </c>
      <c r="B249" s="20" t="s">
        <v>2</v>
      </c>
      <c r="C249" s="20" t="s">
        <v>66</v>
      </c>
      <c r="D249" s="20" t="s">
        <v>128</v>
      </c>
      <c r="E249" s="20" t="s">
        <v>1</v>
      </c>
      <c r="F249" s="13">
        <f>F250+F251</f>
        <v>472380</v>
      </c>
      <c r="G249" s="2"/>
      <c r="I249" s="13">
        <v>340380</v>
      </c>
      <c r="J249" s="2"/>
      <c r="L249" s="114">
        <f t="shared" si="6"/>
        <v>132000</v>
      </c>
      <c r="M249" s="114">
        <f t="shared" si="7"/>
        <v>0</v>
      </c>
    </row>
    <row r="250" spans="1:13" ht="31.5" outlineLevel="6">
      <c r="A250" s="19" t="s">
        <v>694</v>
      </c>
      <c r="B250" s="20" t="s">
        <v>2</v>
      </c>
      <c r="C250" s="20" t="s">
        <v>66</v>
      </c>
      <c r="D250" s="20" t="s">
        <v>128</v>
      </c>
      <c r="E250" s="20" t="s">
        <v>47</v>
      </c>
      <c r="F250" s="13">
        <f>'Приложение_7 '!G363</f>
        <v>340380</v>
      </c>
      <c r="G250" s="2"/>
      <c r="I250" s="13">
        <v>340380</v>
      </c>
      <c r="J250" s="2"/>
      <c r="L250" s="114">
        <f t="shared" si="6"/>
        <v>0</v>
      </c>
      <c r="M250" s="114">
        <f t="shared" si="7"/>
        <v>0</v>
      </c>
    </row>
    <row r="251" spans="1:13" ht="15.75" outlineLevel="6">
      <c r="A251" s="19" t="s">
        <v>695</v>
      </c>
      <c r="B251" s="77" t="s">
        <v>2</v>
      </c>
      <c r="C251" s="77" t="s">
        <v>66</v>
      </c>
      <c r="D251" s="77" t="s">
        <v>128</v>
      </c>
      <c r="E251" s="77" t="s">
        <v>65</v>
      </c>
      <c r="F251" s="13">
        <f>'Приложение_7 '!G364</f>
        <v>132000</v>
      </c>
      <c r="G251" s="2"/>
      <c r="I251" s="13"/>
      <c r="J251" s="2"/>
      <c r="L251" s="114"/>
      <c r="M251" s="114"/>
    </row>
    <row r="252" spans="1:13" ht="63" outlineLevel="4">
      <c r="A252" s="19" t="s">
        <v>521</v>
      </c>
      <c r="B252" s="20" t="s">
        <v>2</v>
      </c>
      <c r="C252" s="20" t="s">
        <v>66</v>
      </c>
      <c r="D252" s="20" t="s">
        <v>129</v>
      </c>
      <c r="E252" s="20" t="s">
        <v>1</v>
      </c>
      <c r="F252" s="13">
        <f>F253</f>
        <v>2115560.04</v>
      </c>
      <c r="G252" s="2"/>
      <c r="I252" s="13">
        <v>2115560.04</v>
      </c>
      <c r="J252" s="2"/>
      <c r="L252" s="114">
        <f t="shared" si="6"/>
        <v>0</v>
      </c>
      <c r="M252" s="114">
        <f t="shared" si="7"/>
        <v>0</v>
      </c>
    </row>
    <row r="253" spans="1:13" ht="63" outlineLevel="5">
      <c r="A253" s="19" t="s">
        <v>443</v>
      </c>
      <c r="B253" s="20" t="s">
        <v>2</v>
      </c>
      <c r="C253" s="20" t="s">
        <v>66</v>
      </c>
      <c r="D253" s="20" t="s">
        <v>130</v>
      </c>
      <c r="E253" s="20" t="s">
        <v>1</v>
      </c>
      <c r="F253" s="13">
        <f>F254</f>
        <v>2115560.04</v>
      </c>
      <c r="G253" s="2"/>
      <c r="I253" s="13">
        <v>2115560.04</v>
      </c>
      <c r="J253" s="2"/>
      <c r="L253" s="114">
        <f t="shared" si="6"/>
        <v>0</v>
      </c>
      <c r="M253" s="114">
        <f t="shared" si="7"/>
        <v>0</v>
      </c>
    </row>
    <row r="254" spans="1:13" ht="78.75" outlineLevel="6">
      <c r="A254" s="19" t="s">
        <v>708</v>
      </c>
      <c r="B254" s="20" t="s">
        <v>2</v>
      </c>
      <c r="C254" s="20" t="s">
        <v>66</v>
      </c>
      <c r="D254" s="20" t="s">
        <v>130</v>
      </c>
      <c r="E254" s="20" t="s">
        <v>10</v>
      </c>
      <c r="F254" s="13">
        <f>'Приложение_7 '!G367</f>
        <v>2115560.04</v>
      </c>
      <c r="G254" s="2"/>
      <c r="I254" s="13">
        <v>2115560.04</v>
      </c>
      <c r="J254" s="2"/>
      <c r="L254" s="114">
        <f t="shared" si="6"/>
        <v>0</v>
      </c>
      <c r="M254" s="114">
        <f t="shared" si="7"/>
        <v>0</v>
      </c>
    </row>
    <row r="255" spans="1:13" ht="31.5" outlineLevel="3">
      <c r="A255" s="82" t="s">
        <v>628</v>
      </c>
      <c r="B255" s="83" t="s">
        <v>2</v>
      </c>
      <c r="C255" s="83" t="s">
        <v>66</v>
      </c>
      <c r="D255" s="83" t="s">
        <v>131</v>
      </c>
      <c r="E255" s="83" t="s">
        <v>1</v>
      </c>
      <c r="F255" s="12">
        <f>F256+F263+F270</f>
        <v>33569566.31</v>
      </c>
      <c r="G255" s="1"/>
      <c r="I255" s="12">
        <v>33446282.56</v>
      </c>
      <c r="J255" s="1"/>
      <c r="L255" s="114">
        <f t="shared" si="6"/>
        <v>123283.75000000373</v>
      </c>
      <c r="M255" s="114">
        <f t="shared" si="7"/>
        <v>0</v>
      </c>
    </row>
    <row r="256" spans="1:13" ht="31.5" outlineLevel="4">
      <c r="A256" s="19" t="s">
        <v>522</v>
      </c>
      <c r="B256" s="20" t="s">
        <v>2</v>
      </c>
      <c r="C256" s="20" t="s">
        <v>66</v>
      </c>
      <c r="D256" s="20" t="s">
        <v>132</v>
      </c>
      <c r="E256" s="20" t="s">
        <v>1</v>
      </c>
      <c r="F256" s="13">
        <f>F257+F261</f>
        <v>9813848.05</v>
      </c>
      <c r="G256" s="2"/>
      <c r="I256" s="13">
        <v>9775521.4</v>
      </c>
      <c r="J256" s="2"/>
      <c r="L256" s="114">
        <f t="shared" si="6"/>
        <v>38326.65000000037</v>
      </c>
      <c r="M256" s="114">
        <f t="shared" si="7"/>
        <v>0</v>
      </c>
    </row>
    <row r="257" spans="1:13" ht="63" outlineLevel="5">
      <c r="A257" s="19" t="s">
        <v>443</v>
      </c>
      <c r="B257" s="20" t="s">
        <v>2</v>
      </c>
      <c r="C257" s="20" t="s">
        <v>66</v>
      </c>
      <c r="D257" s="20" t="s">
        <v>133</v>
      </c>
      <c r="E257" s="20" t="s">
        <v>1</v>
      </c>
      <c r="F257" s="13">
        <f>F258+F259+F260</f>
        <v>9692926.73</v>
      </c>
      <c r="G257" s="2"/>
      <c r="I257" s="13">
        <v>9693021.4</v>
      </c>
      <c r="J257" s="2"/>
      <c r="L257" s="114">
        <f t="shared" si="6"/>
        <v>-94.6699999999255</v>
      </c>
      <c r="M257" s="114">
        <f t="shared" si="7"/>
        <v>0</v>
      </c>
    </row>
    <row r="258" spans="1:13" ht="78.75" outlineLevel="6">
      <c r="A258" s="19" t="s">
        <v>708</v>
      </c>
      <c r="B258" s="20" t="s">
        <v>2</v>
      </c>
      <c r="C258" s="20" t="s">
        <v>66</v>
      </c>
      <c r="D258" s="20" t="s">
        <v>133</v>
      </c>
      <c r="E258" s="20" t="s">
        <v>10</v>
      </c>
      <c r="F258" s="13">
        <f>'Приложение_7 '!G165</f>
        <v>7012313.76</v>
      </c>
      <c r="G258" s="2"/>
      <c r="I258" s="13">
        <v>7012313.76</v>
      </c>
      <c r="J258" s="2"/>
      <c r="L258" s="114">
        <f t="shared" si="6"/>
        <v>0</v>
      </c>
      <c r="M258" s="114">
        <f t="shared" si="7"/>
        <v>0</v>
      </c>
    </row>
    <row r="259" spans="1:13" ht="31.5" outlineLevel="6">
      <c r="A259" s="19" t="s">
        <v>693</v>
      </c>
      <c r="B259" s="20" t="s">
        <v>2</v>
      </c>
      <c r="C259" s="20" t="s">
        <v>66</v>
      </c>
      <c r="D259" s="20" t="s">
        <v>133</v>
      </c>
      <c r="E259" s="20" t="s">
        <v>17</v>
      </c>
      <c r="F259" s="13">
        <f>'Приложение_7 '!G166</f>
        <v>2636813.97</v>
      </c>
      <c r="G259" s="2"/>
      <c r="I259" s="13">
        <v>2636908.64</v>
      </c>
      <c r="J259" s="2"/>
      <c r="L259" s="114">
        <f t="shared" si="6"/>
        <v>-94.6699999999255</v>
      </c>
      <c r="M259" s="114">
        <f t="shared" si="7"/>
        <v>0</v>
      </c>
    </row>
    <row r="260" spans="1:13" ht="15.75" outlineLevel="6">
      <c r="A260" s="19" t="s">
        <v>695</v>
      </c>
      <c r="B260" s="20" t="s">
        <v>2</v>
      </c>
      <c r="C260" s="20" t="s">
        <v>66</v>
      </c>
      <c r="D260" s="20" t="s">
        <v>133</v>
      </c>
      <c r="E260" s="20" t="s">
        <v>65</v>
      </c>
      <c r="F260" s="13">
        <f>'Приложение_7 '!G167</f>
        <v>43799</v>
      </c>
      <c r="G260" s="2"/>
      <c r="I260" s="13">
        <v>43799</v>
      </c>
      <c r="J260" s="2"/>
      <c r="L260" s="114">
        <f t="shared" si="6"/>
        <v>0</v>
      </c>
      <c r="M260" s="114">
        <f t="shared" si="7"/>
        <v>0</v>
      </c>
    </row>
    <row r="261" spans="1:13" ht="63" outlineLevel="5">
      <c r="A261" s="19" t="s">
        <v>432</v>
      </c>
      <c r="B261" s="20" t="s">
        <v>2</v>
      </c>
      <c r="C261" s="20" t="s">
        <v>66</v>
      </c>
      <c r="D261" s="20" t="s">
        <v>134</v>
      </c>
      <c r="E261" s="20" t="s">
        <v>1</v>
      </c>
      <c r="F261" s="13">
        <f>F262</f>
        <v>120921.32</v>
      </c>
      <c r="G261" s="2"/>
      <c r="I261" s="13">
        <v>82500</v>
      </c>
      <c r="J261" s="2"/>
      <c r="L261" s="114">
        <f t="shared" si="6"/>
        <v>38421.32000000001</v>
      </c>
      <c r="M261" s="114">
        <f t="shared" si="7"/>
        <v>0</v>
      </c>
    </row>
    <row r="262" spans="1:13" ht="78.75" outlineLevel="6">
      <c r="A262" s="19" t="s">
        <v>708</v>
      </c>
      <c r="B262" s="20" t="s">
        <v>2</v>
      </c>
      <c r="C262" s="20" t="s">
        <v>66</v>
      </c>
      <c r="D262" s="20" t="s">
        <v>134</v>
      </c>
      <c r="E262" s="20" t="s">
        <v>10</v>
      </c>
      <c r="F262" s="13">
        <f>'Приложение_7 '!G169</f>
        <v>120921.32</v>
      </c>
      <c r="G262" s="2"/>
      <c r="I262" s="13">
        <v>82500</v>
      </c>
      <c r="J262" s="2"/>
      <c r="L262" s="114">
        <f t="shared" si="6"/>
        <v>38421.32000000001</v>
      </c>
      <c r="M262" s="114">
        <f t="shared" si="7"/>
        <v>0</v>
      </c>
    </row>
    <row r="263" spans="1:13" ht="47.25" outlineLevel="4">
      <c r="A263" s="19" t="s">
        <v>523</v>
      </c>
      <c r="B263" s="20" t="s">
        <v>2</v>
      </c>
      <c r="C263" s="20" t="s">
        <v>66</v>
      </c>
      <c r="D263" s="20" t="s">
        <v>135</v>
      </c>
      <c r="E263" s="20" t="s">
        <v>1</v>
      </c>
      <c r="F263" s="13">
        <f>F264+F268</f>
        <v>20595358.24</v>
      </c>
      <c r="G263" s="2"/>
      <c r="I263" s="13">
        <v>20503573.51</v>
      </c>
      <c r="J263" s="2"/>
      <c r="L263" s="114">
        <f t="shared" si="6"/>
        <v>91784.72999999672</v>
      </c>
      <c r="M263" s="114">
        <f t="shared" si="7"/>
        <v>0</v>
      </c>
    </row>
    <row r="264" spans="1:13" ht="63" outlineLevel="5">
      <c r="A264" s="19" t="s">
        <v>443</v>
      </c>
      <c r="B264" s="20" t="s">
        <v>2</v>
      </c>
      <c r="C264" s="20" t="s">
        <v>66</v>
      </c>
      <c r="D264" s="20" t="s">
        <v>136</v>
      </c>
      <c r="E264" s="20" t="s">
        <v>1</v>
      </c>
      <c r="F264" s="13">
        <f>F265+F266+F267</f>
        <v>20315768.18</v>
      </c>
      <c r="G264" s="2"/>
      <c r="I264" s="13">
        <v>20336073.51</v>
      </c>
      <c r="J264" s="2"/>
      <c r="L264" s="114">
        <f t="shared" si="6"/>
        <v>-20305.330000001937</v>
      </c>
      <c r="M264" s="114">
        <f t="shared" si="7"/>
        <v>0</v>
      </c>
    </row>
    <row r="265" spans="1:13" ht="78.75" outlineLevel="6">
      <c r="A265" s="19" t="s">
        <v>708</v>
      </c>
      <c r="B265" s="20" t="s">
        <v>2</v>
      </c>
      <c r="C265" s="20" t="s">
        <v>66</v>
      </c>
      <c r="D265" s="20" t="s">
        <v>136</v>
      </c>
      <c r="E265" s="20" t="s">
        <v>10</v>
      </c>
      <c r="F265" s="13">
        <f>'Приложение_7 '!G172</f>
        <v>11607347.55</v>
      </c>
      <c r="G265" s="2"/>
      <c r="I265" s="13">
        <v>11601322.55</v>
      </c>
      <c r="J265" s="2"/>
      <c r="L265" s="114">
        <f t="shared" si="6"/>
        <v>6025</v>
      </c>
      <c r="M265" s="114">
        <f t="shared" si="7"/>
        <v>0</v>
      </c>
    </row>
    <row r="266" spans="1:13" ht="31.5" outlineLevel="6">
      <c r="A266" s="19" t="s">
        <v>693</v>
      </c>
      <c r="B266" s="20" t="s">
        <v>2</v>
      </c>
      <c r="C266" s="20" t="s">
        <v>66</v>
      </c>
      <c r="D266" s="20" t="s">
        <v>136</v>
      </c>
      <c r="E266" s="20" t="s">
        <v>17</v>
      </c>
      <c r="F266" s="13">
        <f>'Приложение_7 '!G173</f>
        <v>8679767.63</v>
      </c>
      <c r="G266" s="2"/>
      <c r="I266" s="13">
        <v>8706362.96</v>
      </c>
      <c r="J266" s="2"/>
      <c r="L266" s="114">
        <f t="shared" si="6"/>
        <v>-26595.330000000075</v>
      </c>
      <c r="M266" s="114">
        <f t="shared" si="7"/>
        <v>0</v>
      </c>
    </row>
    <row r="267" spans="1:13" ht="15.75" outlineLevel="6">
      <c r="A267" s="19" t="s">
        <v>695</v>
      </c>
      <c r="B267" s="20" t="s">
        <v>2</v>
      </c>
      <c r="C267" s="20" t="s">
        <v>66</v>
      </c>
      <c r="D267" s="20" t="s">
        <v>136</v>
      </c>
      <c r="E267" s="20" t="s">
        <v>65</v>
      </c>
      <c r="F267" s="13">
        <f>'Приложение_7 '!G174</f>
        <v>28653</v>
      </c>
      <c r="G267" s="2"/>
      <c r="I267" s="13">
        <v>28388</v>
      </c>
      <c r="J267" s="2"/>
      <c r="L267" s="114">
        <f t="shared" si="6"/>
        <v>265</v>
      </c>
      <c r="M267" s="114">
        <f t="shared" si="7"/>
        <v>0</v>
      </c>
    </row>
    <row r="268" spans="1:13" ht="63" outlineLevel="5">
      <c r="A268" s="19" t="s">
        <v>432</v>
      </c>
      <c r="B268" s="20" t="s">
        <v>2</v>
      </c>
      <c r="C268" s="20" t="s">
        <v>66</v>
      </c>
      <c r="D268" s="20" t="s">
        <v>137</v>
      </c>
      <c r="E268" s="20" t="s">
        <v>1</v>
      </c>
      <c r="F268" s="13">
        <f>F269</f>
        <v>279590.06</v>
      </c>
      <c r="G268" s="2"/>
      <c r="I268" s="13">
        <v>167500</v>
      </c>
      <c r="J268" s="2"/>
      <c r="L268" s="114">
        <f t="shared" si="6"/>
        <v>112090.06</v>
      </c>
      <c r="M268" s="114">
        <f t="shared" si="7"/>
        <v>0</v>
      </c>
    </row>
    <row r="269" spans="1:13" ht="78.75" outlineLevel="6">
      <c r="A269" s="19" t="s">
        <v>708</v>
      </c>
      <c r="B269" s="20" t="s">
        <v>2</v>
      </c>
      <c r="C269" s="20" t="s">
        <v>66</v>
      </c>
      <c r="D269" s="20" t="s">
        <v>137</v>
      </c>
      <c r="E269" s="20" t="s">
        <v>10</v>
      </c>
      <c r="F269" s="13">
        <f>'Приложение_7 '!G176</f>
        <v>279590.06</v>
      </c>
      <c r="G269" s="2"/>
      <c r="I269" s="13">
        <v>167500</v>
      </c>
      <c r="J269" s="2"/>
      <c r="L269" s="114">
        <f t="shared" si="6"/>
        <v>112090.06</v>
      </c>
      <c r="M269" s="114">
        <f t="shared" si="7"/>
        <v>0</v>
      </c>
    </row>
    <row r="270" spans="1:13" ht="31.5" outlineLevel="4">
      <c r="A270" s="19" t="s">
        <v>524</v>
      </c>
      <c r="B270" s="20" t="s">
        <v>2</v>
      </c>
      <c r="C270" s="20" t="s">
        <v>66</v>
      </c>
      <c r="D270" s="20" t="s">
        <v>138</v>
      </c>
      <c r="E270" s="20" t="s">
        <v>1</v>
      </c>
      <c r="F270" s="13">
        <f>F271+F276+F274</f>
        <v>3160360.0199999996</v>
      </c>
      <c r="G270" s="2"/>
      <c r="I270" s="13">
        <v>3167187.65</v>
      </c>
      <c r="J270" s="2"/>
      <c r="L270" s="114">
        <f t="shared" si="6"/>
        <v>-6827.630000000354</v>
      </c>
      <c r="M270" s="114">
        <f t="shared" si="7"/>
        <v>0</v>
      </c>
    </row>
    <row r="271" spans="1:13" ht="63" outlineLevel="5">
      <c r="A271" s="19" t="s">
        <v>443</v>
      </c>
      <c r="B271" s="20" t="s">
        <v>2</v>
      </c>
      <c r="C271" s="20" t="s">
        <v>66</v>
      </c>
      <c r="D271" s="20" t="s">
        <v>139</v>
      </c>
      <c r="E271" s="20" t="s">
        <v>1</v>
      </c>
      <c r="F271" s="13">
        <f>F272+F273</f>
        <v>2262456.57</v>
      </c>
      <c r="G271" s="2"/>
      <c r="I271" s="13">
        <v>2315008</v>
      </c>
      <c r="J271" s="2"/>
      <c r="L271" s="114">
        <f t="shared" si="6"/>
        <v>-52551.43000000017</v>
      </c>
      <c r="M271" s="114">
        <f t="shared" si="7"/>
        <v>0</v>
      </c>
    </row>
    <row r="272" spans="1:13" ht="78.75" outlineLevel="6">
      <c r="A272" s="19" t="s">
        <v>708</v>
      </c>
      <c r="B272" s="20" t="s">
        <v>2</v>
      </c>
      <c r="C272" s="20" t="s">
        <v>66</v>
      </c>
      <c r="D272" s="20" t="s">
        <v>139</v>
      </c>
      <c r="E272" s="20" t="s">
        <v>10</v>
      </c>
      <c r="F272" s="13">
        <f>'Приложение_7 '!G179</f>
        <v>1466478</v>
      </c>
      <c r="G272" s="2"/>
      <c r="I272" s="13">
        <v>1466478</v>
      </c>
      <c r="J272" s="2"/>
      <c r="L272" s="114">
        <f t="shared" si="6"/>
        <v>0</v>
      </c>
      <c r="M272" s="114">
        <f t="shared" si="7"/>
        <v>0</v>
      </c>
    </row>
    <row r="273" spans="1:13" ht="31.5" outlineLevel="6">
      <c r="A273" s="19" t="s">
        <v>693</v>
      </c>
      <c r="B273" s="20" t="s">
        <v>2</v>
      </c>
      <c r="C273" s="20" t="s">
        <v>66</v>
      </c>
      <c r="D273" s="20" t="s">
        <v>139</v>
      </c>
      <c r="E273" s="20" t="s">
        <v>17</v>
      </c>
      <c r="F273" s="13">
        <f>'Приложение_7 '!G180</f>
        <v>795978.57</v>
      </c>
      <c r="G273" s="1"/>
      <c r="I273" s="13">
        <v>848530</v>
      </c>
      <c r="J273" s="1"/>
      <c r="L273" s="114">
        <f t="shared" si="6"/>
        <v>-52551.43000000005</v>
      </c>
      <c r="M273" s="114">
        <f t="shared" si="7"/>
        <v>0</v>
      </c>
    </row>
    <row r="274" spans="1:13" ht="63" outlineLevel="6">
      <c r="A274" s="148" t="s">
        <v>432</v>
      </c>
      <c r="B274" s="149" t="s">
        <v>2</v>
      </c>
      <c r="C274" s="149" t="s">
        <v>66</v>
      </c>
      <c r="D274" s="149" t="s">
        <v>1290</v>
      </c>
      <c r="E274" s="149"/>
      <c r="F274" s="13">
        <f>F275</f>
        <v>45723.8</v>
      </c>
      <c r="G274" s="1"/>
      <c r="I274" s="13"/>
      <c r="J274" s="1"/>
      <c r="L274" s="114"/>
      <c r="M274" s="114"/>
    </row>
    <row r="275" spans="1:13" ht="78.75" outlineLevel="6">
      <c r="A275" s="76" t="s">
        <v>708</v>
      </c>
      <c r="B275" s="149" t="s">
        <v>2</v>
      </c>
      <c r="C275" s="149" t="s">
        <v>66</v>
      </c>
      <c r="D275" s="149" t="s">
        <v>1290</v>
      </c>
      <c r="E275" s="149" t="s">
        <v>10</v>
      </c>
      <c r="F275" s="13">
        <f>'Приложение_7 '!G182</f>
        <v>45723.8</v>
      </c>
      <c r="G275" s="1"/>
      <c r="I275" s="13"/>
      <c r="J275" s="1"/>
      <c r="L275" s="114"/>
      <c r="M275" s="114"/>
    </row>
    <row r="276" spans="1:13" ht="31.5" outlineLevel="5">
      <c r="A276" s="19" t="s">
        <v>441</v>
      </c>
      <c r="B276" s="20" t="s">
        <v>2</v>
      </c>
      <c r="C276" s="20" t="s">
        <v>66</v>
      </c>
      <c r="D276" s="20" t="s">
        <v>140</v>
      </c>
      <c r="E276" s="20" t="s">
        <v>1</v>
      </c>
      <c r="F276" s="13">
        <f>F277</f>
        <v>852179.65</v>
      </c>
      <c r="G276" s="1"/>
      <c r="I276" s="13">
        <v>852179.65</v>
      </c>
      <c r="J276" s="1"/>
      <c r="L276" s="114">
        <f t="shared" si="6"/>
        <v>0</v>
      </c>
      <c r="M276" s="114">
        <f t="shared" si="7"/>
        <v>0</v>
      </c>
    </row>
    <row r="277" spans="1:13" ht="31.5" outlineLevel="6">
      <c r="A277" s="19" t="s">
        <v>693</v>
      </c>
      <c r="B277" s="20" t="s">
        <v>2</v>
      </c>
      <c r="C277" s="20" t="s">
        <v>66</v>
      </c>
      <c r="D277" s="20" t="s">
        <v>140</v>
      </c>
      <c r="E277" s="20" t="s">
        <v>17</v>
      </c>
      <c r="F277" s="13">
        <f>'Приложение_7 '!G184+'Приложение_7 '!G371+'Приложение_7 '!G610+'Приложение_7 '!G64</f>
        <v>852179.65</v>
      </c>
      <c r="G277" s="2"/>
      <c r="I277" s="13">
        <v>852179.65</v>
      </c>
      <c r="J277" s="2"/>
      <c r="L277" s="114">
        <f t="shared" si="6"/>
        <v>0</v>
      </c>
      <c r="M277" s="114">
        <f t="shared" si="7"/>
        <v>0</v>
      </c>
    </row>
    <row r="278" spans="1:13" ht="15.75" outlineLevel="2">
      <c r="A278" s="82" t="s">
        <v>490</v>
      </c>
      <c r="B278" s="83" t="s">
        <v>2</v>
      </c>
      <c r="C278" s="83" t="s">
        <v>66</v>
      </c>
      <c r="D278" s="83" t="s">
        <v>11</v>
      </c>
      <c r="E278" s="83" t="s">
        <v>1</v>
      </c>
      <c r="F278" s="12">
        <f>F279+F284+F282</f>
        <v>15689812.23</v>
      </c>
      <c r="G278" s="1"/>
      <c r="I278" s="12">
        <v>9350967.87</v>
      </c>
      <c r="J278" s="1"/>
      <c r="L278" s="114">
        <f t="shared" si="6"/>
        <v>6338844.360000001</v>
      </c>
      <c r="M278" s="114">
        <f t="shared" si="7"/>
        <v>0</v>
      </c>
    </row>
    <row r="279" spans="1:13" ht="31.5" outlineLevel="5">
      <c r="A279" s="19" t="s">
        <v>447</v>
      </c>
      <c r="B279" s="20" t="s">
        <v>2</v>
      </c>
      <c r="C279" s="20" t="s">
        <v>66</v>
      </c>
      <c r="D279" s="20" t="s">
        <v>141</v>
      </c>
      <c r="E279" s="20" t="s">
        <v>1</v>
      </c>
      <c r="F279" s="13">
        <f>F280+F281</f>
        <v>645754.4199999999</v>
      </c>
      <c r="G279" s="2"/>
      <c r="I279" s="13">
        <v>736764.42</v>
      </c>
      <c r="J279" s="2"/>
      <c r="L279" s="114">
        <f t="shared" si="6"/>
        <v>-91010.00000000012</v>
      </c>
      <c r="M279" s="114">
        <f t="shared" si="7"/>
        <v>0</v>
      </c>
    </row>
    <row r="280" spans="1:13" ht="31.5" outlineLevel="6">
      <c r="A280" s="19" t="s">
        <v>693</v>
      </c>
      <c r="B280" s="20" t="s">
        <v>2</v>
      </c>
      <c r="C280" s="20" t="s">
        <v>66</v>
      </c>
      <c r="D280" s="20" t="s">
        <v>141</v>
      </c>
      <c r="E280" s="20" t="s">
        <v>17</v>
      </c>
      <c r="F280" s="13">
        <f>'Приложение_7 '!G187</f>
        <v>197850</v>
      </c>
      <c r="G280" s="2"/>
      <c r="I280" s="13">
        <v>249000</v>
      </c>
      <c r="J280" s="2"/>
      <c r="L280" s="114">
        <f t="shared" si="6"/>
        <v>-51150</v>
      </c>
      <c r="M280" s="114">
        <f t="shared" si="7"/>
        <v>0</v>
      </c>
    </row>
    <row r="281" spans="1:13" ht="15.75" outlineLevel="6">
      <c r="A281" s="19" t="s">
        <v>695</v>
      </c>
      <c r="B281" s="20" t="s">
        <v>2</v>
      </c>
      <c r="C281" s="20" t="s">
        <v>66</v>
      </c>
      <c r="D281" s="20" t="s">
        <v>141</v>
      </c>
      <c r="E281" s="20" t="s">
        <v>65</v>
      </c>
      <c r="F281" s="13">
        <f>'Приложение_7 '!G188</f>
        <v>447904.42</v>
      </c>
      <c r="G281" s="1"/>
      <c r="I281" s="13">
        <v>487764.42</v>
      </c>
      <c r="J281" s="1"/>
      <c r="L281" s="114">
        <f t="shared" si="6"/>
        <v>-39860</v>
      </c>
      <c r="M281" s="114">
        <f t="shared" si="7"/>
        <v>0</v>
      </c>
    </row>
    <row r="282" spans="1:13" ht="15.75" outlineLevel="6">
      <c r="A282" s="76" t="s">
        <v>1234</v>
      </c>
      <c r="B282" s="77" t="s">
        <v>2</v>
      </c>
      <c r="C282" s="77" t="s">
        <v>66</v>
      </c>
      <c r="D282" s="77" t="s">
        <v>1235</v>
      </c>
      <c r="E282" s="77" t="s">
        <v>1</v>
      </c>
      <c r="F282" s="13">
        <f>F283</f>
        <v>720000</v>
      </c>
      <c r="G282" s="1"/>
      <c r="I282" s="13"/>
      <c r="J282" s="1"/>
      <c r="L282" s="114"/>
      <c r="M282" s="114"/>
    </row>
    <row r="283" spans="1:13" ht="15.75" outlineLevel="6">
      <c r="A283" s="76" t="s">
        <v>695</v>
      </c>
      <c r="B283" s="77" t="s">
        <v>2</v>
      </c>
      <c r="C283" s="77" t="s">
        <v>66</v>
      </c>
      <c r="D283" s="77" t="s">
        <v>1235</v>
      </c>
      <c r="E283" s="77" t="s">
        <v>65</v>
      </c>
      <c r="F283" s="13">
        <f>'Приложение_7 '!G374</f>
        <v>720000</v>
      </c>
      <c r="G283" s="1"/>
      <c r="I283" s="13"/>
      <c r="J283" s="1"/>
      <c r="L283" s="114"/>
      <c r="M283" s="114"/>
    </row>
    <row r="284" spans="1:13" ht="31.5" outlineLevel="5">
      <c r="A284" s="19" t="s">
        <v>448</v>
      </c>
      <c r="B284" s="20" t="s">
        <v>2</v>
      </c>
      <c r="C284" s="20" t="s">
        <v>66</v>
      </c>
      <c r="D284" s="20" t="s">
        <v>142</v>
      </c>
      <c r="E284" s="20" t="s">
        <v>1</v>
      </c>
      <c r="F284" s="13">
        <f>F288+F289+F286+F285+F287</f>
        <v>14324057.81</v>
      </c>
      <c r="G284" s="2"/>
      <c r="I284" s="13">
        <v>8614203.45</v>
      </c>
      <c r="J284" s="2"/>
      <c r="L284" s="114">
        <f t="shared" si="6"/>
        <v>5709854.360000001</v>
      </c>
      <c r="M284" s="114">
        <f t="shared" si="7"/>
        <v>0</v>
      </c>
    </row>
    <row r="285" spans="1:13" ht="78.75" outlineLevel="5">
      <c r="A285" s="148" t="s">
        <v>708</v>
      </c>
      <c r="B285" s="109" t="s">
        <v>2</v>
      </c>
      <c r="C285" s="109" t="s">
        <v>66</v>
      </c>
      <c r="D285" s="109" t="s">
        <v>142</v>
      </c>
      <c r="E285" s="109" t="s">
        <v>10</v>
      </c>
      <c r="F285" s="110">
        <f>'Приложение_7 '!G190+'Приложение_7 '!G666</f>
        <v>32252.02</v>
      </c>
      <c r="G285" s="213"/>
      <c r="I285" s="13"/>
      <c r="J285" s="2"/>
      <c r="L285" s="114"/>
      <c r="M285" s="114"/>
    </row>
    <row r="286" spans="1:13" ht="31.5" outlineLevel="5">
      <c r="A286" s="19" t="s">
        <v>693</v>
      </c>
      <c r="B286" s="20" t="s">
        <v>2</v>
      </c>
      <c r="C286" s="20" t="s">
        <v>66</v>
      </c>
      <c r="D286" s="20" t="s">
        <v>142</v>
      </c>
      <c r="E286" s="20" t="s">
        <v>17</v>
      </c>
      <c r="F286" s="13">
        <f>'Приложение_7 '!G613</f>
        <v>1666722.4199999997</v>
      </c>
      <c r="G286" s="2"/>
      <c r="I286" s="13"/>
      <c r="J286" s="2"/>
      <c r="L286" s="114"/>
      <c r="M286" s="114"/>
    </row>
    <row r="287" spans="1:13" ht="31.5" outlineLevel="5">
      <c r="A287" s="148" t="s">
        <v>694</v>
      </c>
      <c r="B287" s="20" t="s">
        <v>2</v>
      </c>
      <c r="C287" s="20" t="s">
        <v>66</v>
      </c>
      <c r="D287" s="20" t="s">
        <v>142</v>
      </c>
      <c r="E287" s="20" t="s">
        <v>47</v>
      </c>
      <c r="F287" s="13">
        <f>'Приложение_7 '!G191</f>
        <v>29090</v>
      </c>
      <c r="G287" s="2"/>
      <c r="I287" s="13"/>
      <c r="J287" s="2"/>
      <c r="L287" s="114"/>
      <c r="M287" s="114"/>
    </row>
    <row r="288" spans="1:13" ht="31.5" outlineLevel="6">
      <c r="A288" s="19" t="s">
        <v>1183</v>
      </c>
      <c r="B288" s="20" t="s">
        <v>2</v>
      </c>
      <c r="C288" s="20" t="s">
        <v>66</v>
      </c>
      <c r="D288" s="20" t="s">
        <v>142</v>
      </c>
      <c r="E288" s="20" t="s">
        <v>143</v>
      </c>
      <c r="F288" s="13">
        <f>'Приложение_7 '!G376</f>
        <v>9289149.63</v>
      </c>
      <c r="G288" s="2"/>
      <c r="I288" s="13">
        <v>8500008.46</v>
      </c>
      <c r="J288" s="2"/>
      <c r="L288" s="114">
        <f t="shared" si="6"/>
        <v>789141.1699999999</v>
      </c>
      <c r="M288" s="114">
        <f t="shared" si="7"/>
        <v>0</v>
      </c>
    </row>
    <row r="289" spans="1:13" ht="15.75" outlineLevel="6">
      <c r="A289" s="19" t="s">
        <v>695</v>
      </c>
      <c r="B289" s="20" t="s">
        <v>2</v>
      </c>
      <c r="C289" s="20" t="s">
        <v>66</v>
      </c>
      <c r="D289" s="20" t="s">
        <v>142</v>
      </c>
      <c r="E289" s="20" t="s">
        <v>65</v>
      </c>
      <c r="F289" s="13">
        <f>'Приложение_7 '!G377+'Приложение_7 '!G614+'Приложение_7 '!G667+'Приложение_7 '!G192</f>
        <v>3306843.7399999998</v>
      </c>
      <c r="G289" s="2"/>
      <c r="I289" s="13">
        <v>114194.99</v>
      </c>
      <c r="J289" s="2"/>
      <c r="L289" s="114">
        <f t="shared" si="6"/>
        <v>3192648.7499999995</v>
      </c>
      <c r="M289" s="114">
        <f t="shared" si="7"/>
        <v>0</v>
      </c>
    </row>
    <row r="290" spans="1:13" s="113" customFormat="1" ht="31.5">
      <c r="A290" s="82" t="s">
        <v>697</v>
      </c>
      <c r="B290" s="83" t="s">
        <v>14</v>
      </c>
      <c r="C290" s="83" t="s">
        <v>3</v>
      </c>
      <c r="D290" s="83" t="s">
        <v>4</v>
      </c>
      <c r="E290" s="83" t="s">
        <v>1</v>
      </c>
      <c r="F290" s="12">
        <f>F291+F298</f>
        <v>44279428.73</v>
      </c>
      <c r="G290" s="12">
        <f>G291+G298</f>
        <v>2669800</v>
      </c>
      <c r="I290" s="12">
        <v>43038816.32</v>
      </c>
      <c r="J290" s="1">
        <f>J291</f>
        <v>2131000</v>
      </c>
      <c r="L290" s="114">
        <f t="shared" si="6"/>
        <v>1240612.4099999964</v>
      </c>
      <c r="M290" s="114">
        <f t="shared" si="7"/>
        <v>538800</v>
      </c>
    </row>
    <row r="291" spans="1:13" s="113" customFormat="1" ht="15.75" outlineLevel="1">
      <c r="A291" s="82" t="s">
        <v>669</v>
      </c>
      <c r="B291" s="83" t="s">
        <v>14</v>
      </c>
      <c r="C291" s="83" t="s">
        <v>22</v>
      </c>
      <c r="D291" s="83" t="s">
        <v>4</v>
      </c>
      <c r="E291" s="83" t="s">
        <v>1</v>
      </c>
      <c r="F291" s="12">
        <f aca="true" t="shared" si="8" ref="F291:G294">F292</f>
        <v>2669800</v>
      </c>
      <c r="G291" s="12">
        <f t="shared" si="8"/>
        <v>2669800</v>
      </c>
      <c r="I291" s="12">
        <v>2131000</v>
      </c>
      <c r="J291" s="12">
        <v>2131000</v>
      </c>
      <c r="L291" s="114">
        <f t="shared" si="6"/>
        <v>538800</v>
      </c>
      <c r="M291" s="114">
        <f t="shared" si="7"/>
        <v>538800</v>
      </c>
    </row>
    <row r="292" spans="1:13" ht="47.25" outlineLevel="2">
      <c r="A292" s="82" t="s">
        <v>656</v>
      </c>
      <c r="B292" s="83" t="s">
        <v>14</v>
      </c>
      <c r="C292" s="83" t="s">
        <v>22</v>
      </c>
      <c r="D292" s="83" t="s">
        <v>6</v>
      </c>
      <c r="E292" s="83" t="s">
        <v>1</v>
      </c>
      <c r="F292" s="12">
        <f t="shared" si="8"/>
        <v>2669800</v>
      </c>
      <c r="G292" s="12">
        <f t="shared" si="8"/>
        <v>2669800</v>
      </c>
      <c r="I292" s="12">
        <v>2131000</v>
      </c>
      <c r="J292" s="12">
        <v>2131000</v>
      </c>
      <c r="L292" s="114">
        <f t="shared" si="6"/>
        <v>538800</v>
      </c>
      <c r="M292" s="114">
        <f t="shared" si="7"/>
        <v>538800</v>
      </c>
    </row>
    <row r="293" spans="1:13" ht="31.5" outlineLevel="3">
      <c r="A293" s="82" t="s">
        <v>616</v>
      </c>
      <c r="B293" s="83" t="s">
        <v>14</v>
      </c>
      <c r="C293" s="83" t="s">
        <v>22</v>
      </c>
      <c r="D293" s="83" t="s">
        <v>43</v>
      </c>
      <c r="E293" s="83" t="s">
        <v>1</v>
      </c>
      <c r="F293" s="12">
        <f t="shared" si="8"/>
        <v>2669800</v>
      </c>
      <c r="G293" s="12">
        <f t="shared" si="8"/>
        <v>2669800</v>
      </c>
      <c r="I293" s="12">
        <v>2131000</v>
      </c>
      <c r="J293" s="12">
        <v>2131000</v>
      </c>
      <c r="L293" s="114">
        <f t="shared" si="6"/>
        <v>538800</v>
      </c>
      <c r="M293" s="114">
        <f t="shared" si="7"/>
        <v>538800</v>
      </c>
    </row>
    <row r="294" spans="1:13" ht="47.25" outlineLevel="4">
      <c r="A294" s="19" t="s">
        <v>525</v>
      </c>
      <c r="B294" s="20" t="s">
        <v>14</v>
      </c>
      <c r="C294" s="20" t="s">
        <v>22</v>
      </c>
      <c r="D294" s="20" t="s">
        <v>144</v>
      </c>
      <c r="E294" s="20" t="s">
        <v>1</v>
      </c>
      <c r="F294" s="13">
        <f t="shared" si="8"/>
        <v>2669800</v>
      </c>
      <c r="G294" s="13">
        <f t="shared" si="8"/>
        <v>2669800</v>
      </c>
      <c r="I294" s="13">
        <v>2131000</v>
      </c>
      <c r="J294" s="13">
        <v>2131000</v>
      </c>
      <c r="L294" s="114">
        <f t="shared" si="6"/>
        <v>538800</v>
      </c>
      <c r="M294" s="114">
        <f t="shared" si="7"/>
        <v>538800</v>
      </c>
    </row>
    <row r="295" spans="1:13" ht="110.25" outlineLevel="5">
      <c r="A295" s="19" t="s">
        <v>449</v>
      </c>
      <c r="B295" s="20" t="s">
        <v>14</v>
      </c>
      <c r="C295" s="20" t="s">
        <v>22</v>
      </c>
      <c r="D295" s="20" t="s">
        <v>145</v>
      </c>
      <c r="E295" s="20" t="s">
        <v>1</v>
      </c>
      <c r="F295" s="13">
        <f>F296+F297</f>
        <v>2669800</v>
      </c>
      <c r="G295" s="13">
        <f>G296+G297</f>
        <v>2669800</v>
      </c>
      <c r="I295" s="13">
        <v>2131000</v>
      </c>
      <c r="J295" s="13">
        <v>2131000</v>
      </c>
      <c r="L295" s="114">
        <f aca="true" t="shared" si="9" ref="L295:L361">F295-I295</f>
        <v>538800</v>
      </c>
      <c r="M295" s="114">
        <f aca="true" t="shared" si="10" ref="M295:M361">G295-J295</f>
        <v>538800</v>
      </c>
    </row>
    <row r="296" spans="1:13" ht="78.75" outlineLevel="6">
      <c r="A296" s="19" t="s">
        <v>708</v>
      </c>
      <c r="B296" s="20" t="s">
        <v>14</v>
      </c>
      <c r="C296" s="20" t="s">
        <v>22</v>
      </c>
      <c r="D296" s="20" t="s">
        <v>145</v>
      </c>
      <c r="E296" s="20" t="s">
        <v>10</v>
      </c>
      <c r="F296" s="13">
        <f>'Приложение_7 '!G199</f>
        <v>1772478.95</v>
      </c>
      <c r="G296" s="13">
        <f>F296</f>
        <v>1772478.95</v>
      </c>
      <c r="I296" s="13">
        <v>1772478.95</v>
      </c>
      <c r="J296" s="13">
        <v>1772478.95</v>
      </c>
      <c r="L296" s="114">
        <f t="shared" si="9"/>
        <v>0</v>
      </c>
      <c r="M296" s="114">
        <f t="shared" si="10"/>
        <v>0</v>
      </c>
    </row>
    <row r="297" spans="1:13" ht="31.5" outlineLevel="6">
      <c r="A297" s="19" t="s">
        <v>693</v>
      </c>
      <c r="B297" s="20" t="s">
        <v>14</v>
      </c>
      <c r="C297" s="20" t="s">
        <v>22</v>
      </c>
      <c r="D297" s="20" t="s">
        <v>145</v>
      </c>
      <c r="E297" s="20" t="s">
        <v>17</v>
      </c>
      <c r="F297" s="13">
        <f>'Приложение_7 '!G200</f>
        <v>897321.05</v>
      </c>
      <c r="G297" s="13">
        <f>F297</f>
        <v>897321.05</v>
      </c>
      <c r="I297" s="13">
        <v>358521.05</v>
      </c>
      <c r="J297" s="13">
        <v>358521.05</v>
      </c>
      <c r="L297" s="114">
        <f t="shared" si="9"/>
        <v>538800</v>
      </c>
      <c r="M297" s="114">
        <f t="shared" si="10"/>
        <v>538800</v>
      </c>
    </row>
    <row r="298" spans="1:13" s="113" customFormat="1" ht="47.25" outlineLevel="1">
      <c r="A298" s="115" t="s">
        <v>670</v>
      </c>
      <c r="B298" s="116" t="s">
        <v>14</v>
      </c>
      <c r="C298" s="116" t="s">
        <v>146</v>
      </c>
      <c r="D298" s="116" t="s">
        <v>4</v>
      </c>
      <c r="E298" s="116" t="s">
        <v>1</v>
      </c>
      <c r="F298" s="117">
        <f>F299+F324</f>
        <v>41609628.73</v>
      </c>
      <c r="G298" s="118"/>
      <c r="I298" s="117">
        <v>40907816.32</v>
      </c>
      <c r="J298" s="118"/>
      <c r="L298" s="114">
        <f t="shared" si="9"/>
        <v>701812.4099999964</v>
      </c>
      <c r="M298" s="114">
        <f t="shared" si="10"/>
        <v>0</v>
      </c>
    </row>
    <row r="299" spans="1:13" ht="47.25" outlineLevel="2">
      <c r="A299" s="82" t="s">
        <v>658</v>
      </c>
      <c r="B299" s="83" t="s">
        <v>14</v>
      </c>
      <c r="C299" s="83" t="s">
        <v>146</v>
      </c>
      <c r="D299" s="83" t="s">
        <v>71</v>
      </c>
      <c r="E299" s="83" t="s">
        <v>1</v>
      </c>
      <c r="F299" s="12">
        <f>F300+F304</f>
        <v>41285381.68</v>
      </c>
      <c r="G299" s="1"/>
      <c r="I299" s="12">
        <v>40572962.6</v>
      </c>
      <c r="J299" s="1"/>
      <c r="L299" s="114">
        <f t="shared" si="9"/>
        <v>712419.0799999982</v>
      </c>
      <c r="M299" s="114">
        <f t="shared" si="10"/>
        <v>0</v>
      </c>
    </row>
    <row r="300" spans="1:13" ht="47.25" outlineLevel="3">
      <c r="A300" s="82" t="s">
        <v>620</v>
      </c>
      <c r="B300" s="83" t="s">
        <v>14</v>
      </c>
      <c r="C300" s="83" t="s">
        <v>146</v>
      </c>
      <c r="D300" s="83" t="s">
        <v>72</v>
      </c>
      <c r="E300" s="83" t="s">
        <v>1</v>
      </c>
      <c r="F300" s="12">
        <f>F301</f>
        <v>71940</v>
      </c>
      <c r="G300" s="1"/>
      <c r="I300" s="12">
        <v>71940</v>
      </c>
      <c r="J300" s="1"/>
      <c r="L300" s="114">
        <f t="shared" si="9"/>
        <v>0</v>
      </c>
      <c r="M300" s="114">
        <f t="shared" si="10"/>
        <v>0</v>
      </c>
    </row>
    <row r="301" spans="1:13" ht="78.75" outlineLevel="4">
      <c r="A301" s="19" t="s">
        <v>526</v>
      </c>
      <c r="B301" s="20" t="s">
        <v>14</v>
      </c>
      <c r="C301" s="20" t="s">
        <v>146</v>
      </c>
      <c r="D301" s="20" t="s">
        <v>147</v>
      </c>
      <c r="E301" s="20" t="s">
        <v>1</v>
      </c>
      <c r="F301" s="13">
        <f>F302</f>
        <v>71940</v>
      </c>
      <c r="G301" s="2"/>
      <c r="I301" s="13">
        <v>71940</v>
      </c>
      <c r="J301" s="2"/>
      <c r="L301" s="114">
        <f t="shared" si="9"/>
        <v>0</v>
      </c>
      <c r="M301" s="114">
        <f t="shared" si="10"/>
        <v>0</v>
      </c>
    </row>
    <row r="302" spans="1:13" ht="31.5" outlineLevel="5">
      <c r="A302" s="19" t="s">
        <v>441</v>
      </c>
      <c r="B302" s="20" t="s">
        <v>14</v>
      </c>
      <c r="C302" s="20" t="s">
        <v>146</v>
      </c>
      <c r="D302" s="20" t="s">
        <v>148</v>
      </c>
      <c r="E302" s="20" t="s">
        <v>1</v>
      </c>
      <c r="F302" s="13">
        <f>F303</f>
        <v>71940</v>
      </c>
      <c r="G302" s="2"/>
      <c r="I302" s="13">
        <v>71940</v>
      </c>
      <c r="J302" s="2"/>
      <c r="L302" s="114">
        <f t="shared" si="9"/>
        <v>0</v>
      </c>
      <c r="M302" s="114">
        <f t="shared" si="10"/>
        <v>0</v>
      </c>
    </row>
    <row r="303" spans="1:13" ht="31.5" outlineLevel="6">
      <c r="A303" s="19" t="s">
        <v>693</v>
      </c>
      <c r="B303" s="20" t="s">
        <v>14</v>
      </c>
      <c r="C303" s="20" t="s">
        <v>146</v>
      </c>
      <c r="D303" s="20" t="s">
        <v>148</v>
      </c>
      <c r="E303" s="20" t="s">
        <v>17</v>
      </c>
      <c r="F303" s="13">
        <f>'Приложение_7 '!G206</f>
        <v>71940</v>
      </c>
      <c r="G303" s="2"/>
      <c r="I303" s="13">
        <v>71940</v>
      </c>
      <c r="J303" s="2"/>
      <c r="L303" s="114">
        <f t="shared" si="9"/>
        <v>0</v>
      </c>
      <c r="M303" s="114">
        <f t="shared" si="10"/>
        <v>0</v>
      </c>
    </row>
    <row r="304" spans="1:13" ht="47.25" outlineLevel="3">
      <c r="A304" s="82" t="s">
        <v>629</v>
      </c>
      <c r="B304" s="83" t="s">
        <v>14</v>
      </c>
      <c r="C304" s="83" t="s">
        <v>146</v>
      </c>
      <c r="D304" s="83" t="s">
        <v>149</v>
      </c>
      <c r="E304" s="83" t="s">
        <v>1</v>
      </c>
      <c r="F304" s="12">
        <f>F305+F308+F315+F318+F321</f>
        <v>41213441.68</v>
      </c>
      <c r="G304" s="1"/>
      <c r="I304" s="12">
        <v>40501022.6</v>
      </c>
      <c r="J304" s="1"/>
      <c r="L304" s="114">
        <f t="shared" si="9"/>
        <v>712419.0799999982</v>
      </c>
      <c r="M304" s="114">
        <f t="shared" si="10"/>
        <v>0</v>
      </c>
    </row>
    <row r="305" spans="1:13" ht="47.25" outlineLevel="4">
      <c r="A305" s="19" t="s">
        <v>527</v>
      </c>
      <c r="B305" s="20" t="s">
        <v>14</v>
      </c>
      <c r="C305" s="20" t="s">
        <v>146</v>
      </c>
      <c r="D305" s="20" t="s">
        <v>150</v>
      </c>
      <c r="E305" s="20" t="s">
        <v>1</v>
      </c>
      <c r="F305" s="13">
        <f>F306</f>
        <v>201386</v>
      </c>
      <c r="G305" s="2"/>
      <c r="I305" s="13">
        <v>190060.8</v>
      </c>
      <c r="J305" s="2"/>
      <c r="L305" s="114">
        <f t="shared" si="9"/>
        <v>11325.200000000012</v>
      </c>
      <c r="M305" s="114">
        <f t="shared" si="10"/>
        <v>0</v>
      </c>
    </row>
    <row r="306" spans="1:13" ht="31.5" outlineLevel="5">
      <c r="A306" s="19" t="s">
        <v>441</v>
      </c>
      <c r="B306" s="20" t="s">
        <v>14</v>
      </c>
      <c r="C306" s="20" t="s">
        <v>146</v>
      </c>
      <c r="D306" s="20" t="s">
        <v>151</v>
      </c>
      <c r="E306" s="20" t="s">
        <v>1</v>
      </c>
      <c r="F306" s="13">
        <f>F307</f>
        <v>201386</v>
      </c>
      <c r="G306" s="2"/>
      <c r="I306" s="13">
        <v>190060.8</v>
      </c>
      <c r="J306" s="2"/>
      <c r="L306" s="114">
        <f t="shared" si="9"/>
        <v>11325.200000000012</v>
      </c>
      <c r="M306" s="114">
        <f t="shared" si="10"/>
        <v>0</v>
      </c>
    </row>
    <row r="307" spans="1:13" ht="31.5" outlineLevel="6">
      <c r="A307" s="19" t="s">
        <v>693</v>
      </c>
      <c r="B307" s="20" t="s">
        <v>14</v>
      </c>
      <c r="C307" s="20" t="s">
        <v>146</v>
      </c>
      <c r="D307" s="20" t="s">
        <v>151</v>
      </c>
      <c r="E307" s="20" t="s">
        <v>17</v>
      </c>
      <c r="F307" s="13">
        <f>'Приложение_7 '!G210</f>
        <v>201386</v>
      </c>
      <c r="G307" s="1"/>
      <c r="I307" s="13">
        <v>190060.8</v>
      </c>
      <c r="J307" s="1"/>
      <c r="L307" s="114">
        <f t="shared" si="9"/>
        <v>11325.200000000012</v>
      </c>
      <c r="M307" s="114">
        <f t="shared" si="10"/>
        <v>0</v>
      </c>
    </row>
    <row r="308" spans="1:13" ht="47.25" outlineLevel="4">
      <c r="A308" s="19" t="s">
        <v>528</v>
      </c>
      <c r="B308" s="20" t="s">
        <v>14</v>
      </c>
      <c r="C308" s="20" t="s">
        <v>146</v>
      </c>
      <c r="D308" s="20" t="s">
        <v>152</v>
      </c>
      <c r="E308" s="20" t="s">
        <v>1</v>
      </c>
      <c r="F308" s="13">
        <f>F309+F313</f>
        <v>36206399.13</v>
      </c>
      <c r="G308" s="1"/>
      <c r="I308" s="13">
        <v>36204544.75</v>
      </c>
      <c r="J308" s="1"/>
      <c r="L308" s="114">
        <f t="shared" si="9"/>
        <v>1854.3800000026822</v>
      </c>
      <c r="M308" s="114">
        <f t="shared" si="10"/>
        <v>0</v>
      </c>
    </row>
    <row r="309" spans="1:13" ht="63" outlineLevel="5">
      <c r="A309" s="19" t="s">
        <v>443</v>
      </c>
      <c r="B309" s="20" t="s">
        <v>14</v>
      </c>
      <c r="C309" s="20" t="s">
        <v>146</v>
      </c>
      <c r="D309" s="20" t="s">
        <v>153</v>
      </c>
      <c r="E309" s="20" t="s">
        <v>1</v>
      </c>
      <c r="F309" s="13">
        <f>F310+F311+F312</f>
        <v>35617889.13</v>
      </c>
      <c r="G309" s="2"/>
      <c r="I309" s="13">
        <v>35616034.75</v>
      </c>
      <c r="J309" s="2"/>
      <c r="L309" s="114">
        <f t="shared" si="9"/>
        <v>1854.3800000026822</v>
      </c>
      <c r="M309" s="114">
        <f t="shared" si="10"/>
        <v>0</v>
      </c>
    </row>
    <row r="310" spans="1:13" ht="78.75" outlineLevel="6">
      <c r="A310" s="19" t="s">
        <v>708</v>
      </c>
      <c r="B310" s="20" t="s">
        <v>14</v>
      </c>
      <c r="C310" s="20" t="s">
        <v>146</v>
      </c>
      <c r="D310" s="20" t="s">
        <v>153</v>
      </c>
      <c r="E310" s="20" t="s">
        <v>10</v>
      </c>
      <c r="F310" s="13">
        <f>'Приложение_7 '!G213</f>
        <v>30196601.62</v>
      </c>
      <c r="G310" s="2"/>
      <c r="I310" s="13">
        <v>30196601.62</v>
      </c>
      <c r="J310" s="2"/>
      <c r="L310" s="114">
        <f t="shared" si="9"/>
        <v>0</v>
      </c>
      <c r="M310" s="114">
        <f t="shared" si="10"/>
        <v>0</v>
      </c>
    </row>
    <row r="311" spans="1:13" ht="31.5" outlineLevel="6">
      <c r="A311" s="19" t="s">
        <v>693</v>
      </c>
      <c r="B311" s="20" t="s">
        <v>14</v>
      </c>
      <c r="C311" s="20" t="s">
        <v>146</v>
      </c>
      <c r="D311" s="20" t="s">
        <v>153</v>
      </c>
      <c r="E311" s="20" t="s">
        <v>17</v>
      </c>
      <c r="F311" s="13">
        <f>'Приложение_7 '!G214</f>
        <v>5257042.01</v>
      </c>
      <c r="G311" s="2"/>
      <c r="I311" s="13">
        <v>5255187.63</v>
      </c>
      <c r="J311" s="2"/>
      <c r="L311" s="114">
        <f t="shared" si="9"/>
        <v>1854.3799999998882</v>
      </c>
      <c r="M311" s="114">
        <f t="shared" si="10"/>
        <v>0</v>
      </c>
    </row>
    <row r="312" spans="1:13" ht="15.75" outlineLevel="6">
      <c r="A312" s="19" t="s">
        <v>695</v>
      </c>
      <c r="B312" s="20" t="s">
        <v>14</v>
      </c>
      <c r="C312" s="20" t="s">
        <v>146</v>
      </c>
      <c r="D312" s="20" t="s">
        <v>153</v>
      </c>
      <c r="E312" s="20" t="s">
        <v>65</v>
      </c>
      <c r="F312" s="13">
        <f>'Приложение_7 '!G215</f>
        <v>164245.5</v>
      </c>
      <c r="G312" s="2"/>
      <c r="I312" s="13">
        <v>164245.5</v>
      </c>
      <c r="J312" s="2"/>
      <c r="L312" s="114">
        <f t="shared" si="9"/>
        <v>0</v>
      </c>
      <c r="M312" s="114">
        <f t="shared" si="10"/>
        <v>0</v>
      </c>
    </row>
    <row r="313" spans="1:13" ht="63" outlineLevel="5">
      <c r="A313" s="19" t="s">
        <v>432</v>
      </c>
      <c r="B313" s="20" t="s">
        <v>14</v>
      </c>
      <c r="C313" s="20" t="s">
        <v>146</v>
      </c>
      <c r="D313" s="20" t="s">
        <v>154</v>
      </c>
      <c r="E313" s="20" t="s">
        <v>1</v>
      </c>
      <c r="F313" s="13">
        <f>F314</f>
        <v>588510</v>
      </c>
      <c r="G313" s="2"/>
      <c r="I313" s="13">
        <v>588510</v>
      </c>
      <c r="J313" s="2"/>
      <c r="L313" s="114">
        <f t="shared" si="9"/>
        <v>0</v>
      </c>
      <c r="M313" s="114">
        <f t="shared" si="10"/>
        <v>0</v>
      </c>
    </row>
    <row r="314" spans="1:13" ht="78.75" outlineLevel="6">
      <c r="A314" s="19" t="s">
        <v>708</v>
      </c>
      <c r="B314" s="20" t="s">
        <v>14</v>
      </c>
      <c r="C314" s="20" t="s">
        <v>146</v>
      </c>
      <c r="D314" s="20" t="s">
        <v>154</v>
      </c>
      <c r="E314" s="20" t="s">
        <v>10</v>
      </c>
      <c r="F314" s="13">
        <f>'Приложение_7 '!G217</f>
        <v>588510</v>
      </c>
      <c r="G314" s="2"/>
      <c r="I314" s="13">
        <v>588510</v>
      </c>
      <c r="J314" s="2"/>
      <c r="L314" s="114">
        <f t="shared" si="9"/>
        <v>0</v>
      </c>
      <c r="M314" s="114">
        <f t="shared" si="10"/>
        <v>0</v>
      </c>
    </row>
    <row r="315" spans="1:13" ht="15.75" outlineLevel="4">
      <c r="A315" s="19" t="s">
        <v>529</v>
      </c>
      <c r="B315" s="20" t="s">
        <v>14</v>
      </c>
      <c r="C315" s="20" t="s">
        <v>146</v>
      </c>
      <c r="D315" s="20" t="s">
        <v>155</v>
      </c>
      <c r="E315" s="20" t="s">
        <v>1</v>
      </c>
      <c r="F315" s="13">
        <f>F316</f>
        <v>1075656.55</v>
      </c>
      <c r="G315" s="2"/>
      <c r="I315" s="13">
        <v>1106417.05</v>
      </c>
      <c r="J315" s="2"/>
      <c r="L315" s="114">
        <f t="shared" si="9"/>
        <v>-30760.5</v>
      </c>
      <c r="M315" s="114">
        <f t="shared" si="10"/>
        <v>0</v>
      </c>
    </row>
    <row r="316" spans="1:13" ht="31.5" outlineLevel="5">
      <c r="A316" s="19" t="s">
        <v>441</v>
      </c>
      <c r="B316" s="20" t="s">
        <v>14</v>
      </c>
      <c r="C316" s="20" t="s">
        <v>146</v>
      </c>
      <c r="D316" s="20" t="s">
        <v>156</v>
      </c>
      <c r="E316" s="20" t="s">
        <v>1</v>
      </c>
      <c r="F316" s="13">
        <f>F317</f>
        <v>1075656.55</v>
      </c>
      <c r="G316" s="1"/>
      <c r="I316" s="13">
        <v>1106417.05</v>
      </c>
      <c r="J316" s="1"/>
      <c r="L316" s="114">
        <f t="shared" si="9"/>
        <v>-30760.5</v>
      </c>
      <c r="M316" s="114">
        <f t="shared" si="10"/>
        <v>0</v>
      </c>
    </row>
    <row r="317" spans="1:13" ht="31.5" outlineLevel="6">
      <c r="A317" s="19" t="s">
        <v>693</v>
      </c>
      <c r="B317" s="20" t="s">
        <v>14</v>
      </c>
      <c r="C317" s="20" t="s">
        <v>146</v>
      </c>
      <c r="D317" s="20" t="s">
        <v>156</v>
      </c>
      <c r="E317" s="20" t="s">
        <v>17</v>
      </c>
      <c r="F317" s="13">
        <f>'Приложение_7 '!G220</f>
        <v>1075656.55</v>
      </c>
      <c r="G317" s="2"/>
      <c r="I317" s="13">
        <v>1106417.05</v>
      </c>
      <c r="J317" s="2"/>
      <c r="L317" s="114">
        <f t="shared" si="9"/>
        <v>-30760.5</v>
      </c>
      <c r="M317" s="114">
        <f t="shared" si="10"/>
        <v>0</v>
      </c>
    </row>
    <row r="318" spans="1:13" ht="63" outlineLevel="4">
      <c r="A318" s="19" t="s">
        <v>530</v>
      </c>
      <c r="B318" s="20" t="s">
        <v>14</v>
      </c>
      <c r="C318" s="20" t="s">
        <v>146</v>
      </c>
      <c r="D318" s="20" t="s">
        <v>157</v>
      </c>
      <c r="E318" s="20" t="s">
        <v>1</v>
      </c>
      <c r="F318" s="13">
        <f>F319</f>
        <v>3000000</v>
      </c>
      <c r="G318" s="2"/>
      <c r="I318" s="13">
        <v>3000000</v>
      </c>
      <c r="J318" s="2"/>
      <c r="L318" s="114">
        <f t="shared" si="9"/>
        <v>0</v>
      </c>
      <c r="M318" s="114">
        <f t="shared" si="10"/>
        <v>0</v>
      </c>
    </row>
    <row r="319" spans="1:13" ht="31.5" outlineLevel="5">
      <c r="A319" s="19" t="s">
        <v>441</v>
      </c>
      <c r="B319" s="20" t="s">
        <v>14</v>
      </c>
      <c r="C319" s="20" t="s">
        <v>146</v>
      </c>
      <c r="D319" s="20" t="s">
        <v>158</v>
      </c>
      <c r="E319" s="20" t="s">
        <v>1</v>
      </c>
      <c r="F319" s="13">
        <f>F320</f>
        <v>3000000</v>
      </c>
      <c r="G319" s="2"/>
      <c r="I319" s="13">
        <v>3000000</v>
      </c>
      <c r="J319" s="2"/>
      <c r="L319" s="114">
        <f t="shared" si="9"/>
        <v>0</v>
      </c>
      <c r="M319" s="114">
        <f t="shared" si="10"/>
        <v>0</v>
      </c>
    </row>
    <row r="320" spans="1:13" ht="31.5" outlineLevel="6">
      <c r="A320" s="19" t="s">
        <v>693</v>
      </c>
      <c r="B320" s="20" t="s">
        <v>14</v>
      </c>
      <c r="C320" s="20" t="s">
        <v>146</v>
      </c>
      <c r="D320" s="20" t="s">
        <v>158</v>
      </c>
      <c r="E320" s="20" t="s">
        <v>17</v>
      </c>
      <c r="F320" s="13">
        <f>'Приложение_7 '!G223</f>
        <v>3000000</v>
      </c>
      <c r="G320" s="2"/>
      <c r="I320" s="13">
        <v>3000000</v>
      </c>
      <c r="J320" s="2"/>
      <c r="L320" s="114">
        <f t="shared" si="9"/>
        <v>0</v>
      </c>
      <c r="M320" s="114">
        <f t="shared" si="10"/>
        <v>0</v>
      </c>
    </row>
    <row r="321" spans="1:13" ht="47.25" outlineLevel="6">
      <c r="A321" s="76" t="s">
        <v>1259</v>
      </c>
      <c r="B321" s="77" t="s">
        <v>14</v>
      </c>
      <c r="C321" s="77" t="s">
        <v>146</v>
      </c>
      <c r="D321" s="77" t="s">
        <v>1260</v>
      </c>
      <c r="E321" s="77" t="s">
        <v>1</v>
      </c>
      <c r="F321" s="13">
        <f>F322</f>
        <v>730000</v>
      </c>
      <c r="G321" s="2"/>
      <c r="I321" s="13"/>
      <c r="J321" s="2"/>
      <c r="L321" s="114"/>
      <c r="M321" s="114"/>
    </row>
    <row r="322" spans="1:13" ht="31.5" outlineLevel="6">
      <c r="A322" s="76" t="s">
        <v>441</v>
      </c>
      <c r="B322" s="77" t="s">
        <v>14</v>
      </c>
      <c r="C322" s="77" t="s">
        <v>146</v>
      </c>
      <c r="D322" s="77" t="s">
        <v>1261</v>
      </c>
      <c r="E322" s="77" t="s">
        <v>1</v>
      </c>
      <c r="F322" s="13">
        <f>F323</f>
        <v>730000</v>
      </c>
      <c r="G322" s="2"/>
      <c r="I322" s="13"/>
      <c r="J322" s="2"/>
      <c r="L322" s="114"/>
      <c r="M322" s="114"/>
    </row>
    <row r="323" spans="1:13" ht="31.5" outlineLevel="6">
      <c r="A323" s="76" t="s">
        <v>693</v>
      </c>
      <c r="B323" s="77" t="s">
        <v>14</v>
      </c>
      <c r="C323" s="77" t="s">
        <v>146</v>
      </c>
      <c r="D323" s="77" t="s">
        <v>1261</v>
      </c>
      <c r="E323" s="77" t="s">
        <v>17</v>
      </c>
      <c r="F323" s="13">
        <f>'Приложение_7 '!G226</f>
        <v>730000</v>
      </c>
      <c r="G323" s="2"/>
      <c r="I323" s="13"/>
      <c r="J323" s="2"/>
      <c r="L323" s="114"/>
      <c r="M323" s="114"/>
    </row>
    <row r="324" spans="1:13" ht="31.5" outlineLevel="2">
      <c r="A324" s="82" t="s">
        <v>659</v>
      </c>
      <c r="B324" s="83" t="s">
        <v>14</v>
      </c>
      <c r="C324" s="83" t="s">
        <v>146</v>
      </c>
      <c r="D324" s="83" t="s">
        <v>90</v>
      </c>
      <c r="E324" s="83" t="s">
        <v>1</v>
      </c>
      <c r="F324" s="12">
        <f>F325</f>
        <v>324247.05</v>
      </c>
      <c r="G324" s="1"/>
      <c r="I324" s="12">
        <v>334853.72</v>
      </c>
      <c r="J324" s="1"/>
      <c r="L324" s="114">
        <f t="shared" si="9"/>
        <v>-10606.669999999984</v>
      </c>
      <c r="M324" s="114">
        <f t="shared" si="10"/>
        <v>0</v>
      </c>
    </row>
    <row r="325" spans="1:13" ht="47.25" outlineLevel="3">
      <c r="A325" s="82" t="s">
        <v>624</v>
      </c>
      <c r="B325" s="83" t="s">
        <v>14</v>
      </c>
      <c r="C325" s="83" t="s">
        <v>146</v>
      </c>
      <c r="D325" s="83" t="s">
        <v>91</v>
      </c>
      <c r="E325" s="83" t="s">
        <v>1</v>
      </c>
      <c r="F325" s="12">
        <f>F326</f>
        <v>324247.05</v>
      </c>
      <c r="G325" s="1"/>
      <c r="I325" s="12">
        <v>334853.72</v>
      </c>
      <c r="J325" s="1"/>
      <c r="L325" s="114">
        <f t="shared" si="9"/>
        <v>-10606.669999999984</v>
      </c>
      <c r="M325" s="114">
        <f t="shared" si="10"/>
        <v>0</v>
      </c>
    </row>
    <row r="326" spans="1:13" ht="31.5" outlineLevel="4">
      <c r="A326" s="19" t="s">
        <v>510</v>
      </c>
      <c r="B326" s="20" t="s">
        <v>14</v>
      </c>
      <c r="C326" s="20" t="s">
        <v>146</v>
      </c>
      <c r="D326" s="20" t="s">
        <v>100</v>
      </c>
      <c r="E326" s="20" t="s">
        <v>1</v>
      </c>
      <c r="F326" s="13">
        <f>F327</f>
        <v>324247.05</v>
      </c>
      <c r="G326" s="2"/>
      <c r="I326" s="13">
        <v>334853.72</v>
      </c>
      <c r="J326" s="2"/>
      <c r="L326" s="114">
        <f t="shared" si="9"/>
        <v>-10606.669999999984</v>
      </c>
      <c r="M326" s="114">
        <f t="shared" si="10"/>
        <v>0</v>
      </c>
    </row>
    <row r="327" spans="1:13" ht="31.5" outlineLevel="5">
      <c r="A327" s="19" t="s">
        <v>441</v>
      </c>
      <c r="B327" s="20" t="s">
        <v>14</v>
      </c>
      <c r="C327" s="20" t="s">
        <v>146</v>
      </c>
      <c r="D327" s="20" t="s">
        <v>101</v>
      </c>
      <c r="E327" s="20" t="s">
        <v>1</v>
      </c>
      <c r="F327" s="13">
        <f>F328</f>
        <v>324247.05</v>
      </c>
      <c r="G327" s="2"/>
      <c r="I327" s="13">
        <v>334853.72</v>
      </c>
      <c r="J327" s="2"/>
      <c r="L327" s="114">
        <f t="shared" si="9"/>
        <v>-10606.669999999984</v>
      </c>
      <c r="M327" s="114">
        <f t="shared" si="10"/>
        <v>0</v>
      </c>
    </row>
    <row r="328" spans="1:13" ht="31.5" outlineLevel="6">
      <c r="A328" s="19" t="s">
        <v>693</v>
      </c>
      <c r="B328" s="20" t="s">
        <v>14</v>
      </c>
      <c r="C328" s="20" t="s">
        <v>146</v>
      </c>
      <c r="D328" s="20" t="s">
        <v>101</v>
      </c>
      <c r="E328" s="20" t="s">
        <v>17</v>
      </c>
      <c r="F328" s="13">
        <f>'Приложение_7 '!G231</f>
        <v>324247.05</v>
      </c>
      <c r="G328" s="2"/>
      <c r="I328" s="13">
        <v>334853.72</v>
      </c>
      <c r="J328" s="2"/>
      <c r="L328" s="114">
        <f t="shared" si="9"/>
        <v>-10606.669999999984</v>
      </c>
      <c r="M328" s="114">
        <f t="shared" si="10"/>
        <v>0</v>
      </c>
    </row>
    <row r="329" spans="1:13" s="113" customFormat="1" ht="15.75">
      <c r="A329" s="82" t="s">
        <v>698</v>
      </c>
      <c r="B329" s="83" t="s">
        <v>22</v>
      </c>
      <c r="C329" s="83" t="s">
        <v>3</v>
      </c>
      <c r="D329" s="83" t="s">
        <v>4</v>
      </c>
      <c r="E329" s="83" t="s">
        <v>1</v>
      </c>
      <c r="F329" s="12">
        <f>F330+F338+F351+F384+F403</f>
        <v>191316633.86</v>
      </c>
      <c r="G329" s="12">
        <f>G330+G338+G351+G384+G403</f>
        <v>25048985.12</v>
      </c>
      <c r="I329" s="12">
        <v>182565485.15</v>
      </c>
      <c r="J329" s="1">
        <f>J331+J338+J351+J384+J403</f>
        <v>4682946.8</v>
      </c>
      <c r="L329" s="114">
        <f t="shared" si="9"/>
        <v>8751148.710000008</v>
      </c>
      <c r="M329" s="114">
        <f t="shared" si="10"/>
        <v>20366038.32</v>
      </c>
    </row>
    <row r="330" spans="1:13" s="113" customFormat="1" ht="15.75" outlineLevel="1">
      <c r="A330" s="82" t="s">
        <v>671</v>
      </c>
      <c r="B330" s="83" t="s">
        <v>22</v>
      </c>
      <c r="C330" s="83" t="s">
        <v>159</v>
      </c>
      <c r="D330" s="83" t="s">
        <v>4</v>
      </c>
      <c r="E330" s="83" t="s">
        <v>1</v>
      </c>
      <c r="F330" s="12">
        <f aca="true" t="shared" si="11" ref="F330:G332">F331</f>
        <v>3608380</v>
      </c>
      <c r="G330" s="12">
        <f t="shared" si="11"/>
        <v>3608380</v>
      </c>
      <c r="I330" s="12">
        <v>3608380</v>
      </c>
      <c r="J330" s="1">
        <f>I330</f>
        <v>3608380</v>
      </c>
      <c r="L330" s="114">
        <f t="shared" si="9"/>
        <v>0</v>
      </c>
      <c r="M330" s="114">
        <f t="shared" si="10"/>
        <v>0</v>
      </c>
    </row>
    <row r="331" spans="1:13" ht="63" outlineLevel="2">
      <c r="A331" s="82" t="s">
        <v>660</v>
      </c>
      <c r="B331" s="83" t="s">
        <v>22</v>
      </c>
      <c r="C331" s="83" t="s">
        <v>159</v>
      </c>
      <c r="D331" s="83" t="s">
        <v>160</v>
      </c>
      <c r="E331" s="83" t="s">
        <v>1</v>
      </c>
      <c r="F331" s="12">
        <f t="shared" si="11"/>
        <v>3608380</v>
      </c>
      <c r="G331" s="12">
        <f t="shared" si="11"/>
        <v>3608380</v>
      </c>
      <c r="I331" s="12">
        <v>3608380</v>
      </c>
      <c r="J331" s="12">
        <v>3608380</v>
      </c>
      <c r="L331" s="114">
        <f t="shared" si="9"/>
        <v>0</v>
      </c>
      <c r="M331" s="114">
        <f t="shared" si="10"/>
        <v>0</v>
      </c>
    </row>
    <row r="332" spans="1:13" ht="47.25" outlineLevel="3">
      <c r="A332" s="82" t="s">
        <v>630</v>
      </c>
      <c r="B332" s="83" t="s">
        <v>22</v>
      </c>
      <c r="C332" s="83" t="s">
        <v>159</v>
      </c>
      <c r="D332" s="83" t="s">
        <v>161</v>
      </c>
      <c r="E332" s="83" t="s">
        <v>1</v>
      </c>
      <c r="F332" s="12">
        <f t="shared" si="11"/>
        <v>3608380</v>
      </c>
      <c r="G332" s="12">
        <f t="shared" si="11"/>
        <v>3608380</v>
      </c>
      <c r="I332" s="12">
        <v>3608380</v>
      </c>
      <c r="J332" s="12">
        <v>3608380</v>
      </c>
      <c r="L332" s="114">
        <f t="shared" si="9"/>
        <v>0</v>
      </c>
      <c r="M332" s="114">
        <f t="shared" si="10"/>
        <v>0</v>
      </c>
    </row>
    <row r="333" spans="1:13" ht="31.5" outlineLevel="4">
      <c r="A333" s="19" t="s">
        <v>531</v>
      </c>
      <c r="B333" s="20" t="s">
        <v>22</v>
      </c>
      <c r="C333" s="20" t="s">
        <v>159</v>
      </c>
      <c r="D333" s="20" t="s">
        <v>162</v>
      </c>
      <c r="E333" s="20" t="s">
        <v>1</v>
      </c>
      <c r="F333" s="13">
        <f>F334+F336</f>
        <v>3608380</v>
      </c>
      <c r="G333" s="13">
        <f>G334+G336</f>
        <v>3608380</v>
      </c>
      <c r="I333" s="13">
        <v>3608380</v>
      </c>
      <c r="J333" s="13">
        <v>3608380</v>
      </c>
      <c r="L333" s="114">
        <f t="shared" si="9"/>
        <v>0</v>
      </c>
      <c r="M333" s="114">
        <f t="shared" si="10"/>
        <v>0</v>
      </c>
    </row>
    <row r="334" spans="1:13" ht="31.5" outlineLevel="5">
      <c r="A334" s="19" t="s">
        <v>450</v>
      </c>
      <c r="B334" s="20" t="s">
        <v>22</v>
      </c>
      <c r="C334" s="20" t="s">
        <v>159</v>
      </c>
      <c r="D334" s="20" t="s">
        <v>163</v>
      </c>
      <c r="E334" s="20" t="s">
        <v>1</v>
      </c>
      <c r="F334" s="13">
        <f>F335</f>
        <v>3590760</v>
      </c>
      <c r="G334" s="13">
        <f>G335</f>
        <v>3590760</v>
      </c>
      <c r="I334" s="13">
        <v>3590760</v>
      </c>
      <c r="J334" s="13">
        <v>3590760</v>
      </c>
      <c r="L334" s="114">
        <f t="shared" si="9"/>
        <v>0</v>
      </c>
      <c r="M334" s="114">
        <f t="shared" si="10"/>
        <v>0</v>
      </c>
    </row>
    <row r="335" spans="1:13" ht="31.5" outlineLevel="6">
      <c r="A335" s="19" t="s">
        <v>693</v>
      </c>
      <c r="B335" s="20" t="s">
        <v>22</v>
      </c>
      <c r="C335" s="20" t="s">
        <v>159</v>
      </c>
      <c r="D335" s="20" t="s">
        <v>163</v>
      </c>
      <c r="E335" s="20" t="s">
        <v>17</v>
      </c>
      <c r="F335" s="13">
        <f>'Приложение_7 '!G384</f>
        <v>3590760</v>
      </c>
      <c r="G335" s="13">
        <f>F335</f>
        <v>3590760</v>
      </c>
      <c r="I335" s="13">
        <v>3590760</v>
      </c>
      <c r="J335" s="13">
        <v>3590760</v>
      </c>
      <c r="L335" s="114">
        <f t="shared" si="9"/>
        <v>0</v>
      </c>
      <c r="M335" s="114">
        <f t="shared" si="10"/>
        <v>0</v>
      </c>
    </row>
    <row r="336" spans="1:13" ht="63" outlineLevel="5">
      <c r="A336" s="19" t="s">
        <v>451</v>
      </c>
      <c r="B336" s="20" t="s">
        <v>22</v>
      </c>
      <c r="C336" s="20" t="s">
        <v>159</v>
      </c>
      <c r="D336" s="20" t="s">
        <v>164</v>
      </c>
      <c r="E336" s="20" t="s">
        <v>1</v>
      </c>
      <c r="F336" s="13">
        <f>F337</f>
        <v>17620</v>
      </c>
      <c r="G336" s="13">
        <f>G337</f>
        <v>17620</v>
      </c>
      <c r="I336" s="13">
        <v>17620</v>
      </c>
      <c r="J336" s="13">
        <v>17620</v>
      </c>
      <c r="L336" s="114">
        <f t="shared" si="9"/>
        <v>0</v>
      </c>
      <c r="M336" s="114">
        <f t="shared" si="10"/>
        <v>0</v>
      </c>
    </row>
    <row r="337" spans="1:13" ht="31.5" outlineLevel="6">
      <c r="A337" s="19" t="s">
        <v>693</v>
      </c>
      <c r="B337" s="20" t="s">
        <v>22</v>
      </c>
      <c r="C337" s="20" t="s">
        <v>159</v>
      </c>
      <c r="D337" s="20" t="s">
        <v>164</v>
      </c>
      <c r="E337" s="20" t="s">
        <v>17</v>
      </c>
      <c r="F337" s="13">
        <f>'Приложение_7 '!G386</f>
        <v>17620</v>
      </c>
      <c r="G337" s="13">
        <f>F337</f>
        <v>17620</v>
      </c>
      <c r="I337" s="13">
        <v>17620</v>
      </c>
      <c r="J337" s="13">
        <v>17620</v>
      </c>
      <c r="L337" s="114">
        <f t="shared" si="9"/>
        <v>0</v>
      </c>
      <c r="M337" s="114">
        <f t="shared" si="10"/>
        <v>0</v>
      </c>
    </row>
    <row r="338" spans="1:13" s="113" customFormat="1" ht="15.75" outlineLevel="1">
      <c r="A338" s="82" t="s">
        <v>672</v>
      </c>
      <c r="B338" s="83" t="s">
        <v>22</v>
      </c>
      <c r="C338" s="83" t="s">
        <v>165</v>
      </c>
      <c r="D338" s="83" t="s">
        <v>4</v>
      </c>
      <c r="E338" s="83" t="s">
        <v>1</v>
      </c>
      <c r="F338" s="12">
        <f>F339</f>
        <v>23798783.1</v>
      </c>
      <c r="G338" s="12">
        <f>G339</f>
        <v>1038366.8</v>
      </c>
      <c r="I338" s="12">
        <v>27473341.8</v>
      </c>
      <c r="J338" s="1">
        <f>J339</f>
        <v>1038366.8</v>
      </c>
      <c r="L338" s="114">
        <f t="shared" si="9"/>
        <v>-3674558.6999999993</v>
      </c>
      <c r="M338" s="114">
        <f t="shared" si="10"/>
        <v>0</v>
      </c>
    </row>
    <row r="339" spans="1:13" ht="63" outlineLevel="2">
      <c r="A339" s="82" t="s">
        <v>660</v>
      </c>
      <c r="B339" s="83" t="s">
        <v>22</v>
      </c>
      <c r="C339" s="83" t="s">
        <v>165</v>
      </c>
      <c r="D339" s="83" t="s">
        <v>160</v>
      </c>
      <c r="E339" s="83" t="s">
        <v>1</v>
      </c>
      <c r="F339" s="12">
        <f>F340</f>
        <v>23798783.1</v>
      </c>
      <c r="G339" s="1">
        <f>G340</f>
        <v>1038366.8</v>
      </c>
      <c r="I339" s="12">
        <v>27473341.8</v>
      </c>
      <c r="J339" s="1">
        <f>J340</f>
        <v>1038366.8</v>
      </c>
      <c r="L339" s="114">
        <f t="shared" si="9"/>
        <v>-3674558.6999999993</v>
      </c>
      <c r="M339" s="114">
        <f t="shared" si="10"/>
        <v>0</v>
      </c>
    </row>
    <row r="340" spans="1:13" ht="31.5" outlineLevel="3">
      <c r="A340" s="82" t="s">
        <v>631</v>
      </c>
      <c r="B340" s="83" t="s">
        <v>22</v>
      </c>
      <c r="C340" s="83" t="s">
        <v>165</v>
      </c>
      <c r="D340" s="83" t="s">
        <v>166</v>
      </c>
      <c r="E340" s="83" t="s">
        <v>1</v>
      </c>
      <c r="F340" s="12">
        <f>F341+F344+F347</f>
        <v>23798783.1</v>
      </c>
      <c r="G340" s="12">
        <f>G341+G344+G347</f>
        <v>1038366.8</v>
      </c>
      <c r="I340" s="12">
        <v>27473341.8</v>
      </c>
      <c r="J340" s="1">
        <f>J344</f>
        <v>1038366.8</v>
      </c>
      <c r="L340" s="114">
        <f t="shared" si="9"/>
        <v>-3674558.6999999993</v>
      </c>
      <c r="M340" s="114">
        <f t="shared" si="10"/>
        <v>0</v>
      </c>
    </row>
    <row r="341" spans="1:13" ht="63" outlineLevel="4">
      <c r="A341" s="19" t="s">
        <v>532</v>
      </c>
      <c r="B341" s="20" t="s">
        <v>22</v>
      </c>
      <c r="C341" s="20" t="s">
        <v>165</v>
      </c>
      <c r="D341" s="20" t="s">
        <v>167</v>
      </c>
      <c r="E341" s="20" t="s">
        <v>1</v>
      </c>
      <c r="F341" s="13">
        <f>F342</f>
        <v>18893000</v>
      </c>
      <c r="G341" s="2"/>
      <c r="I341" s="13">
        <v>18893000</v>
      </c>
      <c r="J341" s="2"/>
      <c r="L341" s="114">
        <f t="shared" si="9"/>
        <v>0</v>
      </c>
      <c r="M341" s="114">
        <f t="shared" si="10"/>
        <v>0</v>
      </c>
    </row>
    <row r="342" spans="1:13" ht="47.25" outlineLevel="5">
      <c r="A342" s="19" t="s">
        <v>452</v>
      </c>
      <c r="B342" s="20" t="s">
        <v>22</v>
      </c>
      <c r="C342" s="20" t="s">
        <v>165</v>
      </c>
      <c r="D342" s="20" t="s">
        <v>168</v>
      </c>
      <c r="E342" s="20" t="s">
        <v>1</v>
      </c>
      <c r="F342" s="13">
        <f>F343</f>
        <v>18893000</v>
      </c>
      <c r="G342" s="2"/>
      <c r="I342" s="13">
        <v>18893000</v>
      </c>
      <c r="J342" s="2"/>
      <c r="L342" s="114">
        <f t="shared" si="9"/>
        <v>0</v>
      </c>
      <c r="M342" s="114">
        <f t="shared" si="10"/>
        <v>0</v>
      </c>
    </row>
    <row r="343" spans="1:13" ht="15.75" outlineLevel="6">
      <c r="A343" s="19" t="s">
        <v>695</v>
      </c>
      <c r="B343" s="20" t="s">
        <v>22</v>
      </c>
      <c r="C343" s="20" t="s">
        <v>165</v>
      </c>
      <c r="D343" s="20" t="s">
        <v>168</v>
      </c>
      <c r="E343" s="20" t="s">
        <v>65</v>
      </c>
      <c r="F343" s="13">
        <f>'Приложение_7 '!G238</f>
        <v>18893000</v>
      </c>
      <c r="G343" s="2"/>
      <c r="I343" s="13">
        <v>18893000</v>
      </c>
      <c r="J343" s="2"/>
      <c r="L343" s="114">
        <f t="shared" si="9"/>
        <v>0</v>
      </c>
      <c r="M343" s="114">
        <f t="shared" si="10"/>
        <v>0</v>
      </c>
    </row>
    <row r="344" spans="1:13" ht="78.75" outlineLevel="4">
      <c r="A344" s="19" t="s">
        <v>533</v>
      </c>
      <c r="B344" s="20" t="s">
        <v>22</v>
      </c>
      <c r="C344" s="20" t="s">
        <v>165</v>
      </c>
      <c r="D344" s="20" t="s">
        <v>169</v>
      </c>
      <c r="E344" s="20" t="s">
        <v>1</v>
      </c>
      <c r="F344" s="13">
        <f>F345</f>
        <v>1038366.8</v>
      </c>
      <c r="G344" s="13">
        <f>G345</f>
        <v>1038366.8</v>
      </c>
      <c r="I344" s="13">
        <v>1038366.8</v>
      </c>
      <c r="J344" s="13">
        <v>1038366.8</v>
      </c>
      <c r="L344" s="114">
        <f t="shared" si="9"/>
        <v>0</v>
      </c>
      <c r="M344" s="114">
        <f t="shared" si="10"/>
        <v>0</v>
      </c>
    </row>
    <row r="345" spans="1:13" ht="94.5" outlineLevel="5">
      <c r="A345" s="19" t="s">
        <v>453</v>
      </c>
      <c r="B345" s="20" t="s">
        <v>22</v>
      </c>
      <c r="C345" s="20" t="s">
        <v>165</v>
      </c>
      <c r="D345" s="20" t="s">
        <v>170</v>
      </c>
      <c r="E345" s="20" t="s">
        <v>1</v>
      </c>
      <c r="F345" s="13">
        <f>F346</f>
        <v>1038366.8</v>
      </c>
      <c r="G345" s="13">
        <f>G346</f>
        <v>1038366.8</v>
      </c>
      <c r="I345" s="13">
        <v>1038366.8</v>
      </c>
      <c r="J345" s="13">
        <v>1038366.8</v>
      </c>
      <c r="L345" s="114">
        <f t="shared" si="9"/>
        <v>0</v>
      </c>
      <c r="M345" s="114">
        <f t="shared" si="10"/>
        <v>0</v>
      </c>
    </row>
    <row r="346" spans="1:13" ht="29.25" customHeight="1" outlineLevel="6">
      <c r="A346" s="19" t="s">
        <v>695</v>
      </c>
      <c r="B346" s="20" t="s">
        <v>22</v>
      </c>
      <c r="C346" s="20" t="s">
        <v>165</v>
      </c>
      <c r="D346" s="20" t="s">
        <v>170</v>
      </c>
      <c r="E346" s="20" t="s">
        <v>65</v>
      </c>
      <c r="F346" s="13">
        <f>'Приложение_7 '!G241</f>
        <v>1038366.8</v>
      </c>
      <c r="G346" s="13">
        <f>F346</f>
        <v>1038366.8</v>
      </c>
      <c r="I346" s="13">
        <v>1038366.8</v>
      </c>
      <c r="J346" s="13">
        <v>1038366.8</v>
      </c>
      <c r="L346" s="114">
        <f t="shared" si="9"/>
        <v>0</v>
      </c>
      <c r="M346" s="114">
        <f t="shared" si="10"/>
        <v>0</v>
      </c>
    </row>
    <row r="347" spans="1:13" ht="15.75" outlineLevel="4">
      <c r="A347" s="19" t="s">
        <v>534</v>
      </c>
      <c r="B347" s="20" t="s">
        <v>22</v>
      </c>
      <c r="C347" s="20" t="s">
        <v>165</v>
      </c>
      <c r="D347" s="20" t="s">
        <v>171</v>
      </c>
      <c r="E347" s="20" t="s">
        <v>1</v>
      </c>
      <c r="F347" s="13">
        <f>F348</f>
        <v>3867416.3</v>
      </c>
      <c r="G347" s="2"/>
      <c r="I347" s="13">
        <v>7541975</v>
      </c>
      <c r="J347" s="2"/>
      <c r="L347" s="114">
        <f t="shared" si="9"/>
        <v>-3674558.7</v>
      </c>
      <c r="M347" s="114">
        <f t="shared" si="10"/>
        <v>0</v>
      </c>
    </row>
    <row r="348" spans="1:13" ht="31.5" outlineLevel="5">
      <c r="A348" s="19" t="s">
        <v>441</v>
      </c>
      <c r="B348" s="20" t="s">
        <v>22</v>
      </c>
      <c r="C348" s="20" t="s">
        <v>165</v>
      </c>
      <c r="D348" s="20" t="s">
        <v>172</v>
      </c>
      <c r="E348" s="20" t="s">
        <v>1</v>
      </c>
      <c r="F348" s="13">
        <f>F349+F350</f>
        <v>3867416.3</v>
      </c>
      <c r="G348" s="2"/>
      <c r="I348" s="13">
        <v>7541975</v>
      </c>
      <c r="J348" s="2"/>
      <c r="L348" s="114">
        <f t="shared" si="9"/>
        <v>-3674558.7</v>
      </c>
      <c r="M348" s="114">
        <f t="shared" si="10"/>
        <v>0</v>
      </c>
    </row>
    <row r="349" spans="1:13" ht="31.5" outlineLevel="6">
      <c r="A349" s="19" t="s">
        <v>693</v>
      </c>
      <c r="B349" s="20" t="s">
        <v>22</v>
      </c>
      <c r="C349" s="20" t="s">
        <v>165</v>
      </c>
      <c r="D349" s="20" t="s">
        <v>172</v>
      </c>
      <c r="E349" s="20" t="s">
        <v>17</v>
      </c>
      <c r="F349" s="13">
        <f>'Приложение_7 '!G244</f>
        <v>3857416.3</v>
      </c>
      <c r="G349" s="2"/>
      <c r="I349" s="13">
        <v>7531975</v>
      </c>
      <c r="J349" s="2"/>
      <c r="L349" s="114">
        <f t="shared" si="9"/>
        <v>-3674558.7</v>
      </c>
      <c r="M349" s="114">
        <f t="shared" si="10"/>
        <v>0</v>
      </c>
    </row>
    <row r="350" spans="1:13" ht="15.75" outlineLevel="6">
      <c r="A350" s="19" t="s">
        <v>695</v>
      </c>
      <c r="B350" s="20" t="s">
        <v>22</v>
      </c>
      <c r="C350" s="20" t="s">
        <v>165</v>
      </c>
      <c r="D350" s="20" t="s">
        <v>172</v>
      </c>
      <c r="E350" s="20" t="s">
        <v>65</v>
      </c>
      <c r="F350" s="13">
        <f>'Приложение_7 '!G245</f>
        <v>10000</v>
      </c>
      <c r="G350" s="2"/>
      <c r="I350" s="13">
        <v>10000</v>
      </c>
      <c r="J350" s="2"/>
      <c r="L350" s="114">
        <f t="shared" si="9"/>
        <v>0</v>
      </c>
      <c r="M350" s="114">
        <f t="shared" si="10"/>
        <v>0</v>
      </c>
    </row>
    <row r="351" spans="1:13" ht="21.75" customHeight="1" outlineLevel="1">
      <c r="A351" s="82" t="s">
        <v>673</v>
      </c>
      <c r="B351" s="83" t="s">
        <v>22</v>
      </c>
      <c r="C351" s="83" t="s">
        <v>146</v>
      </c>
      <c r="D351" s="83" t="s">
        <v>4</v>
      </c>
      <c r="E351" s="83" t="s">
        <v>1</v>
      </c>
      <c r="F351" s="12">
        <f>F352+F360+F381</f>
        <v>126459100.59000002</v>
      </c>
      <c r="G351" s="12">
        <f>G352+G360+G381</f>
        <v>20366038.32</v>
      </c>
      <c r="I351" s="12">
        <v>112507053.16</v>
      </c>
      <c r="J351" s="1"/>
      <c r="L351" s="114">
        <f t="shared" si="9"/>
        <v>13952047.430000022</v>
      </c>
      <c r="M351" s="114">
        <f t="shared" si="10"/>
        <v>20366038.32</v>
      </c>
    </row>
    <row r="352" spans="1:13" ht="47.25" outlineLevel="2">
      <c r="A352" s="82" t="s">
        <v>658</v>
      </c>
      <c r="B352" s="83" t="s">
        <v>22</v>
      </c>
      <c r="C352" s="83" t="s">
        <v>146</v>
      </c>
      <c r="D352" s="83" t="s">
        <v>71</v>
      </c>
      <c r="E352" s="83" t="s">
        <v>1</v>
      </c>
      <c r="F352" s="12">
        <f>F353</f>
        <v>42710.07999999984</v>
      </c>
      <c r="G352" s="1"/>
      <c r="I352" s="12">
        <v>5797981</v>
      </c>
      <c r="J352" s="1"/>
      <c r="L352" s="114">
        <f t="shared" si="9"/>
        <v>-5755270.92</v>
      </c>
      <c r="M352" s="114">
        <f t="shared" si="10"/>
        <v>0</v>
      </c>
    </row>
    <row r="353" spans="1:13" ht="74.25" customHeight="1" outlineLevel="3">
      <c r="A353" s="82" t="s">
        <v>632</v>
      </c>
      <c r="B353" s="83" t="s">
        <v>22</v>
      </c>
      <c r="C353" s="83" t="s">
        <v>146</v>
      </c>
      <c r="D353" s="83" t="s">
        <v>173</v>
      </c>
      <c r="E353" s="83" t="s">
        <v>1</v>
      </c>
      <c r="F353" s="12">
        <f>F354+F357</f>
        <v>42710.07999999984</v>
      </c>
      <c r="G353" s="1"/>
      <c r="I353" s="12">
        <v>5797981</v>
      </c>
      <c r="J353" s="1"/>
      <c r="L353" s="114">
        <f t="shared" si="9"/>
        <v>-5755270.92</v>
      </c>
      <c r="M353" s="114">
        <f t="shared" si="10"/>
        <v>0</v>
      </c>
    </row>
    <row r="354" spans="1:13" ht="47.25" outlineLevel="4">
      <c r="A354" s="19" t="s">
        <v>535</v>
      </c>
      <c r="B354" s="20" t="s">
        <v>22</v>
      </c>
      <c r="C354" s="20" t="s">
        <v>146</v>
      </c>
      <c r="D354" s="20" t="s">
        <v>174</v>
      </c>
      <c r="E354" s="20" t="s">
        <v>1</v>
      </c>
      <c r="F354" s="13">
        <f>F355</f>
        <v>42710.07999999984</v>
      </c>
      <c r="G354" s="1"/>
      <c r="I354" s="13">
        <v>4053741</v>
      </c>
      <c r="J354" s="1"/>
      <c r="L354" s="114">
        <f t="shared" si="9"/>
        <v>-4011030.92</v>
      </c>
      <c r="M354" s="114">
        <f t="shared" si="10"/>
        <v>0</v>
      </c>
    </row>
    <row r="355" spans="1:13" ht="31.5" outlineLevel="5">
      <c r="A355" s="19" t="s">
        <v>441</v>
      </c>
      <c r="B355" s="20" t="s">
        <v>22</v>
      </c>
      <c r="C355" s="20" t="s">
        <v>146</v>
      </c>
      <c r="D355" s="20" t="s">
        <v>175</v>
      </c>
      <c r="E355" s="20" t="s">
        <v>1</v>
      </c>
      <c r="F355" s="13">
        <f>F356</f>
        <v>42710.07999999984</v>
      </c>
      <c r="G355" s="2"/>
      <c r="I355" s="13">
        <v>4053741</v>
      </c>
      <c r="J355" s="2"/>
      <c r="L355" s="114">
        <f t="shared" si="9"/>
        <v>-4011030.92</v>
      </c>
      <c r="M355" s="114">
        <f t="shared" si="10"/>
        <v>0</v>
      </c>
    </row>
    <row r="356" spans="1:13" ht="31.5" outlineLevel="6">
      <c r="A356" s="19" t="s">
        <v>693</v>
      </c>
      <c r="B356" s="20" t="s">
        <v>22</v>
      </c>
      <c r="C356" s="20" t="s">
        <v>146</v>
      </c>
      <c r="D356" s="20" t="s">
        <v>175</v>
      </c>
      <c r="E356" s="20" t="s">
        <v>17</v>
      </c>
      <c r="F356" s="13">
        <f>'Приложение_7 '!G392</f>
        <v>42710.07999999984</v>
      </c>
      <c r="G356" s="2"/>
      <c r="I356" s="13">
        <v>4053741</v>
      </c>
      <c r="J356" s="2"/>
      <c r="L356" s="114">
        <f t="shared" si="9"/>
        <v>-4011030.92</v>
      </c>
      <c r="M356" s="114">
        <f t="shared" si="10"/>
        <v>0</v>
      </c>
    </row>
    <row r="357" spans="1:13" ht="236.25" hidden="1" outlineLevel="4">
      <c r="A357" s="19" t="s">
        <v>536</v>
      </c>
      <c r="B357" s="20" t="s">
        <v>22</v>
      </c>
      <c r="C357" s="20" t="s">
        <v>146</v>
      </c>
      <c r="D357" s="20" t="s">
        <v>176</v>
      </c>
      <c r="E357" s="20" t="s">
        <v>1</v>
      </c>
      <c r="F357" s="13">
        <f>F358</f>
        <v>0</v>
      </c>
      <c r="G357" s="2"/>
      <c r="I357" s="13">
        <v>1744240</v>
      </c>
      <c r="J357" s="2"/>
      <c r="L357" s="114">
        <f t="shared" si="9"/>
        <v>-1744240</v>
      </c>
      <c r="M357" s="114">
        <f t="shared" si="10"/>
        <v>0</v>
      </c>
    </row>
    <row r="358" spans="1:13" ht="31.5" hidden="1" outlineLevel="5">
      <c r="A358" s="19" t="s">
        <v>441</v>
      </c>
      <c r="B358" s="20" t="s">
        <v>22</v>
      </c>
      <c r="C358" s="20" t="s">
        <v>146</v>
      </c>
      <c r="D358" s="20" t="s">
        <v>177</v>
      </c>
      <c r="E358" s="20" t="s">
        <v>1</v>
      </c>
      <c r="F358" s="13">
        <f>F359</f>
        <v>0</v>
      </c>
      <c r="G358" s="2"/>
      <c r="I358" s="13">
        <v>1744240</v>
      </c>
      <c r="J358" s="2"/>
      <c r="L358" s="114">
        <f t="shared" si="9"/>
        <v>-1744240</v>
      </c>
      <c r="M358" s="114">
        <f t="shared" si="10"/>
        <v>0</v>
      </c>
    </row>
    <row r="359" spans="1:13" ht="31.5" hidden="1" outlineLevel="6">
      <c r="A359" s="19" t="s">
        <v>693</v>
      </c>
      <c r="B359" s="20" t="s">
        <v>22</v>
      </c>
      <c r="C359" s="20" t="s">
        <v>146</v>
      </c>
      <c r="D359" s="20" t="s">
        <v>177</v>
      </c>
      <c r="E359" s="20" t="s">
        <v>17</v>
      </c>
      <c r="F359" s="13">
        <f>'Приложение_7 '!G395</f>
        <v>0</v>
      </c>
      <c r="G359" s="2"/>
      <c r="I359" s="13">
        <v>1744240</v>
      </c>
      <c r="J359" s="2"/>
      <c r="L359" s="114">
        <f t="shared" si="9"/>
        <v>-1744240</v>
      </c>
      <c r="M359" s="114">
        <f t="shared" si="10"/>
        <v>0</v>
      </c>
    </row>
    <row r="360" spans="1:13" ht="47.25" outlineLevel="2" collapsed="1">
      <c r="A360" s="82" t="s">
        <v>633</v>
      </c>
      <c r="B360" s="83" t="s">
        <v>22</v>
      </c>
      <c r="C360" s="83" t="s">
        <v>146</v>
      </c>
      <c r="D360" s="83" t="s">
        <v>178</v>
      </c>
      <c r="E360" s="83" t="s">
        <v>1</v>
      </c>
      <c r="F360" s="12">
        <f>F361+F371+F378+F368</f>
        <v>126416390.51000002</v>
      </c>
      <c r="G360" s="12">
        <f>G361+G371+G378+G368</f>
        <v>20366038.32</v>
      </c>
      <c r="I360" s="12">
        <v>106630493.27</v>
      </c>
      <c r="J360" s="1"/>
      <c r="L360" s="114">
        <f t="shared" si="9"/>
        <v>19785897.240000024</v>
      </c>
      <c r="M360" s="114">
        <f t="shared" si="10"/>
        <v>20366038.32</v>
      </c>
    </row>
    <row r="361" spans="1:13" ht="31.5" outlineLevel="4">
      <c r="A361" s="19" t="s">
        <v>537</v>
      </c>
      <c r="B361" s="20" t="s">
        <v>22</v>
      </c>
      <c r="C361" s="20" t="s">
        <v>146</v>
      </c>
      <c r="D361" s="20" t="s">
        <v>179</v>
      </c>
      <c r="E361" s="20" t="s">
        <v>1</v>
      </c>
      <c r="F361" s="13">
        <f>F362+F364+F366</f>
        <v>30366038.32</v>
      </c>
      <c r="G361" s="13">
        <f>G362+G364+G366</f>
        <v>20366038.32</v>
      </c>
      <c r="I361" s="13">
        <v>10000000</v>
      </c>
      <c r="J361" s="2"/>
      <c r="L361" s="114">
        <f t="shared" si="9"/>
        <v>20366038.32</v>
      </c>
      <c r="M361" s="114">
        <f t="shared" si="10"/>
        <v>20366038.32</v>
      </c>
    </row>
    <row r="362" spans="1:13" ht="31.5" hidden="1" outlineLevel="5">
      <c r="A362" s="19" t="s">
        <v>454</v>
      </c>
      <c r="B362" s="20" t="s">
        <v>22</v>
      </c>
      <c r="C362" s="20" t="s">
        <v>146</v>
      </c>
      <c r="D362" s="20" t="s">
        <v>180</v>
      </c>
      <c r="E362" s="20" t="s">
        <v>1</v>
      </c>
      <c r="F362" s="13">
        <f>F363</f>
        <v>0</v>
      </c>
      <c r="G362" s="2"/>
      <c r="I362" s="13">
        <v>10000000</v>
      </c>
      <c r="J362" s="2"/>
      <c r="L362" s="114">
        <f aca="true" t="shared" si="12" ref="L362:L438">F362-I362</f>
        <v>-10000000</v>
      </c>
      <c r="M362" s="114">
        <f aca="true" t="shared" si="13" ref="M362:M438">G362-J362</f>
        <v>0</v>
      </c>
    </row>
    <row r="363" spans="1:13" ht="31.5" hidden="1" outlineLevel="6">
      <c r="A363" s="19" t="s">
        <v>693</v>
      </c>
      <c r="B363" s="20" t="s">
        <v>22</v>
      </c>
      <c r="C363" s="20" t="s">
        <v>146</v>
      </c>
      <c r="D363" s="20" t="s">
        <v>180</v>
      </c>
      <c r="E363" s="20" t="s">
        <v>17</v>
      </c>
      <c r="F363" s="13">
        <f>'Приложение_7 '!G399</f>
        <v>0</v>
      </c>
      <c r="G363" s="2"/>
      <c r="I363" s="13">
        <v>10000000</v>
      </c>
      <c r="J363" s="2"/>
      <c r="L363" s="114">
        <f t="shared" si="12"/>
        <v>-10000000</v>
      </c>
      <c r="M363" s="114">
        <f t="shared" si="13"/>
        <v>0</v>
      </c>
    </row>
    <row r="364" spans="1:13" ht="63" outlineLevel="6">
      <c r="A364" s="76" t="s">
        <v>1264</v>
      </c>
      <c r="B364" s="77" t="s">
        <v>22</v>
      </c>
      <c r="C364" s="77" t="s">
        <v>146</v>
      </c>
      <c r="D364" s="77" t="s">
        <v>1265</v>
      </c>
      <c r="E364" s="77" t="s">
        <v>1</v>
      </c>
      <c r="F364" s="13">
        <f>F365</f>
        <v>20366038.32</v>
      </c>
      <c r="G364" s="2">
        <f>G365</f>
        <v>20366038.32</v>
      </c>
      <c r="I364" s="13"/>
      <c r="J364" s="2"/>
      <c r="L364" s="114"/>
      <c r="M364" s="114"/>
    </row>
    <row r="365" spans="1:13" ht="31.5" outlineLevel="6">
      <c r="A365" s="76" t="s">
        <v>693</v>
      </c>
      <c r="B365" s="77" t="s">
        <v>22</v>
      </c>
      <c r="C365" s="77" t="s">
        <v>146</v>
      </c>
      <c r="D365" s="77" t="s">
        <v>1265</v>
      </c>
      <c r="E365" s="77" t="s">
        <v>17</v>
      </c>
      <c r="F365" s="13">
        <f>'Приложение_7 '!G401</f>
        <v>20366038.32</v>
      </c>
      <c r="G365" s="2">
        <f>F365</f>
        <v>20366038.32</v>
      </c>
      <c r="I365" s="13"/>
      <c r="J365" s="2"/>
      <c r="L365" s="114"/>
      <c r="M365" s="114"/>
    </row>
    <row r="366" spans="1:13" ht="63" outlineLevel="6">
      <c r="A366" s="76" t="s">
        <v>1264</v>
      </c>
      <c r="B366" s="77" t="s">
        <v>22</v>
      </c>
      <c r="C366" s="77" t="s">
        <v>146</v>
      </c>
      <c r="D366" s="77" t="s">
        <v>1266</v>
      </c>
      <c r="E366" s="77" t="s">
        <v>1</v>
      </c>
      <c r="F366" s="13">
        <f>F367</f>
        <v>10000000</v>
      </c>
      <c r="G366" s="2"/>
      <c r="I366" s="13"/>
      <c r="J366" s="2"/>
      <c r="L366" s="114"/>
      <c r="M366" s="114"/>
    </row>
    <row r="367" spans="1:13" ht="31.5" outlineLevel="6">
      <c r="A367" s="76" t="s">
        <v>693</v>
      </c>
      <c r="B367" s="77" t="s">
        <v>22</v>
      </c>
      <c r="C367" s="77" t="s">
        <v>146</v>
      </c>
      <c r="D367" s="77" t="s">
        <v>1266</v>
      </c>
      <c r="E367" s="77" t="s">
        <v>17</v>
      </c>
      <c r="F367" s="13">
        <f>'Приложение_7 '!G403</f>
        <v>10000000</v>
      </c>
      <c r="G367" s="2"/>
      <c r="I367" s="13"/>
      <c r="J367" s="2"/>
      <c r="L367" s="114"/>
      <c r="M367" s="114"/>
    </row>
    <row r="368" spans="1:13" ht="47.25" outlineLevel="6">
      <c r="A368" s="76" t="s">
        <v>1225</v>
      </c>
      <c r="B368" s="77" t="s">
        <v>22</v>
      </c>
      <c r="C368" s="77" t="s">
        <v>146</v>
      </c>
      <c r="D368" s="77" t="s">
        <v>1226</v>
      </c>
      <c r="E368" s="77" t="s">
        <v>1</v>
      </c>
      <c r="F368" s="13">
        <f>F369</f>
        <v>450000</v>
      </c>
      <c r="G368" s="2"/>
      <c r="I368" s="13"/>
      <c r="J368" s="2"/>
      <c r="L368" s="114"/>
      <c r="M368" s="114"/>
    </row>
    <row r="369" spans="1:13" ht="31.5" outlineLevel="6">
      <c r="A369" s="76" t="s">
        <v>441</v>
      </c>
      <c r="B369" s="77" t="s">
        <v>22</v>
      </c>
      <c r="C369" s="77" t="s">
        <v>146</v>
      </c>
      <c r="D369" s="77" t="s">
        <v>1227</v>
      </c>
      <c r="E369" s="77" t="s">
        <v>1</v>
      </c>
      <c r="F369" s="13">
        <f>F370</f>
        <v>450000</v>
      </c>
      <c r="G369" s="2"/>
      <c r="I369" s="13"/>
      <c r="J369" s="2"/>
      <c r="L369" s="114"/>
      <c r="M369" s="114"/>
    </row>
    <row r="370" spans="1:13" ht="31.5" outlineLevel="6">
      <c r="A370" s="76" t="s">
        <v>693</v>
      </c>
      <c r="B370" s="77" t="s">
        <v>22</v>
      </c>
      <c r="C370" s="77" t="s">
        <v>146</v>
      </c>
      <c r="D370" s="77" t="s">
        <v>1227</v>
      </c>
      <c r="E370" s="77" t="s">
        <v>17</v>
      </c>
      <c r="F370" s="13">
        <f>'Приложение_7 '!G406</f>
        <v>450000</v>
      </c>
      <c r="G370" s="2"/>
      <c r="I370" s="13"/>
      <c r="J370" s="2"/>
      <c r="L370" s="114"/>
      <c r="M370" s="114"/>
    </row>
    <row r="371" spans="1:13" ht="47.25" outlineLevel="4">
      <c r="A371" s="19" t="s">
        <v>538</v>
      </c>
      <c r="B371" s="20" t="s">
        <v>22</v>
      </c>
      <c r="C371" s="20" t="s">
        <v>146</v>
      </c>
      <c r="D371" s="20" t="s">
        <v>181</v>
      </c>
      <c r="E371" s="20" t="s">
        <v>1</v>
      </c>
      <c r="F371" s="13">
        <f>F372+F374+F376</f>
        <v>95306352.19000001</v>
      </c>
      <c r="G371" s="2"/>
      <c r="I371" s="13">
        <v>96330493.27</v>
      </c>
      <c r="J371" s="2"/>
      <c r="L371" s="114">
        <f t="shared" si="12"/>
        <v>-1024141.0799999833</v>
      </c>
      <c r="M371" s="114">
        <f t="shared" si="13"/>
        <v>0</v>
      </c>
    </row>
    <row r="372" spans="1:13" ht="47.25" outlineLevel="5">
      <c r="A372" s="19" t="s">
        <v>455</v>
      </c>
      <c r="B372" s="20" t="s">
        <v>22</v>
      </c>
      <c r="C372" s="20" t="s">
        <v>146</v>
      </c>
      <c r="D372" s="20" t="s">
        <v>182</v>
      </c>
      <c r="E372" s="20" t="s">
        <v>1</v>
      </c>
      <c r="F372" s="13">
        <f>F373</f>
        <v>92834953.2</v>
      </c>
      <c r="G372" s="2"/>
      <c r="I372" s="13">
        <v>92834953.2</v>
      </c>
      <c r="J372" s="2"/>
      <c r="L372" s="114">
        <f t="shared" si="12"/>
        <v>0</v>
      </c>
      <c r="M372" s="114">
        <f t="shared" si="13"/>
        <v>0</v>
      </c>
    </row>
    <row r="373" spans="1:13" ht="31.5" outlineLevel="6">
      <c r="A373" s="19" t="s">
        <v>693</v>
      </c>
      <c r="B373" s="20" t="s">
        <v>22</v>
      </c>
      <c r="C373" s="20" t="s">
        <v>146</v>
      </c>
      <c r="D373" s="20" t="s">
        <v>182</v>
      </c>
      <c r="E373" s="20" t="s">
        <v>17</v>
      </c>
      <c r="F373" s="13">
        <f>'Приложение_7 '!G409</f>
        <v>92834953.2</v>
      </c>
      <c r="G373" s="2"/>
      <c r="I373" s="13">
        <v>92834953.2</v>
      </c>
      <c r="J373" s="2"/>
      <c r="L373" s="114">
        <f t="shared" si="12"/>
        <v>0</v>
      </c>
      <c r="M373" s="114">
        <f t="shared" si="13"/>
        <v>0</v>
      </c>
    </row>
    <row r="374" spans="1:13" ht="31.5" outlineLevel="5">
      <c r="A374" s="19" t="s">
        <v>456</v>
      </c>
      <c r="B374" s="20" t="s">
        <v>22</v>
      </c>
      <c r="C374" s="20" t="s">
        <v>146</v>
      </c>
      <c r="D374" s="20" t="s">
        <v>183</v>
      </c>
      <c r="E374" s="20" t="s">
        <v>1</v>
      </c>
      <c r="F374" s="13">
        <f>F375</f>
        <v>360636.09</v>
      </c>
      <c r="G374" s="2"/>
      <c r="I374" s="13">
        <v>360636.09</v>
      </c>
      <c r="J374" s="2"/>
      <c r="L374" s="114">
        <f t="shared" si="12"/>
        <v>0</v>
      </c>
      <c r="M374" s="114">
        <f t="shared" si="13"/>
        <v>0</v>
      </c>
    </row>
    <row r="375" spans="1:13" ht="31.5" outlineLevel="6">
      <c r="A375" s="19" t="s">
        <v>693</v>
      </c>
      <c r="B375" s="20" t="s">
        <v>22</v>
      </c>
      <c r="C375" s="20" t="s">
        <v>146</v>
      </c>
      <c r="D375" s="20" t="s">
        <v>183</v>
      </c>
      <c r="E375" s="20" t="s">
        <v>17</v>
      </c>
      <c r="F375" s="13">
        <f>'Приложение_7 '!G411</f>
        <v>360636.09</v>
      </c>
      <c r="G375" s="2"/>
      <c r="I375" s="13">
        <v>360636.09</v>
      </c>
      <c r="J375" s="2"/>
      <c r="L375" s="114">
        <f t="shared" si="12"/>
        <v>0</v>
      </c>
      <c r="M375" s="114">
        <f t="shared" si="13"/>
        <v>0</v>
      </c>
    </row>
    <row r="376" spans="1:13" ht="31.5" outlineLevel="5">
      <c r="A376" s="19" t="s">
        <v>441</v>
      </c>
      <c r="B376" s="20" t="s">
        <v>22</v>
      </c>
      <c r="C376" s="20" t="s">
        <v>146</v>
      </c>
      <c r="D376" s="20" t="s">
        <v>184</v>
      </c>
      <c r="E376" s="20" t="s">
        <v>1</v>
      </c>
      <c r="F376" s="13">
        <f>F377</f>
        <v>2110762.9</v>
      </c>
      <c r="G376" s="2"/>
      <c r="I376" s="13">
        <v>3134903.98</v>
      </c>
      <c r="J376" s="2"/>
      <c r="L376" s="114">
        <f t="shared" si="12"/>
        <v>-1024141.0800000001</v>
      </c>
      <c r="M376" s="114">
        <f t="shared" si="13"/>
        <v>0</v>
      </c>
    </row>
    <row r="377" spans="1:13" ht="31.5" outlineLevel="6">
      <c r="A377" s="19" t="s">
        <v>693</v>
      </c>
      <c r="B377" s="20" t="s">
        <v>22</v>
      </c>
      <c r="C377" s="20" t="s">
        <v>146</v>
      </c>
      <c r="D377" s="20" t="s">
        <v>184</v>
      </c>
      <c r="E377" s="20" t="s">
        <v>17</v>
      </c>
      <c r="F377" s="13">
        <f>'Приложение_7 '!G413</f>
        <v>2110762.9</v>
      </c>
      <c r="G377" s="2"/>
      <c r="I377" s="13">
        <v>3134903.98</v>
      </c>
      <c r="J377" s="2"/>
      <c r="L377" s="114">
        <f t="shared" si="12"/>
        <v>-1024141.0800000001</v>
      </c>
      <c r="M377" s="114">
        <f t="shared" si="13"/>
        <v>0</v>
      </c>
    </row>
    <row r="378" spans="1:13" ht="47.25" outlineLevel="4">
      <c r="A378" s="19" t="s">
        <v>539</v>
      </c>
      <c r="B378" s="20" t="s">
        <v>22</v>
      </c>
      <c r="C378" s="20" t="s">
        <v>146</v>
      </c>
      <c r="D378" s="20" t="s">
        <v>185</v>
      </c>
      <c r="E378" s="20" t="s">
        <v>1</v>
      </c>
      <c r="F378" s="13">
        <f>F379</f>
        <v>294000</v>
      </c>
      <c r="G378" s="2"/>
      <c r="I378" s="13">
        <v>300000</v>
      </c>
      <c r="J378" s="2"/>
      <c r="L378" s="114">
        <f t="shared" si="12"/>
        <v>-6000</v>
      </c>
      <c r="M378" s="114">
        <f t="shared" si="13"/>
        <v>0</v>
      </c>
    </row>
    <row r="379" spans="1:13" ht="31.5" outlineLevel="5">
      <c r="A379" s="19" t="s">
        <v>441</v>
      </c>
      <c r="B379" s="20" t="s">
        <v>22</v>
      </c>
      <c r="C379" s="20" t="s">
        <v>146</v>
      </c>
      <c r="D379" s="20" t="s">
        <v>186</v>
      </c>
      <c r="E379" s="20" t="s">
        <v>1</v>
      </c>
      <c r="F379" s="13">
        <f>F380</f>
        <v>294000</v>
      </c>
      <c r="G379" s="1"/>
      <c r="I379" s="13">
        <v>300000</v>
      </c>
      <c r="J379" s="1"/>
      <c r="L379" s="114">
        <f t="shared" si="12"/>
        <v>-6000</v>
      </c>
      <c r="M379" s="114">
        <f t="shared" si="13"/>
        <v>0</v>
      </c>
    </row>
    <row r="380" spans="1:13" ht="31.5" outlineLevel="6">
      <c r="A380" s="19" t="s">
        <v>693</v>
      </c>
      <c r="B380" s="20" t="s">
        <v>22</v>
      </c>
      <c r="C380" s="20" t="s">
        <v>146</v>
      </c>
      <c r="D380" s="20" t="s">
        <v>186</v>
      </c>
      <c r="E380" s="20" t="s">
        <v>17</v>
      </c>
      <c r="F380" s="13">
        <f>'Приложение_7 '!G416</f>
        <v>294000</v>
      </c>
      <c r="G380" s="2"/>
      <c r="I380" s="13">
        <v>300000</v>
      </c>
      <c r="J380" s="2"/>
      <c r="L380" s="114">
        <f t="shared" si="12"/>
        <v>-6000</v>
      </c>
      <c r="M380" s="114">
        <f t="shared" si="13"/>
        <v>0</v>
      </c>
    </row>
    <row r="381" spans="1:13" ht="15.75" hidden="1" outlineLevel="2">
      <c r="A381" s="82" t="s">
        <v>490</v>
      </c>
      <c r="B381" s="83" t="s">
        <v>22</v>
      </c>
      <c r="C381" s="83" t="s">
        <v>146</v>
      </c>
      <c r="D381" s="83" t="s">
        <v>11</v>
      </c>
      <c r="E381" s="83" t="s">
        <v>1</v>
      </c>
      <c r="F381" s="12">
        <f>F382</f>
        <v>0</v>
      </c>
      <c r="G381" s="1"/>
      <c r="I381" s="12">
        <v>78578.89</v>
      </c>
      <c r="J381" s="1"/>
      <c r="L381" s="114">
        <f t="shared" si="12"/>
        <v>-78578.89</v>
      </c>
      <c r="M381" s="114">
        <f t="shared" si="13"/>
        <v>0</v>
      </c>
    </row>
    <row r="382" spans="1:13" ht="31.5" hidden="1" outlineLevel="5">
      <c r="A382" s="19" t="s">
        <v>448</v>
      </c>
      <c r="B382" s="20" t="s">
        <v>22</v>
      </c>
      <c r="C382" s="20" t="s">
        <v>146</v>
      </c>
      <c r="D382" s="20" t="s">
        <v>142</v>
      </c>
      <c r="E382" s="20" t="s">
        <v>1</v>
      </c>
      <c r="F382" s="13">
        <f>F383</f>
        <v>0</v>
      </c>
      <c r="G382" s="2"/>
      <c r="I382" s="13">
        <v>78578.89</v>
      </c>
      <c r="J382" s="2"/>
      <c r="L382" s="114">
        <f t="shared" si="12"/>
        <v>-78578.89</v>
      </c>
      <c r="M382" s="114">
        <f t="shared" si="13"/>
        <v>0</v>
      </c>
    </row>
    <row r="383" spans="1:13" ht="15.75" hidden="1" outlineLevel="6">
      <c r="A383" s="19" t="s">
        <v>695</v>
      </c>
      <c r="B383" s="20" t="s">
        <v>22</v>
      </c>
      <c r="C383" s="20" t="s">
        <v>146</v>
      </c>
      <c r="D383" s="20" t="s">
        <v>142</v>
      </c>
      <c r="E383" s="20" t="s">
        <v>65</v>
      </c>
      <c r="F383" s="13">
        <f>'Приложение_7 '!G419</f>
        <v>0</v>
      </c>
      <c r="G383" s="2"/>
      <c r="I383" s="13">
        <v>78578.89</v>
      </c>
      <c r="J383" s="2"/>
      <c r="L383" s="114">
        <f t="shared" si="12"/>
        <v>-78578.89</v>
      </c>
      <c r="M383" s="114">
        <f t="shared" si="13"/>
        <v>0</v>
      </c>
    </row>
    <row r="384" spans="1:13" ht="15.75" outlineLevel="1" collapsed="1">
      <c r="A384" s="82" t="s">
        <v>674</v>
      </c>
      <c r="B384" s="83" t="s">
        <v>22</v>
      </c>
      <c r="C384" s="83" t="s">
        <v>187</v>
      </c>
      <c r="D384" s="83" t="s">
        <v>4</v>
      </c>
      <c r="E384" s="83" t="s">
        <v>1</v>
      </c>
      <c r="F384" s="12">
        <f>F385</f>
        <v>11066404.67</v>
      </c>
      <c r="G384" s="1"/>
      <c r="I384" s="12">
        <v>11066404.67</v>
      </c>
      <c r="J384" s="1"/>
      <c r="L384" s="114">
        <f t="shared" si="12"/>
        <v>0</v>
      </c>
      <c r="M384" s="114">
        <f t="shared" si="13"/>
        <v>0</v>
      </c>
    </row>
    <row r="385" spans="1:13" ht="31.5" outlineLevel="2">
      <c r="A385" s="82" t="s">
        <v>659</v>
      </c>
      <c r="B385" s="83" t="s">
        <v>22</v>
      </c>
      <c r="C385" s="83" t="s">
        <v>187</v>
      </c>
      <c r="D385" s="83" t="s">
        <v>90</v>
      </c>
      <c r="E385" s="83" t="s">
        <v>1</v>
      </c>
      <c r="F385" s="12">
        <f>F386+F393</f>
        <v>11066404.67</v>
      </c>
      <c r="G385" s="1"/>
      <c r="I385" s="12">
        <v>11066404.67</v>
      </c>
      <c r="J385" s="1"/>
      <c r="L385" s="114">
        <f t="shared" si="12"/>
        <v>0</v>
      </c>
      <c r="M385" s="114">
        <f t="shared" si="13"/>
        <v>0</v>
      </c>
    </row>
    <row r="386" spans="1:13" ht="47.25" outlineLevel="3">
      <c r="A386" s="82" t="s">
        <v>634</v>
      </c>
      <c r="B386" s="83" t="s">
        <v>22</v>
      </c>
      <c r="C386" s="83" t="s">
        <v>187</v>
      </c>
      <c r="D386" s="83" t="s">
        <v>188</v>
      </c>
      <c r="E386" s="83" t="s">
        <v>1</v>
      </c>
      <c r="F386" s="12">
        <f>F387</f>
        <v>10222143.87</v>
      </c>
      <c r="G386" s="1"/>
      <c r="I386" s="12">
        <v>10222143.87</v>
      </c>
      <c r="J386" s="1"/>
      <c r="L386" s="114">
        <f t="shared" si="12"/>
        <v>0</v>
      </c>
      <c r="M386" s="114">
        <f t="shared" si="13"/>
        <v>0</v>
      </c>
    </row>
    <row r="387" spans="1:13" ht="78.75" outlineLevel="4">
      <c r="A387" s="19" t="s">
        <v>540</v>
      </c>
      <c r="B387" s="20" t="s">
        <v>22</v>
      </c>
      <c r="C387" s="20" t="s">
        <v>187</v>
      </c>
      <c r="D387" s="20" t="s">
        <v>189</v>
      </c>
      <c r="E387" s="20" t="s">
        <v>1</v>
      </c>
      <c r="F387" s="13">
        <f>F388+F391</f>
        <v>10222143.87</v>
      </c>
      <c r="G387" s="2"/>
      <c r="I387" s="13">
        <v>10222143.87</v>
      </c>
      <c r="J387" s="2"/>
      <c r="L387" s="114">
        <f t="shared" si="12"/>
        <v>0</v>
      </c>
      <c r="M387" s="114">
        <f t="shared" si="13"/>
        <v>0</v>
      </c>
    </row>
    <row r="388" spans="1:13" ht="63" outlineLevel="5">
      <c r="A388" s="19" t="s">
        <v>443</v>
      </c>
      <c r="B388" s="20" t="s">
        <v>22</v>
      </c>
      <c r="C388" s="20" t="s">
        <v>187</v>
      </c>
      <c r="D388" s="20" t="s">
        <v>190</v>
      </c>
      <c r="E388" s="20" t="s">
        <v>1</v>
      </c>
      <c r="F388" s="13">
        <f>F389+F390</f>
        <v>9962143.87</v>
      </c>
      <c r="G388" s="2"/>
      <c r="I388" s="13">
        <v>9962143.87</v>
      </c>
      <c r="J388" s="2"/>
      <c r="L388" s="114">
        <f t="shared" si="12"/>
        <v>0</v>
      </c>
      <c r="M388" s="114">
        <f t="shared" si="13"/>
        <v>0</v>
      </c>
    </row>
    <row r="389" spans="1:13" ht="78.75" outlineLevel="6">
      <c r="A389" s="19" t="s">
        <v>708</v>
      </c>
      <c r="B389" s="20" t="s">
        <v>22</v>
      </c>
      <c r="C389" s="20" t="s">
        <v>187</v>
      </c>
      <c r="D389" s="20" t="s">
        <v>190</v>
      </c>
      <c r="E389" s="20" t="s">
        <v>10</v>
      </c>
      <c r="F389" s="13">
        <f>'Приложение_7 '!G251</f>
        <v>9885644.87</v>
      </c>
      <c r="G389" s="2"/>
      <c r="I389" s="13">
        <v>9885644.87</v>
      </c>
      <c r="J389" s="2"/>
      <c r="L389" s="114">
        <f t="shared" si="12"/>
        <v>0</v>
      </c>
      <c r="M389" s="114">
        <f t="shared" si="13"/>
        <v>0</v>
      </c>
    </row>
    <row r="390" spans="1:13" ht="31.5" outlineLevel="6">
      <c r="A390" s="19" t="s">
        <v>693</v>
      </c>
      <c r="B390" s="20" t="s">
        <v>22</v>
      </c>
      <c r="C390" s="20" t="s">
        <v>187</v>
      </c>
      <c r="D390" s="20" t="s">
        <v>190</v>
      </c>
      <c r="E390" s="20" t="s">
        <v>17</v>
      </c>
      <c r="F390" s="13">
        <f>'Приложение_7 '!G252</f>
        <v>76499</v>
      </c>
      <c r="G390" s="2"/>
      <c r="I390" s="13">
        <v>76499</v>
      </c>
      <c r="J390" s="2"/>
      <c r="L390" s="114">
        <f t="shared" si="12"/>
        <v>0</v>
      </c>
      <c r="M390" s="114">
        <f t="shared" si="13"/>
        <v>0</v>
      </c>
    </row>
    <row r="391" spans="1:13" ht="63" outlineLevel="5">
      <c r="A391" s="19" t="s">
        <v>432</v>
      </c>
      <c r="B391" s="20" t="s">
        <v>22</v>
      </c>
      <c r="C391" s="20" t="s">
        <v>187</v>
      </c>
      <c r="D391" s="20" t="s">
        <v>191</v>
      </c>
      <c r="E391" s="20" t="s">
        <v>1</v>
      </c>
      <c r="F391" s="13">
        <f>F392</f>
        <v>260000</v>
      </c>
      <c r="G391" s="2"/>
      <c r="I391" s="13">
        <v>260000</v>
      </c>
      <c r="J391" s="2"/>
      <c r="L391" s="114">
        <f t="shared" si="12"/>
        <v>0</v>
      </c>
      <c r="M391" s="114">
        <f t="shared" si="13"/>
        <v>0</v>
      </c>
    </row>
    <row r="392" spans="1:13" ht="78.75" outlineLevel="6">
      <c r="A392" s="19" t="s">
        <v>708</v>
      </c>
      <c r="B392" s="20" t="s">
        <v>22</v>
      </c>
      <c r="C392" s="20" t="s">
        <v>187</v>
      </c>
      <c r="D392" s="20" t="s">
        <v>191</v>
      </c>
      <c r="E392" s="20" t="s">
        <v>10</v>
      </c>
      <c r="F392" s="13">
        <f>'Приложение_7 '!G254</f>
        <v>260000</v>
      </c>
      <c r="G392" s="2"/>
      <c r="I392" s="13">
        <v>260000</v>
      </c>
      <c r="J392" s="2"/>
      <c r="L392" s="114">
        <f t="shared" si="12"/>
        <v>0</v>
      </c>
      <c r="M392" s="114">
        <f t="shared" si="13"/>
        <v>0</v>
      </c>
    </row>
    <row r="393" spans="1:13" ht="47.25" outlineLevel="3">
      <c r="A393" s="82" t="s">
        <v>624</v>
      </c>
      <c r="B393" s="83" t="s">
        <v>22</v>
      </c>
      <c r="C393" s="83" t="s">
        <v>187</v>
      </c>
      <c r="D393" s="83" t="s">
        <v>91</v>
      </c>
      <c r="E393" s="83" t="s">
        <v>1</v>
      </c>
      <c r="F393" s="12">
        <f>F394+F397+F400</f>
        <v>844260.8</v>
      </c>
      <c r="G393" s="1"/>
      <c r="I393" s="12">
        <v>844260.8</v>
      </c>
      <c r="J393" s="1"/>
      <c r="L393" s="114">
        <f t="shared" si="12"/>
        <v>0</v>
      </c>
      <c r="M393" s="114">
        <f t="shared" si="13"/>
        <v>0</v>
      </c>
    </row>
    <row r="394" spans="1:13" ht="47.25" outlineLevel="4">
      <c r="A394" s="19" t="s">
        <v>507</v>
      </c>
      <c r="B394" s="20" t="s">
        <v>22</v>
      </c>
      <c r="C394" s="20" t="s">
        <v>187</v>
      </c>
      <c r="D394" s="20" t="s">
        <v>92</v>
      </c>
      <c r="E394" s="20" t="s">
        <v>1</v>
      </c>
      <c r="F394" s="13">
        <f>F395</f>
        <v>23240</v>
      </c>
      <c r="G394" s="2"/>
      <c r="I394" s="13">
        <v>23240</v>
      </c>
      <c r="J394" s="2"/>
      <c r="L394" s="114">
        <f t="shared" si="12"/>
        <v>0</v>
      </c>
      <c r="M394" s="114">
        <f t="shared" si="13"/>
        <v>0</v>
      </c>
    </row>
    <row r="395" spans="1:13" ht="31.5" outlineLevel="5">
      <c r="A395" s="19" t="s">
        <v>441</v>
      </c>
      <c r="B395" s="20" t="s">
        <v>22</v>
      </c>
      <c r="C395" s="20" t="s">
        <v>187</v>
      </c>
      <c r="D395" s="20" t="s">
        <v>93</v>
      </c>
      <c r="E395" s="20" t="s">
        <v>1</v>
      </c>
      <c r="F395" s="13">
        <f>F396</f>
        <v>23240</v>
      </c>
      <c r="G395" s="2"/>
      <c r="I395" s="13">
        <v>23240</v>
      </c>
      <c r="J395" s="2"/>
      <c r="L395" s="114">
        <f t="shared" si="12"/>
        <v>0</v>
      </c>
      <c r="M395" s="114">
        <f t="shared" si="13"/>
        <v>0</v>
      </c>
    </row>
    <row r="396" spans="1:13" ht="31.5" outlineLevel="6">
      <c r="A396" s="19" t="s">
        <v>693</v>
      </c>
      <c r="B396" s="20" t="s">
        <v>22</v>
      </c>
      <c r="C396" s="20" t="s">
        <v>187</v>
      </c>
      <c r="D396" s="20" t="s">
        <v>93</v>
      </c>
      <c r="E396" s="20" t="s">
        <v>17</v>
      </c>
      <c r="F396" s="13">
        <f>'Приложение_7 '!G258</f>
        <v>23240</v>
      </c>
      <c r="G396" s="2"/>
      <c r="I396" s="13">
        <v>23240</v>
      </c>
      <c r="J396" s="2"/>
      <c r="L396" s="114">
        <f t="shared" si="12"/>
        <v>0</v>
      </c>
      <c r="M396" s="114">
        <f t="shared" si="13"/>
        <v>0</v>
      </c>
    </row>
    <row r="397" spans="1:13" ht="31.5" outlineLevel="4">
      <c r="A397" s="19" t="s">
        <v>510</v>
      </c>
      <c r="B397" s="20" t="s">
        <v>22</v>
      </c>
      <c r="C397" s="20" t="s">
        <v>187</v>
      </c>
      <c r="D397" s="20" t="s">
        <v>100</v>
      </c>
      <c r="E397" s="20" t="s">
        <v>1</v>
      </c>
      <c r="F397" s="13">
        <f>F398</f>
        <v>675880.8</v>
      </c>
      <c r="G397" s="2"/>
      <c r="I397" s="13">
        <v>675880.8</v>
      </c>
      <c r="J397" s="2"/>
      <c r="L397" s="114">
        <f t="shared" si="12"/>
        <v>0</v>
      </c>
      <c r="M397" s="114">
        <f t="shared" si="13"/>
        <v>0</v>
      </c>
    </row>
    <row r="398" spans="1:13" ht="31.5" outlineLevel="5">
      <c r="A398" s="19" t="s">
        <v>441</v>
      </c>
      <c r="B398" s="20" t="s">
        <v>22</v>
      </c>
      <c r="C398" s="20" t="s">
        <v>187</v>
      </c>
      <c r="D398" s="20" t="s">
        <v>101</v>
      </c>
      <c r="E398" s="20" t="s">
        <v>1</v>
      </c>
      <c r="F398" s="13">
        <f>F399</f>
        <v>675880.8</v>
      </c>
      <c r="G398" s="2"/>
      <c r="I398" s="13">
        <v>675880.8</v>
      </c>
      <c r="J398" s="2"/>
      <c r="L398" s="114">
        <f t="shared" si="12"/>
        <v>0</v>
      </c>
      <c r="M398" s="114">
        <f t="shared" si="13"/>
        <v>0</v>
      </c>
    </row>
    <row r="399" spans="1:13" ht="31.5" outlineLevel="6">
      <c r="A399" s="19" t="s">
        <v>693</v>
      </c>
      <c r="B399" s="20" t="s">
        <v>22</v>
      </c>
      <c r="C399" s="20" t="s">
        <v>187</v>
      </c>
      <c r="D399" s="20" t="s">
        <v>101</v>
      </c>
      <c r="E399" s="20" t="s">
        <v>17</v>
      </c>
      <c r="F399" s="13">
        <f>'Приложение_7 '!G261</f>
        <v>675880.8</v>
      </c>
      <c r="G399" s="2"/>
      <c r="I399" s="13">
        <v>675880.8</v>
      </c>
      <c r="J399" s="2"/>
      <c r="L399" s="114">
        <f t="shared" si="12"/>
        <v>0</v>
      </c>
      <c r="M399" s="114">
        <f t="shared" si="13"/>
        <v>0</v>
      </c>
    </row>
    <row r="400" spans="1:13" ht="15.75" outlineLevel="4">
      <c r="A400" s="19" t="s">
        <v>511</v>
      </c>
      <c r="B400" s="20" t="s">
        <v>22</v>
      </c>
      <c r="C400" s="20" t="s">
        <v>187</v>
      </c>
      <c r="D400" s="20" t="s">
        <v>102</v>
      </c>
      <c r="E400" s="20" t="s">
        <v>1</v>
      </c>
      <c r="F400" s="13">
        <f>F401</f>
        <v>145140</v>
      </c>
      <c r="G400" s="2"/>
      <c r="I400" s="13">
        <v>145140</v>
      </c>
      <c r="J400" s="2"/>
      <c r="L400" s="114">
        <f t="shared" si="12"/>
        <v>0</v>
      </c>
      <c r="M400" s="114">
        <f t="shared" si="13"/>
        <v>0</v>
      </c>
    </row>
    <row r="401" spans="1:13" ht="31.5" outlineLevel="5">
      <c r="A401" s="19" t="s">
        <v>441</v>
      </c>
      <c r="B401" s="20" t="s">
        <v>22</v>
      </c>
      <c r="C401" s="20" t="s">
        <v>187</v>
      </c>
      <c r="D401" s="20" t="s">
        <v>103</v>
      </c>
      <c r="E401" s="20" t="s">
        <v>1</v>
      </c>
      <c r="F401" s="13">
        <f>F402</f>
        <v>145140</v>
      </c>
      <c r="G401" s="2"/>
      <c r="I401" s="13">
        <v>145140</v>
      </c>
      <c r="J401" s="2"/>
      <c r="L401" s="114">
        <f t="shared" si="12"/>
        <v>0</v>
      </c>
      <c r="M401" s="114">
        <f t="shared" si="13"/>
        <v>0</v>
      </c>
    </row>
    <row r="402" spans="1:13" ht="31.5" outlineLevel="6">
      <c r="A402" s="19" t="s">
        <v>693</v>
      </c>
      <c r="B402" s="20" t="s">
        <v>22</v>
      </c>
      <c r="C402" s="20" t="s">
        <v>187</v>
      </c>
      <c r="D402" s="20" t="s">
        <v>103</v>
      </c>
      <c r="E402" s="20" t="s">
        <v>17</v>
      </c>
      <c r="F402" s="13">
        <f>'Приложение_7 '!G264</f>
        <v>145140</v>
      </c>
      <c r="G402" s="2"/>
      <c r="I402" s="13">
        <v>145140</v>
      </c>
      <c r="J402" s="2"/>
      <c r="L402" s="114">
        <f t="shared" si="12"/>
        <v>0</v>
      </c>
      <c r="M402" s="114">
        <f t="shared" si="13"/>
        <v>0</v>
      </c>
    </row>
    <row r="403" spans="1:13" s="113" customFormat="1" ht="31.5" outlineLevel="1">
      <c r="A403" s="82" t="s">
        <v>675</v>
      </c>
      <c r="B403" s="83" t="s">
        <v>22</v>
      </c>
      <c r="C403" s="83" t="s">
        <v>192</v>
      </c>
      <c r="D403" s="83" t="s">
        <v>4</v>
      </c>
      <c r="E403" s="83" t="s">
        <v>1</v>
      </c>
      <c r="F403" s="12">
        <f>F404+F409</f>
        <v>26383965.500000004</v>
      </c>
      <c r="G403" s="12">
        <f>G404+G409</f>
        <v>36200</v>
      </c>
      <c r="I403" s="12">
        <v>27910305.52</v>
      </c>
      <c r="J403" s="1">
        <f>J409</f>
        <v>36200</v>
      </c>
      <c r="L403" s="114">
        <f t="shared" si="12"/>
        <v>-1526340.0199999958</v>
      </c>
      <c r="M403" s="114">
        <f t="shared" si="13"/>
        <v>0</v>
      </c>
    </row>
    <row r="404" spans="1:13" ht="31.5" outlineLevel="2">
      <c r="A404" s="82" t="s">
        <v>659</v>
      </c>
      <c r="B404" s="83" t="s">
        <v>22</v>
      </c>
      <c r="C404" s="83" t="s">
        <v>192</v>
      </c>
      <c r="D404" s="83" t="s">
        <v>90</v>
      </c>
      <c r="E404" s="83" t="s">
        <v>1</v>
      </c>
      <c r="F404" s="12">
        <f>F405</f>
        <v>683807.12</v>
      </c>
      <c r="G404" s="1"/>
      <c r="I404" s="12">
        <v>690807.12</v>
      </c>
      <c r="J404" s="1"/>
      <c r="L404" s="114">
        <f t="shared" si="12"/>
        <v>-7000</v>
      </c>
      <c r="M404" s="114">
        <f t="shared" si="13"/>
        <v>0</v>
      </c>
    </row>
    <row r="405" spans="1:13" ht="47.25" outlineLevel="3">
      <c r="A405" s="82" t="s">
        <v>624</v>
      </c>
      <c r="B405" s="83" t="s">
        <v>22</v>
      </c>
      <c r="C405" s="83" t="s">
        <v>192</v>
      </c>
      <c r="D405" s="83" t="s">
        <v>91</v>
      </c>
      <c r="E405" s="83" t="s">
        <v>1</v>
      </c>
      <c r="F405" s="12">
        <f>F406</f>
        <v>683807.12</v>
      </c>
      <c r="G405" s="1"/>
      <c r="I405" s="12">
        <v>690807.12</v>
      </c>
      <c r="J405" s="1"/>
      <c r="L405" s="114">
        <f t="shared" si="12"/>
        <v>-7000</v>
      </c>
      <c r="M405" s="114">
        <f t="shared" si="13"/>
        <v>0</v>
      </c>
    </row>
    <row r="406" spans="1:13" ht="31.5" outlineLevel="4">
      <c r="A406" s="19" t="s">
        <v>510</v>
      </c>
      <c r="B406" s="20" t="s">
        <v>22</v>
      </c>
      <c r="C406" s="20" t="s">
        <v>192</v>
      </c>
      <c r="D406" s="20" t="s">
        <v>100</v>
      </c>
      <c r="E406" s="20" t="s">
        <v>1</v>
      </c>
      <c r="F406" s="13">
        <f>F407</f>
        <v>683807.12</v>
      </c>
      <c r="G406" s="2"/>
      <c r="I406" s="13">
        <v>690807.12</v>
      </c>
      <c r="J406" s="2"/>
      <c r="L406" s="114">
        <f t="shared" si="12"/>
        <v>-7000</v>
      </c>
      <c r="M406" s="114">
        <f t="shared" si="13"/>
        <v>0</v>
      </c>
    </row>
    <row r="407" spans="1:13" ht="31.5" outlineLevel="5">
      <c r="A407" s="19" t="s">
        <v>441</v>
      </c>
      <c r="B407" s="20" t="s">
        <v>22</v>
      </c>
      <c r="C407" s="20" t="s">
        <v>192</v>
      </c>
      <c r="D407" s="20" t="s">
        <v>101</v>
      </c>
      <c r="E407" s="20" t="s">
        <v>1</v>
      </c>
      <c r="F407" s="13">
        <f>F408</f>
        <v>683807.12</v>
      </c>
      <c r="G407" s="2"/>
      <c r="I407" s="13">
        <v>690807.12</v>
      </c>
      <c r="J407" s="2"/>
      <c r="L407" s="114">
        <f t="shared" si="12"/>
        <v>-7000</v>
      </c>
      <c r="M407" s="114">
        <f t="shared" si="13"/>
        <v>0</v>
      </c>
    </row>
    <row r="408" spans="1:13" ht="31.5" outlineLevel="6">
      <c r="A408" s="19" t="s">
        <v>693</v>
      </c>
      <c r="B408" s="20" t="s">
        <v>22</v>
      </c>
      <c r="C408" s="20" t="s">
        <v>192</v>
      </c>
      <c r="D408" s="20" t="s">
        <v>101</v>
      </c>
      <c r="E408" s="20" t="s">
        <v>17</v>
      </c>
      <c r="F408" s="13">
        <f>'Приложение_7 '!G425</f>
        <v>683807.12</v>
      </c>
      <c r="G408" s="2"/>
      <c r="I408" s="13">
        <v>690807.12</v>
      </c>
      <c r="J408" s="2"/>
      <c r="L408" s="114">
        <f t="shared" si="12"/>
        <v>-7000</v>
      </c>
      <c r="M408" s="114">
        <f t="shared" si="13"/>
        <v>0</v>
      </c>
    </row>
    <row r="409" spans="1:13" ht="47.25" outlineLevel="2">
      <c r="A409" s="82" t="s">
        <v>656</v>
      </c>
      <c r="B409" s="83" t="s">
        <v>22</v>
      </c>
      <c r="C409" s="83" t="s">
        <v>192</v>
      </c>
      <c r="D409" s="83" t="s">
        <v>6</v>
      </c>
      <c r="E409" s="83" t="s">
        <v>1</v>
      </c>
      <c r="F409" s="12">
        <f>F410+F415+F425</f>
        <v>25700158.380000003</v>
      </c>
      <c r="G409" s="12">
        <f>G410+G415+G425</f>
        <v>36200</v>
      </c>
      <c r="I409" s="12">
        <v>27219498.4</v>
      </c>
      <c r="J409" s="1">
        <f>J410</f>
        <v>36200</v>
      </c>
      <c r="L409" s="114">
        <f t="shared" si="12"/>
        <v>-1519340.0199999958</v>
      </c>
      <c r="M409" s="114">
        <f t="shared" si="13"/>
        <v>0</v>
      </c>
    </row>
    <row r="410" spans="1:13" ht="31.5" outlineLevel="3">
      <c r="A410" s="82" t="s">
        <v>616</v>
      </c>
      <c r="B410" s="83" t="s">
        <v>22</v>
      </c>
      <c r="C410" s="83" t="s">
        <v>192</v>
      </c>
      <c r="D410" s="83" t="s">
        <v>43</v>
      </c>
      <c r="E410" s="83" t="s">
        <v>1</v>
      </c>
      <c r="F410" s="12">
        <f>F411</f>
        <v>36200</v>
      </c>
      <c r="G410" s="12">
        <f>G411</f>
        <v>36200</v>
      </c>
      <c r="I410" s="12">
        <v>36200</v>
      </c>
      <c r="J410" s="1">
        <f>J411</f>
        <v>36200</v>
      </c>
      <c r="L410" s="114">
        <f t="shared" si="12"/>
        <v>0</v>
      </c>
      <c r="M410" s="114">
        <f t="shared" si="13"/>
        <v>0</v>
      </c>
    </row>
    <row r="411" spans="1:13" ht="63" outlineLevel="4">
      <c r="A411" s="19" t="s">
        <v>541</v>
      </c>
      <c r="B411" s="20" t="s">
        <v>22</v>
      </c>
      <c r="C411" s="20" t="s">
        <v>192</v>
      </c>
      <c r="D411" s="20" t="s">
        <v>193</v>
      </c>
      <c r="E411" s="20" t="s">
        <v>1</v>
      </c>
      <c r="F411" s="13">
        <f>F412</f>
        <v>36200</v>
      </c>
      <c r="G411" s="13">
        <f>G412</f>
        <v>36200</v>
      </c>
      <c r="I411" s="13">
        <v>36200</v>
      </c>
      <c r="J411" s="2">
        <f>J412</f>
        <v>36200</v>
      </c>
      <c r="L411" s="114">
        <f t="shared" si="12"/>
        <v>0</v>
      </c>
      <c r="M411" s="114">
        <f t="shared" si="13"/>
        <v>0</v>
      </c>
    </row>
    <row r="412" spans="1:13" ht="94.5" outlineLevel="5">
      <c r="A412" s="19" t="s">
        <v>457</v>
      </c>
      <c r="B412" s="20" t="s">
        <v>22</v>
      </c>
      <c r="C412" s="20" t="s">
        <v>192</v>
      </c>
      <c r="D412" s="20" t="s">
        <v>194</v>
      </c>
      <c r="E412" s="20" t="s">
        <v>1</v>
      </c>
      <c r="F412" s="13">
        <f>F413+F414</f>
        <v>36200</v>
      </c>
      <c r="G412" s="13">
        <f>G413+G414</f>
        <v>36200</v>
      </c>
      <c r="I412" s="13">
        <v>36200</v>
      </c>
      <c r="J412" s="13">
        <v>36200</v>
      </c>
      <c r="L412" s="114">
        <f t="shared" si="12"/>
        <v>0</v>
      </c>
      <c r="M412" s="114">
        <f t="shared" si="13"/>
        <v>0</v>
      </c>
    </row>
    <row r="413" spans="1:13" ht="78.75" outlineLevel="6">
      <c r="A413" s="19" t="s">
        <v>708</v>
      </c>
      <c r="B413" s="20" t="s">
        <v>22</v>
      </c>
      <c r="C413" s="20" t="s">
        <v>192</v>
      </c>
      <c r="D413" s="20" t="s">
        <v>194</v>
      </c>
      <c r="E413" s="20" t="s">
        <v>10</v>
      </c>
      <c r="F413" s="13">
        <f>'Приложение_7 '!G270</f>
        <v>32122.44</v>
      </c>
      <c r="G413" s="13">
        <f>F413</f>
        <v>32122.44</v>
      </c>
      <c r="I413" s="13">
        <v>32122.44</v>
      </c>
      <c r="J413" s="13">
        <v>32122.44</v>
      </c>
      <c r="L413" s="114">
        <f t="shared" si="12"/>
        <v>0</v>
      </c>
      <c r="M413" s="114">
        <f t="shared" si="13"/>
        <v>0</v>
      </c>
    </row>
    <row r="414" spans="1:13" ht="31.5" outlineLevel="6">
      <c r="A414" s="19" t="s">
        <v>693</v>
      </c>
      <c r="B414" s="20" t="s">
        <v>22</v>
      </c>
      <c r="C414" s="20" t="s">
        <v>192</v>
      </c>
      <c r="D414" s="20" t="s">
        <v>194</v>
      </c>
      <c r="E414" s="20" t="s">
        <v>17</v>
      </c>
      <c r="F414" s="13">
        <f>'Приложение_7 '!G271</f>
        <v>4077.56</v>
      </c>
      <c r="G414" s="13">
        <f>F414</f>
        <v>4077.56</v>
      </c>
      <c r="I414" s="13">
        <v>4077.56</v>
      </c>
      <c r="J414" s="13">
        <v>4077.56</v>
      </c>
      <c r="L414" s="114">
        <f t="shared" si="12"/>
        <v>0</v>
      </c>
      <c r="M414" s="114">
        <f t="shared" si="13"/>
        <v>0</v>
      </c>
    </row>
    <row r="415" spans="1:13" ht="47.25" outlineLevel="3">
      <c r="A415" s="82" t="s">
        <v>617</v>
      </c>
      <c r="B415" s="83" t="s">
        <v>22</v>
      </c>
      <c r="C415" s="83" t="s">
        <v>192</v>
      </c>
      <c r="D415" s="83" t="s">
        <v>51</v>
      </c>
      <c r="E415" s="83" t="s">
        <v>1</v>
      </c>
      <c r="F415" s="12">
        <f>F416+F419+F422</f>
        <v>3794624</v>
      </c>
      <c r="G415" s="1"/>
      <c r="I415" s="12">
        <v>4141040</v>
      </c>
      <c r="J415" s="1"/>
      <c r="L415" s="114">
        <f t="shared" si="12"/>
        <v>-346416</v>
      </c>
      <c r="M415" s="114">
        <f t="shared" si="13"/>
        <v>0</v>
      </c>
    </row>
    <row r="416" spans="1:13" ht="63" outlineLevel="4">
      <c r="A416" s="19" t="s">
        <v>542</v>
      </c>
      <c r="B416" s="20" t="s">
        <v>22</v>
      </c>
      <c r="C416" s="20" t="s">
        <v>192</v>
      </c>
      <c r="D416" s="20" t="s">
        <v>195</v>
      </c>
      <c r="E416" s="20" t="s">
        <v>1</v>
      </c>
      <c r="F416" s="13">
        <f>F417</f>
        <v>1494624</v>
      </c>
      <c r="G416" s="2"/>
      <c r="I416" s="13">
        <v>4141040</v>
      </c>
      <c r="J416" s="2"/>
      <c r="L416" s="114">
        <f t="shared" si="12"/>
        <v>-2646416</v>
      </c>
      <c r="M416" s="114">
        <f t="shared" si="13"/>
        <v>0</v>
      </c>
    </row>
    <row r="417" spans="1:13" ht="31.5" outlineLevel="5">
      <c r="A417" s="19" t="s">
        <v>458</v>
      </c>
      <c r="B417" s="20" t="s">
        <v>22</v>
      </c>
      <c r="C417" s="20" t="s">
        <v>192</v>
      </c>
      <c r="D417" s="20" t="s">
        <v>196</v>
      </c>
      <c r="E417" s="20" t="s">
        <v>1</v>
      </c>
      <c r="F417" s="13">
        <f>F418</f>
        <v>1494624</v>
      </c>
      <c r="G417" s="2"/>
      <c r="I417" s="13">
        <v>4141040</v>
      </c>
      <c r="J417" s="2"/>
      <c r="L417" s="114">
        <f t="shared" si="12"/>
        <v>-2646416</v>
      </c>
      <c r="M417" s="114">
        <f t="shared" si="13"/>
        <v>0</v>
      </c>
    </row>
    <row r="418" spans="1:13" ht="31.5" outlineLevel="6">
      <c r="A418" s="19" t="s">
        <v>693</v>
      </c>
      <c r="B418" s="20" t="s">
        <v>22</v>
      </c>
      <c r="C418" s="20" t="s">
        <v>192</v>
      </c>
      <c r="D418" s="20" t="s">
        <v>196</v>
      </c>
      <c r="E418" s="20" t="s">
        <v>17</v>
      </c>
      <c r="F418" s="13">
        <f>'Приложение_7 '!G430</f>
        <v>1494624</v>
      </c>
      <c r="G418" s="2"/>
      <c r="I418" s="13">
        <v>4141040</v>
      </c>
      <c r="J418" s="2"/>
      <c r="L418" s="114">
        <f t="shared" si="12"/>
        <v>-2646416</v>
      </c>
      <c r="M418" s="114">
        <f t="shared" si="13"/>
        <v>0</v>
      </c>
    </row>
    <row r="419" spans="1:13" ht="110.25" outlineLevel="6">
      <c r="A419" s="76" t="s">
        <v>1228</v>
      </c>
      <c r="B419" s="77" t="s">
        <v>22</v>
      </c>
      <c r="C419" s="77" t="s">
        <v>192</v>
      </c>
      <c r="D419" s="77" t="s">
        <v>1229</v>
      </c>
      <c r="E419" s="77" t="s">
        <v>1</v>
      </c>
      <c r="F419" s="13">
        <f>F420</f>
        <v>1800000</v>
      </c>
      <c r="G419" s="2"/>
      <c r="I419" s="13"/>
      <c r="J419" s="2"/>
      <c r="L419" s="114"/>
      <c r="M419" s="114"/>
    </row>
    <row r="420" spans="1:13" ht="31.5" outlineLevel="6">
      <c r="A420" s="76" t="s">
        <v>458</v>
      </c>
      <c r="B420" s="77" t="s">
        <v>22</v>
      </c>
      <c r="C420" s="77" t="s">
        <v>192</v>
      </c>
      <c r="D420" s="77" t="s">
        <v>1230</v>
      </c>
      <c r="E420" s="77" t="s">
        <v>1</v>
      </c>
      <c r="F420" s="13">
        <f>F421</f>
        <v>1800000</v>
      </c>
      <c r="G420" s="2"/>
      <c r="I420" s="13"/>
      <c r="J420" s="2"/>
      <c r="L420" s="114"/>
      <c r="M420" s="114"/>
    </row>
    <row r="421" spans="1:13" ht="31.5" outlineLevel="6">
      <c r="A421" s="76" t="s">
        <v>693</v>
      </c>
      <c r="B421" s="77" t="s">
        <v>22</v>
      </c>
      <c r="C421" s="77" t="s">
        <v>192</v>
      </c>
      <c r="D421" s="77" t="s">
        <v>1230</v>
      </c>
      <c r="E421" s="77" t="s">
        <v>17</v>
      </c>
      <c r="F421" s="13">
        <f>'Приложение_7 '!G433</f>
        <v>1800000</v>
      </c>
      <c r="G421" s="2"/>
      <c r="I421" s="13"/>
      <c r="J421" s="2"/>
      <c r="L421" s="114"/>
      <c r="M421" s="114"/>
    </row>
    <row r="422" spans="1:13" ht="63" outlineLevel="6">
      <c r="A422" s="76" t="s">
        <v>1291</v>
      </c>
      <c r="B422" s="77" t="s">
        <v>22</v>
      </c>
      <c r="C422" s="77" t="s">
        <v>192</v>
      </c>
      <c r="D422" s="77" t="s">
        <v>1292</v>
      </c>
      <c r="E422" s="77" t="s">
        <v>1</v>
      </c>
      <c r="F422" s="13">
        <f>F423</f>
        <v>500000</v>
      </c>
      <c r="G422" s="2"/>
      <c r="I422" s="13"/>
      <c r="J422" s="2"/>
      <c r="L422" s="114"/>
      <c r="M422" s="114"/>
    </row>
    <row r="423" spans="1:13" ht="31.5" outlineLevel="6">
      <c r="A423" s="76" t="s">
        <v>458</v>
      </c>
      <c r="B423" s="77" t="s">
        <v>22</v>
      </c>
      <c r="C423" s="77" t="s">
        <v>192</v>
      </c>
      <c r="D423" s="77" t="s">
        <v>1293</v>
      </c>
      <c r="E423" s="77" t="s">
        <v>1</v>
      </c>
      <c r="F423" s="13">
        <f>F424</f>
        <v>500000</v>
      </c>
      <c r="G423" s="2"/>
      <c r="I423" s="13"/>
      <c r="J423" s="2"/>
      <c r="L423" s="114"/>
      <c r="M423" s="114"/>
    </row>
    <row r="424" spans="1:13" ht="31.5" outlineLevel="6">
      <c r="A424" s="76" t="s">
        <v>693</v>
      </c>
      <c r="B424" s="77" t="s">
        <v>22</v>
      </c>
      <c r="C424" s="77" t="s">
        <v>192</v>
      </c>
      <c r="D424" s="77" t="s">
        <v>1293</v>
      </c>
      <c r="E424" s="77" t="s">
        <v>17</v>
      </c>
      <c r="F424" s="13">
        <f>'Приложение_7 '!G436</f>
        <v>500000</v>
      </c>
      <c r="G424" s="2"/>
      <c r="I424" s="13"/>
      <c r="J424" s="2"/>
      <c r="L424" s="114"/>
      <c r="M424" s="114"/>
    </row>
    <row r="425" spans="1:13" ht="63" outlineLevel="3">
      <c r="A425" s="82" t="s">
        <v>635</v>
      </c>
      <c r="B425" s="83" t="s">
        <v>22</v>
      </c>
      <c r="C425" s="83" t="s">
        <v>192</v>
      </c>
      <c r="D425" s="83" t="s">
        <v>197</v>
      </c>
      <c r="E425" s="83" t="s">
        <v>1</v>
      </c>
      <c r="F425" s="12">
        <f>F426+F432+F438</f>
        <v>21869334.380000003</v>
      </c>
      <c r="G425" s="1"/>
      <c r="I425" s="12">
        <v>23042258.4</v>
      </c>
      <c r="J425" s="1"/>
      <c r="L425" s="114">
        <f t="shared" si="12"/>
        <v>-1172924.0199999958</v>
      </c>
      <c r="M425" s="114">
        <f t="shared" si="13"/>
        <v>0</v>
      </c>
    </row>
    <row r="426" spans="1:13" ht="63" outlineLevel="4">
      <c r="A426" s="19" t="s">
        <v>543</v>
      </c>
      <c r="B426" s="20" t="s">
        <v>22</v>
      </c>
      <c r="C426" s="20" t="s">
        <v>192</v>
      </c>
      <c r="D426" s="20" t="s">
        <v>198</v>
      </c>
      <c r="E426" s="20" t="s">
        <v>1</v>
      </c>
      <c r="F426" s="13">
        <f>F427</f>
        <v>5933519.91</v>
      </c>
      <c r="G426" s="2"/>
      <c r="I426" s="13">
        <v>7135642.05</v>
      </c>
      <c r="J426" s="2"/>
      <c r="L426" s="114">
        <f t="shared" si="12"/>
        <v>-1202122.1399999997</v>
      </c>
      <c r="M426" s="114">
        <f t="shared" si="13"/>
        <v>0</v>
      </c>
    </row>
    <row r="427" spans="1:13" ht="63" outlineLevel="5">
      <c r="A427" s="19" t="s">
        <v>443</v>
      </c>
      <c r="B427" s="20" t="s">
        <v>22</v>
      </c>
      <c r="C427" s="20" t="s">
        <v>192</v>
      </c>
      <c r="D427" s="20" t="s">
        <v>199</v>
      </c>
      <c r="E427" s="20" t="s">
        <v>1</v>
      </c>
      <c r="F427" s="13">
        <f>F428+F429+F430+F431</f>
        <v>5933519.91</v>
      </c>
      <c r="G427" s="2"/>
      <c r="I427" s="13">
        <v>7135642.05</v>
      </c>
      <c r="J427" s="2"/>
      <c r="L427" s="114">
        <f t="shared" si="12"/>
        <v>-1202122.1399999997</v>
      </c>
      <c r="M427" s="114">
        <f t="shared" si="13"/>
        <v>0</v>
      </c>
    </row>
    <row r="428" spans="1:13" ht="78.75" outlineLevel="6">
      <c r="A428" s="19" t="s">
        <v>708</v>
      </c>
      <c r="B428" s="20" t="s">
        <v>22</v>
      </c>
      <c r="C428" s="20" t="s">
        <v>192</v>
      </c>
      <c r="D428" s="20" t="s">
        <v>199</v>
      </c>
      <c r="E428" s="20" t="s">
        <v>10</v>
      </c>
      <c r="F428" s="13">
        <f>'Приложение_7 '!G440</f>
        <v>5277891.38</v>
      </c>
      <c r="G428" s="2"/>
      <c r="I428" s="13">
        <v>5277891.38</v>
      </c>
      <c r="J428" s="2"/>
      <c r="L428" s="114">
        <f t="shared" si="12"/>
        <v>0</v>
      </c>
      <c r="M428" s="114">
        <f t="shared" si="13"/>
        <v>0</v>
      </c>
    </row>
    <row r="429" spans="1:13" ht="31.5" outlineLevel="6">
      <c r="A429" s="19" t="s">
        <v>693</v>
      </c>
      <c r="B429" s="20" t="s">
        <v>22</v>
      </c>
      <c r="C429" s="20" t="s">
        <v>192</v>
      </c>
      <c r="D429" s="20" t="s">
        <v>199</v>
      </c>
      <c r="E429" s="20" t="s">
        <v>17</v>
      </c>
      <c r="F429" s="13">
        <f>'Приложение_7 '!G441</f>
        <v>178070.85</v>
      </c>
      <c r="G429" s="2"/>
      <c r="I429" s="13">
        <v>178070.85</v>
      </c>
      <c r="J429" s="2"/>
      <c r="L429" s="114">
        <f t="shared" si="12"/>
        <v>0</v>
      </c>
      <c r="M429" s="114">
        <f t="shared" si="13"/>
        <v>0</v>
      </c>
    </row>
    <row r="430" spans="1:13" ht="31.5" outlineLevel="6">
      <c r="A430" s="19" t="s">
        <v>694</v>
      </c>
      <c r="B430" s="20" t="s">
        <v>22</v>
      </c>
      <c r="C430" s="20" t="s">
        <v>192</v>
      </c>
      <c r="D430" s="20" t="s">
        <v>199</v>
      </c>
      <c r="E430" s="20" t="s">
        <v>47</v>
      </c>
      <c r="F430" s="13">
        <f>'Приложение_7 '!G442</f>
        <v>282169.68000000017</v>
      </c>
      <c r="G430" s="2"/>
      <c r="I430" s="13">
        <v>1485091.82</v>
      </c>
      <c r="J430" s="2"/>
      <c r="L430" s="114">
        <f t="shared" si="12"/>
        <v>-1202922.14</v>
      </c>
      <c r="M430" s="114">
        <f t="shared" si="13"/>
        <v>0</v>
      </c>
    </row>
    <row r="431" spans="1:13" ht="15.75" outlineLevel="6">
      <c r="A431" s="19" t="s">
        <v>695</v>
      </c>
      <c r="B431" s="20" t="s">
        <v>22</v>
      </c>
      <c r="C431" s="20" t="s">
        <v>192</v>
      </c>
      <c r="D431" s="20" t="s">
        <v>199</v>
      </c>
      <c r="E431" s="20" t="s">
        <v>65</v>
      </c>
      <c r="F431" s="13">
        <f>'Приложение_7 '!G443</f>
        <v>195388</v>
      </c>
      <c r="G431" s="2"/>
      <c r="I431" s="13">
        <v>194588</v>
      </c>
      <c r="J431" s="2"/>
      <c r="L431" s="114">
        <f t="shared" si="12"/>
        <v>800</v>
      </c>
      <c r="M431" s="114">
        <f t="shared" si="13"/>
        <v>0</v>
      </c>
    </row>
    <row r="432" spans="1:13" ht="94.5" outlineLevel="4">
      <c r="A432" s="19" t="s">
        <v>544</v>
      </c>
      <c r="B432" s="20" t="s">
        <v>22</v>
      </c>
      <c r="C432" s="20" t="s">
        <v>192</v>
      </c>
      <c r="D432" s="20" t="s">
        <v>200</v>
      </c>
      <c r="E432" s="20" t="s">
        <v>1</v>
      </c>
      <c r="F432" s="13">
        <f>F433+F436</f>
        <v>10146646.38</v>
      </c>
      <c r="G432" s="2"/>
      <c r="I432" s="13">
        <v>9871044.22</v>
      </c>
      <c r="J432" s="2"/>
      <c r="L432" s="114">
        <f t="shared" si="12"/>
        <v>275602.16000000015</v>
      </c>
      <c r="M432" s="114">
        <f t="shared" si="13"/>
        <v>0</v>
      </c>
    </row>
    <row r="433" spans="1:13" ht="63" outlineLevel="5">
      <c r="A433" s="19" t="s">
        <v>443</v>
      </c>
      <c r="B433" s="20" t="s">
        <v>22</v>
      </c>
      <c r="C433" s="20" t="s">
        <v>192</v>
      </c>
      <c r="D433" s="20" t="s">
        <v>201</v>
      </c>
      <c r="E433" s="20" t="s">
        <v>1</v>
      </c>
      <c r="F433" s="13">
        <f>F434+F435</f>
        <v>9727645.8</v>
      </c>
      <c r="G433" s="1"/>
      <c r="I433" s="13">
        <v>9586044.22</v>
      </c>
      <c r="J433" s="1"/>
      <c r="L433" s="114">
        <f t="shared" si="12"/>
        <v>141601.58000000007</v>
      </c>
      <c r="M433" s="114">
        <f t="shared" si="13"/>
        <v>0</v>
      </c>
    </row>
    <row r="434" spans="1:13" ht="78.75" outlineLevel="6">
      <c r="A434" s="19" t="s">
        <v>708</v>
      </c>
      <c r="B434" s="20" t="s">
        <v>22</v>
      </c>
      <c r="C434" s="20" t="s">
        <v>192</v>
      </c>
      <c r="D434" s="20" t="s">
        <v>201</v>
      </c>
      <c r="E434" s="20" t="s">
        <v>10</v>
      </c>
      <c r="F434" s="13">
        <f>'Приложение_7 '!G446</f>
        <v>9186896.15</v>
      </c>
      <c r="G434" s="2"/>
      <c r="I434" s="13">
        <v>9186896.15</v>
      </c>
      <c r="J434" s="2"/>
      <c r="L434" s="114">
        <f t="shared" si="12"/>
        <v>0</v>
      </c>
      <c r="M434" s="114">
        <f t="shared" si="13"/>
        <v>0</v>
      </c>
    </row>
    <row r="435" spans="1:13" ht="31.5" outlineLevel="6">
      <c r="A435" s="19" t="s">
        <v>693</v>
      </c>
      <c r="B435" s="20" t="s">
        <v>22</v>
      </c>
      <c r="C435" s="20" t="s">
        <v>192</v>
      </c>
      <c r="D435" s="20" t="s">
        <v>201</v>
      </c>
      <c r="E435" s="20" t="s">
        <v>17</v>
      </c>
      <c r="F435" s="13">
        <f>'Приложение_7 '!G447</f>
        <v>540749.65</v>
      </c>
      <c r="G435" s="2"/>
      <c r="I435" s="13">
        <v>399148.07</v>
      </c>
      <c r="J435" s="2"/>
      <c r="L435" s="114">
        <f t="shared" si="12"/>
        <v>141601.58000000002</v>
      </c>
      <c r="M435" s="114">
        <f t="shared" si="13"/>
        <v>0</v>
      </c>
    </row>
    <row r="436" spans="1:13" ht="63" outlineLevel="5">
      <c r="A436" s="19" t="s">
        <v>432</v>
      </c>
      <c r="B436" s="20" t="s">
        <v>22</v>
      </c>
      <c r="C436" s="20" t="s">
        <v>192</v>
      </c>
      <c r="D436" s="20" t="s">
        <v>202</v>
      </c>
      <c r="E436" s="20" t="s">
        <v>1</v>
      </c>
      <c r="F436" s="13">
        <f>F437</f>
        <v>419000.57999999996</v>
      </c>
      <c r="G436" s="2"/>
      <c r="I436" s="13">
        <v>285000</v>
      </c>
      <c r="J436" s="2"/>
      <c r="L436" s="114">
        <f t="shared" si="12"/>
        <v>134000.57999999996</v>
      </c>
      <c r="M436" s="114">
        <f t="shared" si="13"/>
        <v>0</v>
      </c>
    </row>
    <row r="437" spans="1:13" ht="78.75" outlineLevel="6">
      <c r="A437" s="19" t="s">
        <v>708</v>
      </c>
      <c r="B437" s="20" t="s">
        <v>22</v>
      </c>
      <c r="C437" s="20" t="s">
        <v>192</v>
      </c>
      <c r="D437" s="20" t="s">
        <v>202</v>
      </c>
      <c r="E437" s="20" t="s">
        <v>10</v>
      </c>
      <c r="F437" s="13">
        <f>'Приложение_7 '!G449</f>
        <v>419000.57999999996</v>
      </c>
      <c r="G437" s="2"/>
      <c r="I437" s="13">
        <v>285000</v>
      </c>
      <c r="J437" s="2"/>
      <c r="L437" s="114">
        <f t="shared" si="12"/>
        <v>134000.57999999996</v>
      </c>
      <c r="M437" s="114">
        <f t="shared" si="13"/>
        <v>0</v>
      </c>
    </row>
    <row r="438" spans="1:13" ht="94.5" outlineLevel="4">
      <c r="A438" s="19" t="s">
        <v>545</v>
      </c>
      <c r="B438" s="20" t="s">
        <v>22</v>
      </c>
      <c r="C438" s="20" t="s">
        <v>192</v>
      </c>
      <c r="D438" s="20" t="s">
        <v>203</v>
      </c>
      <c r="E438" s="20" t="s">
        <v>1</v>
      </c>
      <c r="F438" s="13">
        <f>F439</f>
        <v>5789168.09</v>
      </c>
      <c r="G438" s="2"/>
      <c r="I438" s="13">
        <v>6035572.13</v>
      </c>
      <c r="J438" s="2"/>
      <c r="L438" s="114">
        <f t="shared" si="12"/>
        <v>-246404.04000000004</v>
      </c>
      <c r="M438" s="114">
        <f t="shared" si="13"/>
        <v>0</v>
      </c>
    </row>
    <row r="439" spans="1:13" ht="63" outlineLevel="5">
      <c r="A439" s="19" t="s">
        <v>443</v>
      </c>
      <c r="B439" s="20" t="s">
        <v>22</v>
      </c>
      <c r="C439" s="20" t="s">
        <v>192</v>
      </c>
      <c r="D439" s="20" t="s">
        <v>204</v>
      </c>
      <c r="E439" s="20" t="s">
        <v>1</v>
      </c>
      <c r="F439" s="13">
        <f>F440+F441</f>
        <v>5789168.09</v>
      </c>
      <c r="G439" s="2"/>
      <c r="I439" s="13">
        <v>6035572.13</v>
      </c>
      <c r="J439" s="2"/>
      <c r="L439" s="114">
        <f aca="true" t="shared" si="14" ref="L439:L528">F439-I439</f>
        <v>-246404.04000000004</v>
      </c>
      <c r="M439" s="114">
        <f aca="true" t="shared" si="15" ref="M439:M528">G439-J439</f>
        <v>0</v>
      </c>
    </row>
    <row r="440" spans="1:13" ht="78.75" outlineLevel="6">
      <c r="A440" s="19" t="s">
        <v>708</v>
      </c>
      <c r="B440" s="20" t="s">
        <v>22</v>
      </c>
      <c r="C440" s="20" t="s">
        <v>192</v>
      </c>
      <c r="D440" s="20" t="s">
        <v>204</v>
      </c>
      <c r="E440" s="20" t="s">
        <v>10</v>
      </c>
      <c r="F440" s="13">
        <f>'Приложение_7 '!G452</f>
        <v>5305905.13</v>
      </c>
      <c r="G440" s="2"/>
      <c r="I440" s="13">
        <v>5630310.41</v>
      </c>
      <c r="J440" s="2"/>
      <c r="L440" s="114">
        <f t="shared" si="14"/>
        <v>-324405.28000000026</v>
      </c>
      <c r="M440" s="114">
        <f t="shared" si="15"/>
        <v>0</v>
      </c>
    </row>
    <row r="441" spans="1:13" ht="31.5" outlineLevel="6">
      <c r="A441" s="19" t="s">
        <v>693</v>
      </c>
      <c r="B441" s="20" t="s">
        <v>22</v>
      </c>
      <c r="C441" s="20" t="s">
        <v>192</v>
      </c>
      <c r="D441" s="20" t="s">
        <v>204</v>
      </c>
      <c r="E441" s="20" t="s">
        <v>17</v>
      </c>
      <c r="F441" s="13">
        <f>'Приложение_7 '!G453</f>
        <v>483262.95999999996</v>
      </c>
      <c r="G441" s="2"/>
      <c r="I441" s="13">
        <v>405261.72</v>
      </c>
      <c r="J441" s="2"/>
      <c r="L441" s="114">
        <f t="shared" si="14"/>
        <v>78001.23999999999</v>
      </c>
      <c r="M441" s="114">
        <f t="shared" si="15"/>
        <v>0</v>
      </c>
    </row>
    <row r="442" spans="1:13" s="113" customFormat="1" ht="15.75">
      <c r="A442" s="82" t="s">
        <v>699</v>
      </c>
      <c r="B442" s="83" t="s">
        <v>159</v>
      </c>
      <c r="C442" s="83" t="s">
        <v>3</v>
      </c>
      <c r="D442" s="83" t="s">
        <v>4</v>
      </c>
      <c r="E442" s="83" t="s">
        <v>1</v>
      </c>
      <c r="F442" s="12">
        <f>F443+F467+F489+F524</f>
        <v>162362262.92000002</v>
      </c>
      <c r="G442" s="12">
        <f>G443+G467+G489+G524</f>
        <v>31408633.19</v>
      </c>
      <c r="I442" s="12">
        <v>105992870.46</v>
      </c>
      <c r="J442" s="1"/>
      <c r="L442" s="114">
        <f t="shared" si="14"/>
        <v>56369392.46000002</v>
      </c>
      <c r="M442" s="114">
        <f t="shared" si="15"/>
        <v>31408633.19</v>
      </c>
    </row>
    <row r="443" spans="1:13" s="113" customFormat="1" ht="24.75" customHeight="1" outlineLevel="1">
      <c r="A443" s="82" t="s">
        <v>676</v>
      </c>
      <c r="B443" s="83" t="s">
        <v>159</v>
      </c>
      <c r="C443" s="83" t="s">
        <v>2</v>
      </c>
      <c r="D443" s="83" t="s">
        <v>4</v>
      </c>
      <c r="E443" s="83" t="s">
        <v>1</v>
      </c>
      <c r="F443" s="12">
        <f>F444+F457</f>
        <v>54989085.279999994</v>
      </c>
      <c r="G443" s="12">
        <f>G444+G457</f>
        <v>21819763.19</v>
      </c>
      <c r="I443" s="12">
        <v>31251058.4</v>
      </c>
      <c r="J443" s="1"/>
      <c r="L443" s="114">
        <f t="shared" si="14"/>
        <v>23738026.879999995</v>
      </c>
      <c r="M443" s="114">
        <f t="shared" si="15"/>
        <v>21819763.19</v>
      </c>
    </row>
    <row r="444" spans="1:13" ht="63" outlineLevel="2">
      <c r="A444" s="82" t="s">
        <v>660</v>
      </c>
      <c r="B444" s="83" t="s">
        <v>159</v>
      </c>
      <c r="C444" s="83" t="s">
        <v>2</v>
      </c>
      <c r="D444" s="83" t="s">
        <v>160</v>
      </c>
      <c r="E444" s="83" t="s">
        <v>1</v>
      </c>
      <c r="F444" s="12">
        <f>F445</f>
        <v>51464255.279999994</v>
      </c>
      <c r="G444" s="12">
        <f>G445</f>
        <v>21819763.19</v>
      </c>
      <c r="I444" s="12">
        <v>30564578.4</v>
      </c>
      <c r="J444" s="1"/>
      <c r="L444" s="114">
        <f t="shared" si="14"/>
        <v>20899676.879999995</v>
      </c>
      <c r="M444" s="114">
        <f t="shared" si="15"/>
        <v>21819763.19</v>
      </c>
    </row>
    <row r="445" spans="1:13" s="261" customFormat="1" ht="31.5" outlineLevel="3">
      <c r="A445" s="115" t="s">
        <v>636</v>
      </c>
      <c r="B445" s="116" t="s">
        <v>159</v>
      </c>
      <c r="C445" s="116" t="s">
        <v>2</v>
      </c>
      <c r="D445" s="116" t="s">
        <v>205</v>
      </c>
      <c r="E445" s="116" t="s">
        <v>1</v>
      </c>
      <c r="F445" s="117">
        <f>F446+F449+F454</f>
        <v>51464255.279999994</v>
      </c>
      <c r="G445" s="117">
        <f>G446+G449+G454+G452</f>
        <v>21819763.19</v>
      </c>
      <c r="I445" s="264">
        <v>30564578.4</v>
      </c>
      <c r="J445" s="262"/>
      <c r="L445" s="263">
        <f t="shared" si="14"/>
        <v>20899676.879999995</v>
      </c>
      <c r="M445" s="263">
        <f t="shared" si="15"/>
        <v>21819763.19</v>
      </c>
    </row>
    <row r="446" spans="1:13" ht="15.75" outlineLevel="4">
      <c r="A446" s="108" t="s">
        <v>546</v>
      </c>
      <c r="B446" s="109" t="s">
        <v>159</v>
      </c>
      <c r="C446" s="109" t="s">
        <v>2</v>
      </c>
      <c r="D446" s="109" t="s">
        <v>206</v>
      </c>
      <c r="E446" s="109" t="s">
        <v>1</v>
      </c>
      <c r="F446" s="110">
        <f>F447</f>
        <v>6532132.869999999</v>
      </c>
      <c r="G446" s="111"/>
      <c r="I446" s="13">
        <v>7452219.18</v>
      </c>
      <c r="J446" s="2"/>
      <c r="L446" s="114">
        <f t="shared" si="14"/>
        <v>-920086.3100000005</v>
      </c>
      <c r="M446" s="114">
        <f t="shared" si="15"/>
        <v>0</v>
      </c>
    </row>
    <row r="447" spans="1:13" ht="31.5" outlineLevel="5">
      <c r="A447" s="108" t="s">
        <v>456</v>
      </c>
      <c r="B447" s="109" t="s">
        <v>159</v>
      </c>
      <c r="C447" s="109" t="s">
        <v>2</v>
      </c>
      <c r="D447" s="109" t="s">
        <v>207</v>
      </c>
      <c r="E447" s="109" t="s">
        <v>1</v>
      </c>
      <c r="F447" s="110">
        <f>F448</f>
        <v>6532132.869999999</v>
      </c>
      <c r="G447" s="111"/>
      <c r="I447" s="13">
        <v>7452219.18</v>
      </c>
      <c r="J447" s="2"/>
      <c r="L447" s="114">
        <f t="shared" si="14"/>
        <v>-920086.3100000005</v>
      </c>
      <c r="M447" s="114">
        <f t="shared" si="15"/>
        <v>0</v>
      </c>
    </row>
    <row r="448" spans="1:13" ht="31.5" outlineLevel="6">
      <c r="A448" s="108" t="s">
        <v>693</v>
      </c>
      <c r="B448" s="109" t="s">
        <v>159</v>
      </c>
      <c r="C448" s="109" t="s">
        <v>2</v>
      </c>
      <c r="D448" s="109" t="s">
        <v>207</v>
      </c>
      <c r="E448" s="109" t="s">
        <v>17</v>
      </c>
      <c r="F448" s="110">
        <f>'Приложение_7 '!G460</f>
        <v>6532132.869999999</v>
      </c>
      <c r="G448" s="111"/>
      <c r="I448" s="13">
        <v>7452219.18</v>
      </c>
      <c r="J448" s="2"/>
      <c r="L448" s="114">
        <f t="shared" si="14"/>
        <v>-920086.3100000005</v>
      </c>
      <c r="M448" s="114">
        <f t="shared" si="15"/>
        <v>0</v>
      </c>
    </row>
    <row r="449" spans="1:13" s="261" customFormat="1" ht="69" customHeight="1" outlineLevel="4">
      <c r="A449" s="148" t="s">
        <v>547</v>
      </c>
      <c r="B449" s="109" t="s">
        <v>159</v>
      </c>
      <c r="C449" s="109" t="s">
        <v>2</v>
      </c>
      <c r="D449" s="109" t="s">
        <v>208</v>
      </c>
      <c r="E449" s="109" t="s">
        <v>1</v>
      </c>
      <c r="F449" s="110">
        <f>F450+F452</f>
        <v>42141426.47</v>
      </c>
      <c r="G449" s="111">
        <f>G450</f>
        <v>21819763.19</v>
      </c>
      <c r="I449" s="212">
        <v>20321663.28</v>
      </c>
      <c r="J449" s="262"/>
      <c r="L449" s="263">
        <f t="shared" si="14"/>
        <v>21819763.189999998</v>
      </c>
      <c r="M449" s="263">
        <f t="shared" si="15"/>
        <v>21819763.19</v>
      </c>
    </row>
    <row r="450" spans="1:13" ht="69" customHeight="1" outlineLevel="4">
      <c r="A450" s="76" t="s">
        <v>1268</v>
      </c>
      <c r="B450" s="20" t="s">
        <v>159</v>
      </c>
      <c r="C450" s="20" t="s">
        <v>2</v>
      </c>
      <c r="D450" s="77" t="s">
        <v>1269</v>
      </c>
      <c r="E450" s="20" t="s">
        <v>1</v>
      </c>
      <c r="F450" s="13">
        <f>F451</f>
        <v>21819763.19</v>
      </c>
      <c r="G450" s="2">
        <f>F450</f>
        <v>21819763.19</v>
      </c>
      <c r="I450" s="13"/>
      <c r="J450" s="1"/>
      <c r="L450" s="114"/>
      <c r="M450" s="114"/>
    </row>
    <row r="451" spans="1:13" ht="29.25" customHeight="1" outlineLevel="4">
      <c r="A451" s="76" t="s">
        <v>693</v>
      </c>
      <c r="B451" s="20" t="s">
        <v>159</v>
      </c>
      <c r="C451" s="20" t="s">
        <v>2</v>
      </c>
      <c r="D451" s="77" t="s">
        <v>1269</v>
      </c>
      <c r="E451" s="20" t="s">
        <v>17</v>
      </c>
      <c r="F451" s="13">
        <f>'Приложение_7 '!G463</f>
        <v>21819763.19</v>
      </c>
      <c r="G451" s="2">
        <f>F451</f>
        <v>21819763.19</v>
      </c>
      <c r="I451" s="13"/>
      <c r="J451" s="1"/>
      <c r="L451" s="114"/>
      <c r="M451" s="114"/>
    </row>
    <row r="452" spans="1:13" ht="78.75" outlineLevel="5">
      <c r="A452" s="76" t="s">
        <v>1268</v>
      </c>
      <c r="B452" s="20" t="s">
        <v>159</v>
      </c>
      <c r="C452" s="20" t="s">
        <v>2</v>
      </c>
      <c r="D452" s="77" t="s">
        <v>1267</v>
      </c>
      <c r="E452" s="20" t="s">
        <v>1</v>
      </c>
      <c r="F452" s="13">
        <f>F453</f>
        <v>20321663.28</v>
      </c>
      <c r="G452" s="2"/>
      <c r="I452" s="13">
        <v>20321663.28</v>
      </c>
      <c r="J452" s="2"/>
      <c r="L452" s="114">
        <f t="shared" si="14"/>
        <v>0</v>
      </c>
      <c r="M452" s="114">
        <f t="shared" si="15"/>
        <v>0</v>
      </c>
    </row>
    <row r="453" spans="1:13" ht="31.5" outlineLevel="6">
      <c r="A453" s="76" t="s">
        <v>693</v>
      </c>
      <c r="B453" s="20" t="s">
        <v>159</v>
      </c>
      <c r="C453" s="20" t="s">
        <v>2</v>
      </c>
      <c r="D453" s="77" t="s">
        <v>1267</v>
      </c>
      <c r="E453" s="20" t="s">
        <v>17</v>
      </c>
      <c r="F453" s="13">
        <f>'Приложение_7 '!G465</f>
        <v>20321663.28</v>
      </c>
      <c r="G453" s="2"/>
      <c r="I453" s="13">
        <v>20321663.28</v>
      </c>
      <c r="J453" s="2"/>
      <c r="L453" s="114">
        <f t="shared" si="14"/>
        <v>0</v>
      </c>
      <c r="M453" s="114">
        <f t="shared" si="15"/>
        <v>0</v>
      </c>
    </row>
    <row r="454" spans="1:13" ht="63" outlineLevel="4">
      <c r="A454" s="19" t="s">
        <v>548</v>
      </c>
      <c r="B454" s="20" t="s">
        <v>159</v>
      </c>
      <c r="C454" s="20" t="s">
        <v>2</v>
      </c>
      <c r="D454" s="20" t="s">
        <v>209</v>
      </c>
      <c r="E454" s="20" t="s">
        <v>1</v>
      </c>
      <c r="F454" s="13">
        <f>F455</f>
        <v>2790695.94</v>
      </c>
      <c r="G454" s="2"/>
      <c r="I454" s="13">
        <v>2790695.94</v>
      </c>
      <c r="J454" s="2"/>
      <c r="L454" s="114">
        <f t="shared" si="14"/>
        <v>0</v>
      </c>
      <c r="M454" s="114">
        <f t="shared" si="15"/>
        <v>0</v>
      </c>
    </row>
    <row r="455" spans="1:13" ht="31.5" outlineLevel="5">
      <c r="A455" s="19" t="s">
        <v>459</v>
      </c>
      <c r="B455" s="20" t="s">
        <v>159</v>
      </c>
      <c r="C455" s="20" t="s">
        <v>2</v>
      </c>
      <c r="D455" s="20" t="s">
        <v>210</v>
      </c>
      <c r="E455" s="20" t="s">
        <v>1</v>
      </c>
      <c r="F455" s="13">
        <f>F456</f>
        <v>2790695.94</v>
      </c>
      <c r="G455" s="2"/>
      <c r="I455" s="13">
        <v>2790695.94</v>
      </c>
      <c r="J455" s="2"/>
      <c r="L455" s="114">
        <f t="shared" si="14"/>
        <v>0</v>
      </c>
      <c r="M455" s="114">
        <f t="shared" si="15"/>
        <v>0</v>
      </c>
    </row>
    <row r="456" spans="1:13" ht="31.5" outlineLevel="6">
      <c r="A456" s="19" t="s">
        <v>693</v>
      </c>
      <c r="B456" s="20" t="s">
        <v>159</v>
      </c>
      <c r="C456" s="20" t="s">
        <v>2</v>
      </c>
      <c r="D456" s="20" t="s">
        <v>210</v>
      </c>
      <c r="E456" s="20" t="s">
        <v>17</v>
      </c>
      <c r="F456" s="13">
        <f>'Приложение_7 '!G468</f>
        <v>2790695.94</v>
      </c>
      <c r="G456" s="2"/>
      <c r="I456" s="13">
        <v>2790695.94</v>
      </c>
      <c r="J456" s="2"/>
      <c r="L456" s="114">
        <f t="shared" si="14"/>
        <v>0</v>
      </c>
      <c r="M456" s="114">
        <f t="shared" si="15"/>
        <v>0</v>
      </c>
    </row>
    <row r="457" spans="1:13" ht="47.25" outlineLevel="2">
      <c r="A457" s="82" t="s">
        <v>622</v>
      </c>
      <c r="B457" s="83" t="s">
        <v>159</v>
      </c>
      <c r="C457" s="83" t="s">
        <v>2</v>
      </c>
      <c r="D457" s="83" t="s">
        <v>80</v>
      </c>
      <c r="E457" s="83" t="s">
        <v>1</v>
      </c>
      <c r="F457" s="12">
        <f>F458+F462+F464</f>
        <v>3524830</v>
      </c>
      <c r="G457" s="1"/>
      <c r="I457" s="12">
        <v>686480</v>
      </c>
      <c r="J457" s="1"/>
      <c r="L457" s="114">
        <f t="shared" si="14"/>
        <v>2838350</v>
      </c>
      <c r="M457" s="114">
        <f t="shared" si="15"/>
        <v>0</v>
      </c>
    </row>
    <row r="458" spans="1:13" ht="31.5" outlineLevel="4">
      <c r="A458" s="76" t="s">
        <v>1270</v>
      </c>
      <c r="B458" s="20" t="s">
        <v>159</v>
      </c>
      <c r="C458" s="20" t="s">
        <v>2</v>
      </c>
      <c r="D458" s="77" t="s">
        <v>1271</v>
      </c>
      <c r="E458" s="20" t="s">
        <v>1</v>
      </c>
      <c r="F458" s="13">
        <f>F459</f>
        <v>2416350</v>
      </c>
      <c r="G458" s="2"/>
      <c r="I458" s="13">
        <v>686480</v>
      </c>
      <c r="J458" s="2"/>
      <c r="L458" s="114">
        <f t="shared" si="14"/>
        <v>1729870</v>
      </c>
      <c r="M458" s="114">
        <f t="shared" si="15"/>
        <v>0</v>
      </c>
    </row>
    <row r="459" spans="1:13" ht="31.5" outlineLevel="5">
      <c r="A459" s="19" t="s">
        <v>441</v>
      </c>
      <c r="B459" s="20" t="s">
        <v>159</v>
      </c>
      <c r="C459" s="20" t="s">
        <v>2</v>
      </c>
      <c r="D459" s="77" t="s">
        <v>1272</v>
      </c>
      <c r="E459" s="20" t="s">
        <v>1</v>
      </c>
      <c r="F459" s="13">
        <f>F460</f>
        <v>2416350</v>
      </c>
      <c r="G459" s="2"/>
      <c r="I459" s="13">
        <v>686480</v>
      </c>
      <c r="J459" s="2"/>
      <c r="L459" s="114">
        <f t="shared" si="14"/>
        <v>1729870</v>
      </c>
      <c r="M459" s="114">
        <f t="shared" si="15"/>
        <v>0</v>
      </c>
    </row>
    <row r="460" spans="1:13" s="112" customFormat="1" ht="31.5" outlineLevel="6">
      <c r="A460" s="108" t="s">
        <v>693</v>
      </c>
      <c r="B460" s="109" t="s">
        <v>159</v>
      </c>
      <c r="C460" s="109" t="s">
        <v>2</v>
      </c>
      <c r="D460" s="77" t="s">
        <v>1272</v>
      </c>
      <c r="E460" s="109" t="s">
        <v>17</v>
      </c>
      <c r="F460" s="110">
        <f>'Приложение_7 '!G472</f>
        <v>2416350</v>
      </c>
      <c r="G460" s="111"/>
      <c r="I460" s="110">
        <v>686480</v>
      </c>
      <c r="J460" s="111"/>
      <c r="L460" s="114">
        <f t="shared" si="14"/>
        <v>1729870</v>
      </c>
      <c r="M460" s="114">
        <f t="shared" si="15"/>
        <v>0</v>
      </c>
    </row>
    <row r="461" spans="1:13" s="112" customFormat="1" ht="47.25" outlineLevel="6">
      <c r="A461" s="76" t="s">
        <v>1242</v>
      </c>
      <c r="B461" s="77" t="s">
        <v>159</v>
      </c>
      <c r="C461" s="77" t="s">
        <v>2</v>
      </c>
      <c r="D461" s="77" t="s">
        <v>1243</v>
      </c>
      <c r="E461" s="77" t="s">
        <v>1</v>
      </c>
      <c r="F461" s="78">
        <f>F462</f>
        <v>381600</v>
      </c>
      <c r="G461" s="111"/>
      <c r="I461" s="110"/>
      <c r="J461" s="111"/>
      <c r="L461" s="114"/>
      <c r="M461" s="114"/>
    </row>
    <row r="462" spans="1:13" s="112" customFormat="1" ht="31.5" outlineLevel="6">
      <c r="A462" s="76" t="s">
        <v>441</v>
      </c>
      <c r="B462" s="77" t="s">
        <v>159</v>
      </c>
      <c r="C462" s="77" t="s">
        <v>2</v>
      </c>
      <c r="D462" s="77" t="s">
        <v>1244</v>
      </c>
      <c r="E462" s="77" t="s">
        <v>1</v>
      </c>
      <c r="F462" s="78">
        <f>F463</f>
        <v>381600</v>
      </c>
      <c r="G462" s="111"/>
      <c r="I462" s="110"/>
      <c r="J462" s="111"/>
      <c r="L462" s="114"/>
      <c r="M462" s="114"/>
    </row>
    <row r="463" spans="1:13" s="112" customFormat="1" ht="31.5" outlineLevel="6">
      <c r="A463" s="76" t="s">
        <v>693</v>
      </c>
      <c r="B463" s="77" t="s">
        <v>159</v>
      </c>
      <c r="C463" s="77" t="s">
        <v>2</v>
      </c>
      <c r="D463" s="77" t="s">
        <v>1244</v>
      </c>
      <c r="E463" s="77" t="s">
        <v>17</v>
      </c>
      <c r="F463" s="78">
        <f>'Приложение_7 '!G475</f>
        <v>381600</v>
      </c>
      <c r="G463" s="111"/>
      <c r="I463" s="110"/>
      <c r="J463" s="111"/>
      <c r="L463" s="114"/>
      <c r="M463" s="114"/>
    </row>
    <row r="464" spans="1:13" s="112" customFormat="1" ht="63" outlineLevel="6">
      <c r="A464" s="76" t="s">
        <v>1245</v>
      </c>
      <c r="B464" s="77" t="s">
        <v>159</v>
      </c>
      <c r="C464" s="77" t="s">
        <v>2</v>
      </c>
      <c r="D464" s="77" t="s">
        <v>1246</v>
      </c>
      <c r="E464" s="77" t="s">
        <v>1</v>
      </c>
      <c r="F464" s="78">
        <f>F465</f>
        <v>726880</v>
      </c>
      <c r="G464" s="111"/>
      <c r="I464" s="110"/>
      <c r="J464" s="111"/>
      <c r="L464" s="114"/>
      <c r="M464" s="114"/>
    </row>
    <row r="465" spans="1:13" s="112" customFormat="1" ht="31.5" outlineLevel="6">
      <c r="A465" s="76" t="s">
        <v>441</v>
      </c>
      <c r="B465" s="77" t="s">
        <v>159</v>
      </c>
      <c r="C465" s="77" t="s">
        <v>2</v>
      </c>
      <c r="D465" s="77" t="s">
        <v>1247</v>
      </c>
      <c r="E465" s="77" t="s">
        <v>1</v>
      </c>
      <c r="F465" s="78">
        <f>F466</f>
        <v>726880</v>
      </c>
      <c r="G465" s="111"/>
      <c r="I465" s="110"/>
      <c r="J465" s="111"/>
      <c r="L465" s="114"/>
      <c r="M465" s="114"/>
    </row>
    <row r="466" spans="1:13" s="112" customFormat="1" ht="31.5" outlineLevel="6">
      <c r="A466" s="76" t="s">
        <v>693</v>
      </c>
      <c r="B466" s="77" t="s">
        <v>159</v>
      </c>
      <c r="C466" s="77" t="s">
        <v>2</v>
      </c>
      <c r="D466" s="77" t="s">
        <v>1247</v>
      </c>
      <c r="E466" s="77" t="s">
        <v>17</v>
      </c>
      <c r="F466" s="78">
        <f>'Приложение_7 '!G478</f>
        <v>726880</v>
      </c>
      <c r="G466" s="111"/>
      <c r="I466" s="110"/>
      <c r="J466" s="111"/>
      <c r="L466" s="114"/>
      <c r="M466" s="114"/>
    </row>
    <row r="467" spans="1:13" s="113" customFormat="1" ht="29.25" customHeight="1" outlineLevel="1">
      <c r="A467" s="82" t="s">
        <v>677</v>
      </c>
      <c r="B467" s="83" t="s">
        <v>159</v>
      </c>
      <c r="C467" s="83" t="s">
        <v>5</v>
      </c>
      <c r="D467" s="83" t="s">
        <v>4</v>
      </c>
      <c r="E467" s="83" t="s">
        <v>1</v>
      </c>
      <c r="F467" s="12">
        <f>F468</f>
        <v>57979709.01</v>
      </c>
      <c r="G467" s="1"/>
      <c r="I467" s="12">
        <v>17618181.53</v>
      </c>
      <c r="J467" s="1"/>
      <c r="L467" s="114">
        <f t="shared" si="14"/>
        <v>40361527.48</v>
      </c>
      <c r="M467" s="114">
        <f t="shared" si="15"/>
        <v>0</v>
      </c>
    </row>
    <row r="468" spans="1:13" ht="63" outlineLevel="2">
      <c r="A468" s="82" t="s">
        <v>660</v>
      </c>
      <c r="B468" s="83" t="s">
        <v>159</v>
      </c>
      <c r="C468" s="83" t="s">
        <v>5</v>
      </c>
      <c r="D468" s="83" t="s">
        <v>160</v>
      </c>
      <c r="E468" s="83" t="s">
        <v>1</v>
      </c>
      <c r="F468" s="12">
        <f>F469+F479</f>
        <v>57979709.01</v>
      </c>
      <c r="G468" s="1"/>
      <c r="I468" s="12">
        <v>17618181.53</v>
      </c>
      <c r="J468" s="1"/>
      <c r="L468" s="114">
        <f t="shared" si="14"/>
        <v>40361527.48</v>
      </c>
      <c r="M468" s="114">
        <f t="shared" si="15"/>
        <v>0</v>
      </c>
    </row>
    <row r="469" spans="1:13" ht="47.25" outlineLevel="3">
      <c r="A469" s="82" t="s">
        <v>637</v>
      </c>
      <c r="B469" s="83" t="s">
        <v>159</v>
      </c>
      <c r="C469" s="83" t="s">
        <v>5</v>
      </c>
      <c r="D469" s="83" t="s">
        <v>211</v>
      </c>
      <c r="E469" s="83" t="s">
        <v>1</v>
      </c>
      <c r="F469" s="12">
        <f>F470+F473+F476</f>
        <v>1907981.7999999998</v>
      </c>
      <c r="G469" s="1"/>
      <c r="I469" s="12">
        <v>1626167.54</v>
      </c>
      <c r="J469" s="1"/>
      <c r="L469" s="114">
        <f t="shared" si="14"/>
        <v>281814.2599999998</v>
      </c>
      <c r="M469" s="114">
        <f t="shared" si="15"/>
        <v>0</v>
      </c>
    </row>
    <row r="470" spans="1:13" ht="15.75" outlineLevel="4">
      <c r="A470" s="19" t="s">
        <v>549</v>
      </c>
      <c r="B470" s="20" t="s">
        <v>159</v>
      </c>
      <c r="C470" s="20" t="s">
        <v>5</v>
      </c>
      <c r="D470" s="20" t="s">
        <v>212</v>
      </c>
      <c r="E470" s="20" t="s">
        <v>1</v>
      </c>
      <c r="F470" s="13">
        <f>F471</f>
        <v>499022</v>
      </c>
      <c r="G470" s="2"/>
      <c r="I470" s="13">
        <v>565337.64</v>
      </c>
      <c r="J470" s="2"/>
      <c r="L470" s="114">
        <f t="shared" si="14"/>
        <v>-66315.64000000001</v>
      </c>
      <c r="M470" s="114">
        <f t="shared" si="15"/>
        <v>0</v>
      </c>
    </row>
    <row r="471" spans="1:13" ht="31.5" outlineLevel="5">
      <c r="A471" s="19" t="s">
        <v>460</v>
      </c>
      <c r="B471" s="20" t="s">
        <v>159</v>
      </c>
      <c r="C471" s="20" t="s">
        <v>5</v>
      </c>
      <c r="D471" s="20" t="s">
        <v>213</v>
      </c>
      <c r="E471" s="20" t="s">
        <v>1</v>
      </c>
      <c r="F471" s="13">
        <f>F472</f>
        <v>499022</v>
      </c>
      <c r="G471" s="2"/>
      <c r="I471" s="13">
        <v>565337.64</v>
      </c>
      <c r="J471" s="2"/>
      <c r="L471" s="114">
        <f t="shared" si="14"/>
        <v>-66315.64000000001</v>
      </c>
      <c r="M471" s="114">
        <f t="shared" si="15"/>
        <v>0</v>
      </c>
    </row>
    <row r="472" spans="1:13" ht="31.5" outlineLevel="6">
      <c r="A472" s="19" t="s">
        <v>693</v>
      </c>
      <c r="B472" s="20" t="s">
        <v>159</v>
      </c>
      <c r="C472" s="20" t="s">
        <v>5</v>
      </c>
      <c r="D472" s="20" t="s">
        <v>213</v>
      </c>
      <c r="E472" s="20" t="s">
        <v>17</v>
      </c>
      <c r="F472" s="13">
        <f>'Приложение_7 '!G484</f>
        <v>499022</v>
      </c>
      <c r="G472" s="2"/>
      <c r="I472" s="13">
        <v>565337.64</v>
      </c>
      <c r="J472" s="2"/>
      <c r="L472" s="114">
        <f t="shared" si="14"/>
        <v>-66315.64000000001</v>
      </c>
      <c r="M472" s="114">
        <f t="shared" si="15"/>
        <v>0</v>
      </c>
    </row>
    <row r="473" spans="1:13" ht="15.75" outlineLevel="4">
      <c r="A473" s="19" t="s">
        <v>550</v>
      </c>
      <c r="B473" s="20" t="s">
        <v>159</v>
      </c>
      <c r="C473" s="20" t="s">
        <v>5</v>
      </c>
      <c r="D473" s="20" t="s">
        <v>214</v>
      </c>
      <c r="E473" s="20" t="s">
        <v>1</v>
      </c>
      <c r="F473" s="13">
        <f>F474</f>
        <v>1008959.7999999999</v>
      </c>
      <c r="G473" s="2"/>
      <c r="I473" s="13">
        <v>1060829.9</v>
      </c>
      <c r="J473" s="2"/>
      <c r="L473" s="114">
        <f t="shared" si="14"/>
        <v>-51870.09999999998</v>
      </c>
      <c r="M473" s="114">
        <f t="shared" si="15"/>
        <v>0</v>
      </c>
    </row>
    <row r="474" spans="1:13" ht="31.5" outlineLevel="5">
      <c r="A474" s="19" t="s">
        <v>460</v>
      </c>
      <c r="B474" s="20" t="s">
        <v>159</v>
      </c>
      <c r="C474" s="20" t="s">
        <v>5</v>
      </c>
      <c r="D474" s="20" t="s">
        <v>215</v>
      </c>
      <c r="E474" s="20" t="s">
        <v>1</v>
      </c>
      <c r="F474" s="13">
        <f>F475</f>
        <v>1008959.7999999999</v>
      </c>
      <c r="G474" s="2"/>
      <c r="I474" s="13">
        <v>1060829.9</v>
      </c>
      <c r="J474" s="2"/>
      <c r="L474" s="114">
        <f t="shared" si="14"/>
        <v>-51870.09999999998</v>
      </c>
      <c r="M474" s="114">
        <f t="shared" si="15"/>
        <v>0</v>
      </c>
    </row>
    <row r="475" spans="1:13" ht="31.5" outlineLevel="6">
      <c r="A475" s="19" t="s">
        <v>693</v>
      </c>
      <c r="B475" s="20" t="s">
        <v>159</v>
      </c>
      <c r="C475" s="20" t="s">
        <v>5</v>
      </c>
      <c r="D475" s="20" t="s">
        <v>215</v>
      </c>
      <c r="E475" s="20" t="s">
        <v>17</v>
      </c>
      <c r="F475" s="13">
        <f>'Приложение_7 '!G487</f>
        <v>1008959.7999999999</v>
      </c>
      <c r="G475" s="2"/>
      <c r="I475" s="13">
        <v>1060829.9</v>
      </c>
      <c r="J475" s="2"/>
      <c r="L475" s="114">
        <f t="shared" si="14"/>
        <v>-51870.09999999998</v>
      </c>
      <c r="M475" s="114">
        <f t="shared" si="15"/>
        <v>0</v>
      </c>
    </row>
    <row r="476" spans="1:13" ht="47.25" outlineLevel="6">
      <c r="A476" s="76" t="s">
        <v>1231</v>
      </c>
      <c r="B476" s="77" t="s">
        <v>159</v>
      </c>
      <c r="C476" s="77" t="s">
        <v>5</v>
      </c>
      <c r="D476" s="77" t="s">
        <v>1232</v>
      </c>
      <c r="E476" s="77" t="s">
        <v>1</v>
      </c>
      <c r="F476" s="13">
        <f>F477</f>
        <v>400000</v>
      </c>
      <c r="G476" s="2"/>
      <c r="I476" s="13"/>
      <c r="J476" s="2"/>
      <c r="L476" s="114"/>
      <c r="M476" s="114"/>
    </row>
    <row r="477" spans="1:13" ht="31.5" outlineLevel="6">
      <c r="A477" s="76" t="s">
        <v>441</v>
      </c>
      <c r="B477" s="77" t="s">
        <v>159</v>
      </c>
      <c r="C477" s="77" t="s">
        <v>5</v>
      </c>
      <c r="D477" s="77" t="s">
        <v>1233</v>
      </c>
      <c r="E477" s="77" t="s">
        <v>1</v>
      </c>
      <c r="F477" s="13">
        <f>F478</f>
        <v>400000</v>
      </c>
      <c r="G477" s="2"/>
      <c r="I477" s="13"/>
      <c r="J477" s="2"/>
      <c r="L477" s="114"/>
      <c r="M477" s="114"/>
    </row>
    <row r="478" spans="1:13" ht="31.5" outlineLevel="6">
      <c r="A478" s="76" t="s">
        <v>693</v>
      </c>
      <c r="B478" s="77" t="s">
        <v>159</v>
      </c>
      <c r="C478" s="77" t="s">
        <v>5</v>
      </c>
      <c r="D478" s="77" t="s">
        <v>1233</v>
      </c>
      <c r="E478" s="77" t="s">
        <v>17</v>
      </c>
      <c r="F478" s="13">
        <f>'Приложение_7 '!G490</f>
        <v>400000</v>
      </c>
      <c r="G478" s="2"/>
      <c r="I478" s="13"/>
      <c r="J478" s="2"/>
      <c r="L478" s="114"/>
      <c r="M478" s="114"/>
    </row>
    <row r="479" spans="1:13" ht="47.25" outlineLevel="3">
      <c r="A479" s="82" t="s">
        <v>638</v>
      </c>
      <c r="B479" s="83" t="s">
        <v>159</v>
      </c>
      <c r="C479" s="83" t="s">
        <v>5</v>
      </c>
      <c r="D479" s="83" t="s">
        <v>216</v>
      </c>
      <c r="E479" s="83" t="s">
        <v>1</v>
      </c>
      <c r="F479" s="12">
        <f>F480+F483+F486</f>
        <v>56071727.21</v>
      </c>
      <c r="G479" s="1"/>
      <c r="I479" s="12">
        <v>15992013.99</v>
      </c>
      <c r="J479" s="1"/>
      <c r="L479" s="114">
        <f t="shared" si="14"/>
        <v>40079713.22</v>
      </c>
      <c r="M479" s="114">
        <f t="shared" si="15"/>
        <v>0</v>
      </c>
    </row>
    <row r="480" spans="1:13" ht="63" hidden="1" outlineLevel="4">
      <c r="A480" s="19" t="s">
        <v>551</v>
      </c>
      <c r="B480" s="20" t="s">
        <v>159</v>
      </c>
      <c r="C480" s="20" t="s">
        <v>5</v>
      </c>
      <c r="D480" s="20" t="s">
        <v>217</v>
      </c>
      <c r="E480" s="20" t="s">
        <v>1</v>
      </c>
      <c r="F480" s="13">
        <f>F481</f>
        <v>0</v>
      </c>
      <c r="G480" s="2"/>
      <c r="I480" s="13">
        <v>13482633.29</v>
      </c>
      <c r="J480" s="2"/>
      <c r="L480" s="114">
        <f t="shared" si="14"/>
        <v>-13482633.29</v>
      </c>
      <c r="M480" s="114">
        <f t="shared" si="15"/>
        <v>0</v>
      </c>
    </row>
    <row r="481" spans="1:13" ht="31.5" hidden="1" outlineLevel="5">
      <c r="A481" s="19" t="s">
        <v>461</v>
      </c>
      <c r="B481" s="20" t="s">
        <v>159</v>
      </c>
      <c r="C481" s="20" t="s">
        <v>5</v>
      </c>
      <c r="D481" s="20" t="s">
        <v>218</v>
      </c>
      <c r="E481" s="20" t="s">
        <v>1</v>
      </c>
      <c r="F481" s="13">
        <f>F482</f>
        <v>0</v>
      </c>
      <c r="G481" s="2"/>
      <c r="I481" s="13">
        <v>13482633.29</v>
      </c>
      <c r="J481" s="2"/>
      <c r="L481" s="114">
        <f t="shared" si="14"/>
        <v>-13482633.29</v>
      </c>
      <c r="M481" s="114">
        <f t="shared" si="15"/>
        <v>0</v>
      </c>
    </row>
    <row r="482" spans="1:13" ht="15.75" hidden="1" outlineLevel="6">
      <c r="A482" s="19" t="s">
        <v>695</v>
      </c>
      <c r="B482" s="20" t="s">
        <v>159</v>
      </c>
      <c r="C482" s="20" t="s">
        <v>5</v>
      </c>
      <c r="D482" s="20" t="s">
        <v>218</v>
      </c>
      <c r="E482" s="20" t="s">
        <v>65</v>
      </c>
      <c r="F482" s="13">
        <f>'Приложение_7 '!G494</f>
        <v>0</v>
      </c>
      <c r="G482" s="1"/>
      <c r="I482" s="13">
        <v>13482633.29</v>
      </c>
      <c r="J482" s="1"/>
      <c r="L482" s="114">
        <f t="shared" si="14"/>
        <v>-13482633.29</v>
      </c>
      <c r="M482" s="114">
        <f t="shared" si="15"/>
        <v>0</v>
      </c>
    </row>
    <row r="483" spans="1:13" ht="47.25" outlineLevel="4" collapsed="1">
      <c r="A483" s="108" t="s">
        <v>552</v>
      </c>
      <c r="B483" s="109" t="s">
        <v>159</v>
      </c>
      <c r="C483" s="109" t="s">
        <v>5</v>
      </c>
      <c r="D483" s="109" t="s">
        <v>219</v>
      </c>
      <c r="E483" s="109" t="s">
        <v>1</v>
      </c>
      <c r="F483" s="110">
        <f>F484</f>
        <v>26728.0600000003</v>
      </c>
      <c r="G483" s="2"/>
      <c r="I483" s="13">
        <v>2509380.7</v>
      </c>
      <c r="J483" s="2"/>
      <c r="L483" s="114">
        <f t="shared" si="14"/>
        <v>-2482652.6399999997</v>
      </c>
      <c r="M483" s="114">
        <f t="shared" si="15"/>
        <v>0</v>
      </c>
    </row>
    <row r="484" spans="1:13" ht="31.5" outlineLevel="5">
      <c r="A484" s="108" t="s">
        <v>441</v>
      </c>
      <c r="B484" s="109" t="s">
        <v>159</v>
      </c>
      <c r="C484" s="109" t="s">
        <v>5</v>
      </c>
      <c r="D484" s="109" t="s">
        <v>220</v>
      </c>
      <c r="E484" s="109" t="s">
        <v>1</v>
      </c>
      <c r="F484" s="110">
        <f>F485</f>
        <v>26728.0600000003</v>
      </c>
      <c r="G484" s="2"/>
      <c r="I484" s="13">
        <v>2509380.7</v>
      </c>
      <c r="J484" s="2"/>
      <c r="L484" s="114">
        <f t="shared" si="14"/>
        <v>-2482652.6399999997</v>
      </c>
      <c r="M484" s="114">
        <f t="shared" si="15"/>
        <v>0</v>
      </c>
    </row>
    <row r="485" spans="1:13" ht="31.5" outlineLevel="6">
      <c r="A485" s="108" t="s">
        <v>693</v>
      </c>
      <c r="B485" s="109" t="s">
        <v>159</v>
      </c>
      <c r="C485" s="109" t="s">
        <v>5</v>
      </c>
      <c r="D485" s="109" t="s">
        <v>220</v>
      </c>
      <c r="E485" s="109" t="s">
        <v>17</v>
      </c>
      <c r="F485" s="110">
        <f>'Приложение_7 '!G497</f>
        <v>26728.0600000003</v>
      </c>
      <c r="G485" s="2"/>
      <c r="I485" s="13">
        <v>2509380.7</v>
      </c>
      <c r="J485" s="2"/>
      <c r="L485" s="114">
        <f t="shared" si="14"/>
        <v>-2482652.6399999997</v>
      </c>
      <c r="M485" s="114">
        <f t="shared" si="15"/>
        <v>0</v>
      </c>
    </row>
    <row r="486" spans="1:13" ht="31.5" outlineLevel="6">
      <c r="A486" s="148" t="s">
        <v>1273</v>
      </c>
      <c r="B486" s="149" t="s">
        <v>159</v>
      </c>
      <c r="C486" s="149" t="s">
        <v>5</v>
      </c>
      <c r="D486" s="149" t="s">
        <v>1274</v>
      </c>
      <c r="E486" s="149" t="s">
        <v>1</v>
      </c>
      <c r="F486" s="110">
        <f>F487</f>
        <v>56044999.15</v>
      </c>
      <c r="G486" s="2"/>
      <c r="I486" s="13"/>
      <c r="J486" s="2"/>
      <c r="L486" s="114"/>
      <c r="M486" s="114"/>
    </row>
    <row r="487" spans="1:13" ht="31.5" outlineLevel="6">
      <c r="A487" s="148" t="s">
        <v>441</v>
      </c>
      <c r="B487" s="149" t="s">
        <v>159</v>
      </c>
      <c r="C487" s="149" t="s">
        <v>5</v>
      </c>
      <c r="D487" s="149" t="s">
        <v>1275</v>
      </c>
      <c r="E487" s="149" t="s">
        <v>1</v>
      </c>
      <c r="F487" s="110">
        <f>F488</f>
        <v>56044999.15</v>
      </c>
      <c r="G487" s="2"/>
      <c r="I487" s="13"/>
      <c r="J487" s="2"/>
      <c r="L487" s="114"/>
      <c r="M487" s="114"/>
    </row>
    <row r="488" spans="1:13" ht="31.5" outlineLevel="6">
      <c r="A488" s="148" t="s">
        <v>693</v>
      </c>
      <c r="B488" s="149" t="s">
        <v>159</v>
      </c>
      <c r="C488" s="149" t="s">
        <v>5</v>
      </c>
      <c r="D488" s="149" t="s">
        <v>1275</v>
      </c>
      <c r="E488" s="149" t="s">
        <v>17</v>
      </c>
      <c r="F488" s="110">
        <f>'Приложение_7 '!G498</f>
        <v>56044999.15</v>
      </c>
      <c r="G488" s="2"/>
      <c r="I488" s="13"/>
      <c r="J488" s="2"/>
      <c r="L488" s="114"/>
      <c r="M488" s="114"/>
    </row>
    <row r="489" spans="1:13" s="113" customFormat="1" ht="29.25" customHeight="1" outlineLevel="1">
      <c r="A489" s="82" t="s">
        <v>678</v>
      </c>
      <c r="B489" s="83" t="s">
        <v>159</v>
      </c>
      <c r="C489" s="83" t="s">
        <v>14</v>
      </c>
      <c r="D489" s="83" t="s">
        <v>4</v>
      </c>
      <c r="E489" s="83" t="s">
        <v>1</v>
      </c>
      <c r="F489" s="12">
        <f>F490</f>
        <v>45831588.33</v>
      </c>
      <c r="G489" s="12">
        <f>G490</f>
        <v>9588870</v>
      </c>
      <c r="I489" s="12">
        <v>53540930.92</v>
      </c>
      <c r="J489" s="1"/>
      <c r="L489" s="114">
        <f t="shared" si="14"/>
        <v>-7709342.590000004</v>
      </c>
      <c r="M489" s="114">
        <f t="shared" si="15"/>
        <v>9588870</v>
      </c>
    </row>
    <row r="490" spans="1:13" ht="63" outlineLevel="2">
      <c r="A490" s="82" t="s">
        <v>660</v>
      </c>
      <c r="B490" s="83" t="s">
        <v>159</v>
      </c>
      <c r="C490" s="83" t="s">
        <v>14</v>
      </c>
      <c r="D490" s="83" t="s">
        <v>160</v>
      </c>
      <c r="E490" s="83" t="s">
        <v>1</v>
      </c>
      <c r="F490" s="12">
        <f>F491</f>
        <v>45831588.33</v>
      </c>
      <c r="G490" s="12">
        <f>G491</f>
        <v>9588870</v>
      </c>
      <c r="I490" s="12">
        <v>53540930.92</v>
      </c>
      <c r="J490" s="1"/>
      <c r="L490" s="114">
        <f t="shared" si="14"/>
        <v>-7709342.590000004</v>
      </c>
      <c r="M490" s="114">
        <f t="shared" si="15"/>
        <v>9588870</v>
      </c>
    </row>
    <row r="491" spans="1:13" ht="47.25" outlineLevel="3">
      <c r="A491" s="82" t="s">
        <v>630</v>
      </c>
      <c r="B491" s="83" t="s">
        <v>159</v>
      </c>
      <c r="C491" s="83" t="s">
        <v>14</v>
      </c>
      <c r="D491" s="83" t="s">
        <v>161</v>
      </c>
      <c r="E491" s="83" t="s">
        <v>1</v>
      </c>
      <c r="F491" s="12">
        <f>F492+F495+F498+F501+F515+F518+F506+F523</f>
        <v>45831588.33</v>
      </c>
      <c r="G491" s="12">
        <f>G492+G495+G498+G501+G515+G518+G506+G523</f>
        <v>9588870</v>
      </c>
      <c r="I491" s="12">
        <v>53540930.92</v>
      </c>
      <c r="J491" s="1"/>
      <c r="L491" s="114">
        <f t="shared" si="14"/>
        <v>-7709342.590000004</v>
      </c>
      <c r="M491" s="114">
        <f t="shared" si="15"/>
        <v>9588870</v>
      </c>
    </row>
    <row r="492" spans="1:13" ht="31.5" outlineLevel="4">
      <c r="A492" s="19" t="s">
        <v>553</v>
      </c>
      <c r="B492" s="20" t="s">
        <v>159</v>
      </c>
      <c r="C492" s="20" t="s">
        <v>14</v>
      </c>
      <c r="D492" s="20" t="s">
        <v>221</v>
      </c>
      <c r="E492" s="20" t="s">
        <v>1</v>
      </c>
      <c r="F492" s="13">
        <f>F493</f>
        <v>15425832.75</v>
      </c>
      <c r="G492" s="2"/>
      <c r="I492" s="13">
        <v>15953571.42</v>
      </c>
      <c r="J492" s="2"/>
      <c r="L492" s="114">
        <f t="shared" si="14"/>
        <v>-527738.6699999999</v>
      </c>
      <c r="M492" s="114">
        <f t="shared" si="15"/>
        <v>0</v>
      </c>
    </row>
    <row r="493" spans="1:13" ht="31.5" outlineLevel="5">
      <c r="A493" s="19" t="s">
        <v>462</v>
      </c>
      <c r="B493" s="20" t="s">
        <v>159</v>
      </c>
      <c r="C493" s="20" t="s">
        <v>14</v>
      </c>
      <c r="D493" s="20" t="s">
        <v>222</v>
      </c>
      <c r="E493" s="20" t="s">
        <v>1</v>
      </c>
      <c r="F493" s="13">
        <f>F494</f>
        <v>15425832.75</v>
      </c>
      <c r="G493" s="2"/>
      <c r="I493" s="13">
        <v>15953571.42</v>
      </c>
      <c r="J493" s="2"/>
      <c r="L493" s="114">
        <f t="shared" si="14"/>
        <v>-527738.6699999999</v>
      </c>
      <c r="M493" s="114">
        <f t="shared" si="15"/>
        <v>0</v>
      </c>
    </row>
    <row r="494" spans="1:13" ht="31.5" outlineLevel="6">
      <c r="A494" s="19" t="s">
        <v>693</v>
      </c>
      <c r="B494" s="20" t="s">
        <v>159</v>
      </c>
      <c r="C494" s="20" t="s">
        <v>14</v>
      </c>
      <c r="D494" s="20" t="s">
        <v>222</v>
      </c>
      <c r="E494" s="20" t="s">
        <v>17</v>
      </c>
      <c r="F494" s="13">
        <f>'Приложение_7 '!G506</f>
        <v>15425832.75</v>
      </c>
      <c r="G494" s="2"/>
      <c r="I494" s="13">
        <v>15953571.42</v>
      </c>
      <c r="J494" s="2"/>
      <c r="L494" s="114">
        <f t="shared" si="14"/>
        <v>-527738.6699999999</v>
      </c>
      <c r="M494" s="114">
        <f t="shared" si="15"/>
        <v>0</v>
      </c>
    </row>
    <row r="495" spans="1:13" ht="63" outlineLevel="4">
      <c r="A495" s="19" t="s">
        <v>554</v>
      </c>
      <c r="B495" s="20" t="s">
        <v>159</v>
      </c>
      <c r="C495" s="20" t="s">
        <v>14</v>
      </c>
      <c r="D495" s="20" t="s">
        <v>223</v>
      </c>
      <c r="E495" s="20" t="s">
        <v>1</v>
      </c>
      <c r="F495" s="13">
        <f>F496</f>
        <v>10594692.879999999</v>
      </c>
      <c r="G495" s="2"/>
      <c r="I495" s="13">
        <v>13274260.85</v>
      </c>
      <c r="J495" s="2"/>
      <c r="L495" s="114">
        <f t="shared" si="14"/>
        <v>-2679567.9700000007</v>
      </c>
      <c r="M495" s="114">
        <f t="shared" si="15"/>
        <v>0</v>
      </c>
    </row>
    <row r="496" spans="1:13" ht="47.25" outlineLevel="5">
      <c r="A496" s="19" t="s">
        <v>463</v>
      </c>
      <c r="B496" s="20" t="s">
        <v>159</v>
      </c>
      <c r="C496" s="20" t="s">
        <v>14</v>
      </c>
      <c r="D496" s="20" t="s">
        <v>224</v>
      </c>
      <c r="E496" s="20" t="s">
        <v>1</v>
      </c>
      <c r="F496" s="13">
        <f>F497</f>
        <v>10594692.879999999</v>
      </c>
      <c r="G496" s="2"/>
      <c r="I496" s="13">
        <v>13274260.85</v>
      </c>
      <c r="J496" s="2"/>
      <c r="L496" s="114">
        <f t="shared" si="14"/>
        <v>-2679567.9700000007</v>
      </c>
      <c r="M496" s="114">
        <f t="shared" si="15"/>
        <v>0</v>
      </c>
    </row>
    <row r="497" spans="1:13" ht="31.5" outlineLevel="6">
      <c r="A497" s="19" t="s">
        <v>693</v>
      </c>
      <c r="B497" s="20" t="s">
        <v>159</v>
      </c>
      <c r="C497" s="20" t="s">
        <v>14</v>
      </c>
      <c r="D497" s="20" t="s">
        <v>224</v>
      </c>
      <c r="E497" s="20" t="s">
        <v>17</v>
      </c>
      <c r="F497" s="13">
        <f>'Приложение_7 '!G509</f>
        <v>10594692.879999999</v>
      </c>
      <c r="G497" s="2"/>
      <c r="I497" s="13">
        <v>13274260.85</v>
      </c>
      <c r="J497" s="2"/>
      <c r="L497" s="114">
        <f t="shared" si="14"/>
        <v>-2679567.9700000007</v>
      </c>
      <c r="M497" s="114">
        <f t="shared" si="15"/>
        <v>0</v>
      </c>
    </row>
    <row r="498" spans="1:13" ht="47.25" outlineLevel="4">
      <c r="A498" s="19" t="s">
        <v>555</v>
      </c>
      <c r="B498" s="20" t="s">
        <v>159</v>
      </c>
      <c r="C498" s="20" t="s">
        <v>14</v>
      </c>
      <c r="D498" s="20" t="s">
        <v>225</v>
      </c>
      <c r="E498" s="20" t="s">
        <v>1</v>
      </c>
      <c r="F498" s="13">
        <f>F499</f>
        <v>1555876.27</v>
      </c>
      <c r="G498" s="2"/>
      <c r="I498" s="13">
        <v>403340.65</v>
      </c>
      <c r="J498" s="2"/>
      <c r="L498" s="114">
        <f t="shared" si="14"/>
        <v>1152535.62</v>
      </c>
      <c r="M498" s="114">
        <f t="shared" si="15"/>
        <v>0</v>
      </c>
    </row>
    <row r="499" spans="1:13" ht="31.5" outlineLevel="5">
      <c r="A499" s="19" t="s">
        <v>456</v>
      </c>
      <c r="B499" s="20" t="s">
        <v>159</v>
      </c>
      <c r="C499" s="20" t="s">
        <v>14</v>
      </c>
      <c r="D499" s="20" t="s">
        <v>226</v>
      </c>
      <c r="E499" s="20" t="s">
        <v>1</v>
      </c>
      <c r="F499" s="13">
        <f>F500</f>
        <v>1555876.27</v>
      </c>
      <c r="G499" s="2"/>
      <c r="I499" s="13">
        <v>403340.65</v>
      </c>
      <c r="J499" s="2"/>
      <c r="L499" s="114">
        <f t="shared" si="14"/>
        <v>1152535.62</v>
      </c>
      <c r="M499" s="114">
        <f t="shared" si="15"/>
        <v>0</v>
      </c>
    </row>
    <row r="500" spans="1:13" ht="31.5" outlineLevel="6">
      <c r="A500" s="19" t="s">
        <v>693</v>
      </c>
      <c r="B500" s="20" t="s">
        <v>159</v>
      </c>
      <c r="C500" s="20" t="s">
        <v>14</v>
      </c>
      <c r="D500" s="20" t="s">
        <v>226</v>
      </c>
      <c r="E500" s="20" t="s">
        <v>17</v>
      </c>
      <c r="F500" s="13">
        <f>'Приложение_7 '!G512</f>
        <v>1555876.27</v>
      </c>
      <c r="G500" s="2"/>
      <c r="I500" s="13">
        <v>403340.65</v>
      </c>
      <c r="J500" s="2"/>
      <c r="L500" s="114">
        <f t="shared" si="14"/>
        <v>1152535.62</v>
      </c>
      <c r="M500" s="114">
        <f t="shared" si="15"/>
        <v>0</v>
      </c>
    </row>
    <row r="501" spans="1:13" ht="31.5" outlineLevel="4">
      <c r="A501" s="19" t="s">
        <v>556</v>
      </c>
      <c r="B501" s="20" t="s">
        <v>159</v>
      </c>
      <c r="C501" s="20" t="s">
        <v>14</v>
      </c>
      <c r="D501" s="20" t="s">
        <v>227</v>
      </c>
      <c r="E501" s="20" t="s">
        <v>1</v>
      </c>
      <c r="F501" s="13">
        <f>F502+F504</f>
        <v>644061.7500000001</v>
      </c>
      <c r="G501" s="2"/>
      <c r="I501" s="13">
        <v>18716382.43</v>
      </c>
      <c r="J501" s="2"/>
      <c r="L501" s="114">
        <f t="shared" si="14"/>
        <v>-18072320.68</v>
      </c>
      <c r="M501" s="114">
        <f t="shared" si="15"/>
        <v>0</v>
      </c>
    </row>
    <row r="502" spans="1:13" ht="31.5" outlineLevel="5">
      <c r="A502" s="19" t="s">
        <v>441</v>
      </c>
      <c r="B502" s="20" t="s">
        <v>159</v>
      </c>
      <c r="C502" s="20" t="s">
        <v>14</v>
      </c>
      <c r="D502" s="20" t="s">
        <v>228</v>
      </c>
      <c r="E502" s="20" t="s">
        <v>1</v>
      </c>
      <c r="F502" s="13">
        <f>F503</f>
        <v>644061.7500000001</v>
      </c>
      <c r="G502" s="1"/>
      <c r="I502" s="13">
        <v>936558.43</v>
      </c>
      <c r="J502" s="1"/>
      <c r="L502" s="114">
        <f t="shared" si="14"/>
        <v>-292496.67999999993</v>
      </c>
      <c r="M502" s="114">
        <f t="shared" si="15"/>
        <v>0</v>
      </c>
    </row>
    <row r="503" spans="1:13" ht="31.5" outlineLevel="6">
      <c r="A503" s="19" t="s">
        <v>693</v>
      </c>
      <c r="B503" s="20" t="s">
        <v>159</v>
      </c>
      <c r="C503" s="20" t="s">
        <v>14</v>
      </c>
      <c r="D503" s="20" t="s">
        <v>228</v>
      </c>
      <c r="E503" s="20" t="s">
        <v>17</v>
      </c>
      <c r="F503" s="13">
        <f>'Приложение_7 '!G515</f>
        <v>644061.7500000001</v>
      </c>
      <c r="G503" s="1"/>
      <c r="I503" s="13">
        <v>936558.43</v>
      </c>
      <c r="J503" s="1"/>
      <c r="L503" s="114">
        <f t="shared" si="14"/>
        <v>-292496.67999999993</v>
      </c>
      <c r="M503" s="114">
        <f t="shared" si="15"/>
        <v>0</v>
      </c>
    </row>
    <row r="504" spans="1:13" ht="47.25" hidden="1" outlineLevel="5">
      <c r="A504" s="19" t="s">
        <v>464</v>
      </c>
      <c r="B504" s="20" t="s">
        <v>159</v>
      </c>
      <c r="C504" s="20" t="s">
        <v>14</v>
      </c>
      <c r="D504" s="20" t="s">
        <v>229</v>
      </c>
      <c r="E504" s="20" t="s">
        <v>1</v>
      </c>
      <c r="F504" s="13">
        <f>F505</f>
        <v>0</v>
      </c>
      <c r="G504" s="2"/>
      <c r="I504" s="13">
        <v>17779824</v>
      </c>
      <c r="J504" s="2"/>
      <c r="L504" s="114">
        <f t="shared" si="14"/>
        <v>-17779824</v>
      </c>
      <c r="M504" s="114">
        <f t="shared" si="15"/>
        <v>0</v>
      </c>
    </row>
    <row r="505" spans="1:13" ht="31.5" hidden="1" outlineLevel="6">
      <c r="A505" s="19" t="s">
        <v>1183</v>
      </c>
      <c r="B505" s="20" t="s">
        <v>159</v>
      </c>
      <c r="C505" s="20" t="s">
        <v>14</v>
      </c>
      <c r="D505" s="20" t="s">
        <v>229</v>
      </c>
      <c r="E505" s="20" t="s">
        <v>143</v>
      </c>
      <c r="F505" s="13">
        <f>'Приложение_7 '!G517</f>
        <v>0</v>
      </c>
      <c r="G505" s="2"/>
      <c r="I505" s="13">
        <v>17779824</v>
      </c>
      <c r="J505" s="2"/>
      <c r="L505" s="114">
        <f t="shared" si="14"/>
        <v>-17779824</v>
      </c>
      <c r="M505" s="114">
        <f t="shared" si="15"/>
        <v>0</v>
      </c>
    </row>
    <row r="506" spans="1:13" ht="31.5" outlineLevel="6">
      <c r="A506" s="76" t="s">
        <v>1248</v>
      </c>
      <c r="B506" s="77" t="s">
        <v>159</v>
      </c>
      <c r="C506" s="77" t="s">
        <v>14</v>
      </c>
      <c r="D506" s="77" t="s">
        <v>1249</v>
      </c>
      <c r="E506" s="77" t="s">
        <v>1</v>
      </c>
      <c r="F506" s="78">
        <f>F507+F509+F513+F511</f>
        <v>12034805.69</v>
      </c>
      <c r="G506" s="78">
        <f>G507+G509+G513</f>
        <v>9588870</v>
      </c>
      <c r="I506" s="13"/>
      <c r="J506" s="2"/>
      <c r="L506" s="114"/>
      <c r="M506" s="114"/>
    </row>
    <row r="507" spans="1:13" ht="31.5" outlineLevel="6">
      <c r="A507" s="76" t="s">
        <v>456</v>
      </c>
      <c r="B507" s="77" t="s">
        <v>159</v>
      </c>
      <c r="C507" s="77" t="s">
        <v>14</v>
      </c>
      <c r="D507" s="77" t="s">
        <v>1250</v>
      </c>
      <c r="E507" s="77" t="s">
        <v>1</v>
      </c>
      <c r="F507" s="78">
        <f>F508</f>
        <v>510635.69</v>
      </c>
      <c r="G507" s="2"/>
      <c r="I507" s="13"/>
      <c r="J507" s="2"/>
      <c r="L507" s="114"/>
      <c r="M507" s="114"/>
    </row>
    <row r="508" spans="1:13" ht="31.5" outlineLevel="6">
      <c r="A508" s="76" t="s">
        <v>693</v>
      </c>
      <c r="B508" s="77" t="s">
        <v>159</v>
      </c>
      <c r="C508" s="77" t="s">
        <v>14</v>
      </c>
      <c r="D508" s="77" t="s">
        <v>1250</v>
      </c>
      <c r="E508" s="77" t="s">
        <v>17</v>
      </c>
      <c r="F508" s="78">
        <f>'Приложение_7 '!G520</f>
        <v>510635.69</v>
      </c>
      <c r="G508" s="2"/>
      <c r="I508" s="13"/>
      <c r="J508" s="2"/>
      <c r="L508" s="114"/>
      <c r="M508" s="114"/>
    </row>
    <row r="509" spans="1:13" ht="31.5" outlineLevel="6">
      <c r="A509" s="76" t="s">
        <v>441</v>
      </c>
      <c r="B509" s="77" t="s">
        <v>159</v>
      </c>
      <c r="C509" s="77" t="s">
        <v>14</v>
      </c>
      <c r="D509" s="77" t="s">
        <v>1251</v>
      </c>
      <c r="E509" s="77" t="s">
        <v>1</v>
      </c>
      <c r="F509" s="78">
        <f>F510</f>
        <v>635300</v>
      </c>
      <c r="G509" s="2"/>
      <c r="I509" s="13"/>
      <c r="J509" s="2"/>
      <c r="L509" s="114"/>
      <c r="M509" s="114"/>
    </row>
    <row r="510" spans="1:13" ht="31.5" outlineLevel="6">
      <c r="A510" s="76" t="s">
        <v>693</v>
      </c>
      <c r="B510" s="77" t="s">
        <v>159</v>
      </c>
      <c r="C510" s="77" t="s">
        <v>14</v>
      </c>
      <c r="D510" s="77" t="s">
        <v>1251</v>
      </c>
      <c r="E510" s="77" t="s">
        <v>17</v>
      </c>
      <c r="F510" s="78">
        <f>'Приложение_7 '!G522</f>
        <v>635300</v>
      </c>
      <c r="G510" s="2"/>
      <c r="I510" s="13"/>
      <c r="J510" s="2"/>
      <c r="L510" s="114"/>
      <c r="M510" s="114"/>
    </row>
    <row r="511" spans="1:13" ht="31.5" outlineLevel="6">
      <c r="A511" s="76" t="s">
        <v>1262</v>
      </c>
      <c r="B511" s="77" t="s">
        <v>159</v>
      </c>
      <c r="C511" s="77" t="s">
        <v>14</v>
      </c>
      <c r="D511" s="77" t="s">
        <v>1276</v>
      </c>
      <c r="E511" s="77" t="s">
        <v>1</v>
      </c>
      <c r="F511" s="78">
        <f>F512</f>
        <v>1300000</v>
      </c>
      <c r="G511" s="2"/>
      <c r="I511" s="13"/>
      <c r="J511" s="2"/>
      <c r="L511" s="114"/>
      <c r="M511" s="114"/>
    </row>
    <row r="512" spans="1:13" ht="31.5" outlineLevel="6">
      <c r="A512" s="76" t="s">
        <v>693</v>
      </c>
      <c r="B512" s="77" t="s">
        <v>159</v>
      </c>
      <c r="C512" s="77" t="s">
        <v>14</v>
      </c>
      <c r="D512" s="77" t="s">
        <v>1276</v>
      </c>
      <c r="E512" s="77" t="s">
        <v>17</v>
      </c>
      <c r="F512" s="78">
        <f>'Приложение_7 '!G524</f>
        <v>1300000</v>
      </c>
      <c r="G512" s="2"/>
      <c r="I512" s="13"/>
      <c r="J512" s="2"/>
      <c r="L512" s="114"/>
      <c r="M512" s="114"/>
    </row>
    <row r="513" spans="1:13" ht="31.5" outlineLevel="6">
      <c r="A513" s="76" t="s">
        <v>1262</v>
      </c>
      <c r="B513" s="77" t="s">
        <v>159</v>
      </c>
      <c r="C513" s="77" t="s">
        <v>14</v>
      </c>
      <c r="D513" s="77" t="s">
        <v>1263</v>
      </c>
      <c r="E513" s="77" t="s">
        <v>1</v>
      </c>
      <c r="F513" s="13">
        <f>F514</f>
        <v>9588870</v>
      </c>
      <c r="G513" s="2">
        <f>G514</f>
        <v>9588870</v>
      </c>
      <c r="I513" s="13"/>
      <c r="J513" s="2"/>
      <c r="L513" s="114"/>
      <c r="M513" s="114"/>
    </row>
    <row r="514" spans="1:13" ht="31.5" outlineLevel="6">
      <c r="A514" s="76" t="s">
        <v>693</v>
      </c>
      <c r="B514" s="77" t="s">
        <v>159</v>
      </c>
      <c r="C514" s="77" t="s">
        <v>14</v>
      </c>
      <c r="D514" s="77" t="s">
        <v>1263</v>
      </c>
      <c r="E514" s="77" t="s">
        <v>17</v>
      </c>
      <c r="F514" s="13">
        <f>'Приложение_7 '!G526</f>
        <v>9588870</v>
      </c>
      <c r="G514" s="2">
        <f>F514</f>
        <v>9588870</v>
      </c>
      <c r="I514" s="13"/>
      <c r="J514" s="2"/>
      <c r="L514" s="114"/>
      <c r="M514" s="114"/>
    </row>
    <row r="515" spans="1:13" ht="31.5" outlineLevel="4">
      <c r="A515" s="19" t="s">
        <v>557</v>
      </c>
      <c r="B515" s="20" t="s">
        <v>159</v>
      </c>
      <c r="C515" s="20" t="s">
        <v>14</v>
      </c>
      <c r="D515" s="20" t="s">
        <v>230</v>
      </c>
      <c r="E515" s="20" t="s">
        <v>1</v>
      </c>
      <c r="F515" s="13">
        <f>F516</f>
        <v>3663773.16</v>
      </c>
      <c r="G515" s="2"/>
      <c r="I515" s="13">
        <v>4002811.57</v>
      </c>
      <c r="J515" s="2"/>
      <c r="L515" s="114">
        <f t="shared" si="14"/>
        <v>-339038.4099999997</v>
      </c>
      <c r="M515" s="114">
        <f t="shared" si="15"/>
        <v>0</v>
      </c>
    </row>
    <row r="516" spans="1:13" ht="31.5" outlineLevel="5">
      <c r="A516" s="19" t="s">
        <v>441</v>
      </c>
      <c r="B516" s="20" t="s">
        <v>159</v>
      </c>
      <c r="C516" s="20" t="s">
        <v>14</v>
      </c>
      <c r="D516" s="20" t="s">
        <v>231</v>
      </c>
      <c r="E516" s="20" t="s">
        <v>1</v>
      </c>
      <c r="F516" s="13">
        <f>F517</f>
        <v>3663773.16</v>
      </c>
      <c r="G516" s="2"/>
      <c r="I516" s="13">
        <v>4002811.57</v>
      </c>
      <c r="J516" s="2"/>
      <c r="L516" s="114">
        <f t="shared" si="14"/>
        <v>-339038.4099999997</v>
      </c>
      <c r="M516" s="114">
        <f t="shared" si="15"/>
        <v>0</v>
      </c>
    </row>
    <row r="517" spans="1:13" ht="31.5" outlineLevel="6">
      <c r="A517" s="19" t="s">
        <v>693</v>
      </c>
      <c r="B517" s="20" t="s">
        <v>159</v>
      </c>
      <c r="C517" s="20" t="s">
        <v>14</v>
      </c>
      <c r="D517" s="20" t="s">
        <v>231</v>
      </c>
      <c r="E517" s="20" t="s">
        <v>17</v>
      </c>
      <c r="F517" s="13">
        <f>'Приложение_7 '!G529</f>
        <v>3663773.16</v>
      </c>
      <c r="G517" s="2"/>
      <c r="I517" s="13">
        <v>4002811.57</v>
      </c>
      <c r="J517" s="2"/>
      <c r="L517" s="114">
        <f t="shared" si="14"/>
        <v>-339038.4099999997</v>
      </c>
      <c r="M517" s="114">
        <f t="shared" si="15"/>
        <v>0</v>
      </c>
    </row>
    <row r="518" spans="1:13" ht="47.25" outlineLevel="4">
      <c r="A518" s="19" t="s">
        <v>558</v>
      </c>
      <c r="B518" s="20" t="s">
        <v>159</v>
      </c>
      <c r="C518" s="20" t="s">
        <v>14</v>
      </c>
      <c r="D518" s="20" t="s">
        <v>232</v>
      </c>
      <c r="E518" s="20" t="s">
        <v>1</v>
      </c>
      <c r="F518" s="13">
        <f>F519</f>
        <v>1190564</v>
      </c>
      <c r="G518" s="2"/>
      <c r="I518" s="13">
        <v>1190564</v>
      </c>
      <c r="J518" s="2"/>
      <c r="L518" s="114">
        <f t="shared" si="14"/>
        <v>0</v>
      </c>
      <c r="M518" s="114">
        <f t="shared" si="15"/>
        <v>0</v>
      </c>
    </row>
    <row r="519" spans="1:13" ht="31.5" outlineLevel="5">
      <c r="A519" s="19" t="s">
        <v>441</v>
      </c>
      <c r="B519" s="20" t="s">
        <v>159</v>
      </c>
      <c r="C519" s="20" t="s">
        <v>14</v>
      </c>
      <c r="D519" s="20" t="s">
        <v>233</v>
      </c>
      <c r="E519" s="20" t="s">
        <v>1</v>
      </c>
      <c r="F519" s="13">
        <f>F520</f>
        <v>1190564</v>
      </c>
      <c r="G519" s="2"/>
      <c r="I519" s="13">
        <v>1190564</v>
      </c>
      <c r="J519" s="2"/>
      <c r="L519" s="114">
        <f t="shared" si="14"/>
        <v>0</v>
      </c>
      <c r="M519" s="114">
        <f t="shared" si="15"/>
        <v>0</v>
      </c>
    </row>
    <row r="520" spans="1:13" ht="31.5" outlineLevel="6">
      <c r="A520" s="19" t="s">
        <v>693</v>
      </c>
      <c r="B520" s="20" t="s">
        <v>159</v>
      </c>
      <c r="C520" s="20" t="s">
        <v>14</v>
      </c>
      <c r="D520" s="20" t="s">
        <v>233</v>
      </c>
      <c r="E520" s="20" t="s">
        <v>17</v>
      </c>
      <c r="F520" s="13">
        <f>'Приложение_7 '!G532</f>
        <v>1190564</v>
      </c>
      <c r="G520" s="2"/>
      <c r="I520" s="13">
        <v>1190564</v>
      </c>
      <c r="J520" s="2"/>
      <c r="L520" s="114">
        <f t="shared" si="14"/>
        <v>0</v>
      </c>
      <c r="M520" s="114">
        <f t="shared" si="15"/>
        <v>0</v>
      </c>
    </row>
    <row r="521" spans="1:13" ht="31.5" outlineLevel="6">
      <c r="A521" s="76" t="s">
        <v>1252</v>
      </c>
      <c r="B521" s="77" t="s">
        <v>159</v>
      </c>
      <c r="C521" s="77" t="s">
        <v>14</v>
      </c>
      <c r="D521" s="77" t="s">
        <v>1253</v>
      </c>
      <c r="E521" s="77" t="s">
        <v>1</v>
      </c>
      <c r="F521" s="13">
        <f>F522</f>
        <v>721981.83</v>
      </c>
      <c r="G521" s="2"/>
      <c r="I521" s="13"/>
      <c r="J521" s="2"/>
      <c r="L521" s="114"/>
      <c r="M521" s="114"/>
    </row>
    <row r="522" spans="1:13" ht="31.5" outlineLevel="6">
      <c r="A522" s="76" t="s">
        <v>441</v>
      </c>
      <c r="B522" s="77" t="s">
        <v>159</v>
      </c>
      <c r="C522" s="77" t="s">
        <v>14</v>
      </c>
      <c r="D522" s="77" t="s">
        <v>1254</v>
      </c>
      <c r="E522" s="77" t="s">
        <v>1</v>
      </c>
      <c r="F522" s="13">
        <f>F523</f>
        <v>721981.83</v>
      </c>
      <c r="G522" s="2"/>
      <c r="I522" s="13"/>
      <c r="J522" s="2"/>
      <c r="L522" s="114"/>
      <c r="M522" s="114"/>
    </row>
    <row r="523" spans="1:13" ht="31.5" outlineLevel="6">
      <c r="A523" s="76" t="s">
        <v>693</v>
      </c>
      <c r="B523" s="77" t="s">
        <v>159</v>
      </c>
      <c r="C523" s="77" t="s">
        <v>14</v>
      </c>
      <c r="D523" s="77" t="s">
        <v>1254</v>
      </c>
      <c r="E523" s="77" t="s">
        <v>17</v>
      </c>
      <c r="F523" s="13">
        <f>'Приложение_7 '!G535</f>
        <v>721981.83</v>
      </c>
      <c r="G523" s="2"/>
      <c r="I523" s="13"/>
      <c r="J523" s="2"/>
      <c r="L523" s="114"/>
      <c r="M523" s="114"/>
    </row>
    <row r="524" spans="1:13" s="113" customFormat="1" ht="31.5" outlineLevel="1">
      <c r="A524" s="82" t="s">
        <v>679</v>
      </c>
      <c r="B524" s="83" t="s">
        <v>159</v>
      </c>
      <c r="C524" s="83" t="s">
        <v>159</v>
      </c>
      <c r="D524" s="83" t="s">
        <v>4</v>
      </c>
      <c r="E524" s="83" t="s">
        <v>1</v>
      </c>
      <c r="F524" s="12">
        <f>F525+F535+F540</f>
        <v>3561880.3</v>
      </c>
      <c r="G524" s="1"/>
      <c r="I524" s="12">
        <v>3582699.61</v>
      </c>
      <c r="J524" s="1"/>
      <c r="L524" s="114">
        <f t="shared" si="14"/>
        <v>-20819.310000000056</v>
      </c>
      <c r="M524" s="114">
        <f t="shared" si="15"/>
        <v>0</v>
      </c>
    </row>
    <row r="525" spans="1:13" ht="63" outlineLevel="2">
      <c r="A525" s="82" t="s">
        <v>660</v>
      </c>
      <c r="B525" s="83" t="s">
        <v>159</v>
      </c>
      <c r="C525" s="83" t="s">
        <v>159</v>
      </c>
      <c r="D525" s="83" t="s">
        <v>160</v>
      </c>
      <c r="E525" s="83" t="s">
        <v>1</v>
      </c>
      <c r="F525" s="12">
        <f>F526</f>
        <v>1435663.78</v>
      </c>
      <c r="G525" s="1"/>
      <c r="I525" s="12">
        <v>1456483.09</v>
      </c>
      <c r="J525" s="1"/>
      <c r="L525" s="114">
        <f t="shared" si="14"/>
        <v>-20819.310000000056</v>
      </c>
      <c r="M525" s="114">
        <f t="shared" si="15"/>
        <v>0</v>
      </c>
    </row>
    <row r="526" spans="1:13" ht="47.25" outlineLevel="3">
      <c r="A526" s="82" t="s">
        <v>639</v>
      </c>
      <c r="B526" s="83" t="s">
        <v>159</v>
      </c>
      <c r="C526" s="83" t="s">
        <v>159</v>
      </c>
      <c r="D526" s="83" t="s">
        <v>234</v>
      </c>
      <c r="E526" s="83" t="s">
        <v>1</v>
      </c>
      <c r="F526" s="12">
        <f>F527</f>
        <v>1435663.78</v>
      </c>
      <c r="G526" s="1"/>
      <c r="I526" s="12">
        <v>1456483.09</v>
      </c>
      <c r="J526" s="1"/>
      <c r="L526" s="114">
        <f t="shared" si="14"/>
        <v>-20819.310000000056</v>
      </c>
      <c r="M526" s="114">
        <f t="shared" si="15"/>
        <v>0</v>
      </c>
    </row>
    <row r="527" spans="1:13" ht="31.5" outlineLevel="4">
      <c r="A527" s="19" t="s">
        <v>559</v>
      </c>
      <c r="B527" s="20" t="s">
        <v>159</v>
      </c>
      <c r="C527" s="20" t="s">
        <v>159</v>
      </c>
      <c r="D527" s="20" t="s">
        <v>235</v>
      </c>
      <c r="E527" s="20" t="s">
        <v>1</v>
      </c>
      <c r="F527" s="13">
        <f>F528+F533</f>
        <v>1435663.78</v>
      </c>
      <c r="G527" s="2"/>
      <c r="I527" s="13">
        <v>1456483.09</v>
      </c>
      <c r="J527" s="2"/>
      <c r="L527" s="114">
        <f t="shared" si="14"/>
        <v>-20819.310000000056</v>
      </c>
      <c r="M527" s="114">
        <f t="shared" si="15"/>
        <v>0</v>
      </c>
    </row>
    <row r="528" spans="1:13" ht="63" outlineLevel="5">
      <c r="A528" s="19" t="s">
        <v>443</v>
      </c>
      <c r="B528" s="20" t="s">
        <v>159</v>
      </c>
      <c r="C528" s="20" t="s">
        <v>159</v>
      </c>
      <c r="D528" s="20" t="s">
        <v>236</v>
      </c>
      <c r="E528" s="20" t="s">
        <v>1</v>
      </c>
      <c r="F528" s="13">
        <f>F529+F530+F531+F532</f>
        <v>1435663.78</v>
      </c>
      <c r="G528" s="2"/>
      <c r="I528" s="13">
        <v>1031204.53</v>
      </c>
      <c r="J528" s="2"/>
      <c r="L528" s="114">
        <f t="shared" si="14"/>
        <v>404459.25</v>
      </c>
      <c r="M528" s="114">
        <f t="shared" si="15"/>
        <v>0</v>
      </c>
    </row>
    <row r="529" spans="1:13" ht="78.75" outlineLevel="6">
      <c r="A529" s="19" t="s">
        <v>708</v>
      </c>
      <c r="B529" s="20" t="s">
        <v>159</v>
      </c>
      <c r="C529" s="20" t="s">
        <v>159</v>
      </c>
      <c r="D529" s="20" t="s">
        <v>236</v>
      </c>
      <c r="E529" s="20" t="s">
        <v>10</v>
      </c>
      <c r="F529" s="13">
        <f>'Приложение_7 '!G541</f>
        <v>1353509.81</v>
      </c>
      <c r="G529" s="2"/>
      <c r="I529" s="13">
        <v>1029104.53</v>
      </c>
      <c r="J529" s="2"/>
      <c r="L529" s="114">
        <f aca="true" t="shared" si="16" ref="L529:L608">F529-I529</f>
        <v>324405.28</v>
      </c>
      <c r="M529" s="114">
        <f aca="true" t="shared" si="17" ref="M529:M608">G529-J529</f>
        <v>0</v>
      </c>
    </row>
    <row r="530" spans="1:13" ht="31.5" outlineLevel="6">
      <c r="A530" s="19" t="s">
        <v>693</v>
      </c>
      <c r="B530" s="20" t="s">
        <v>159</v>
      </c>
      <c r="C530" s="20" t="s">
        <v>159</v>
      </c>
      <c r="D530" s="20" t="s">
        <v>236</v>
      </c>
      <c r="E530" s="20" t="s">
        <v>17</v>
      </c>
      <c r="F530" s="13">
        <f>'Приложение_7 '!G542</f>
        <v>3231.83</v>
      </c>
      <c r="G530" s="2"/>
      <c r="I530" s="13">
        <v>2100</v>
      </c>
      <c r="J530" s="2"/>
      <c r="L530" s="114">
        <f t="shared" si="16"/>
        <v>1131.83</v>
      </c>
      <c r="M530" s="114">
        <f t="shared" si="17"/>
        <v>0</v>
      </c>
    </row>
    <row r="531" spans="1:13" ht="31.5" outlineLevel="6">
      <c r="A531" s="76" t="s">
        <v>694</v>
      </c>
      <c r="B531" s="77" t="s">
        <v>159</v>
      </c>
      <c r="C531" s="77" t="s">
        <v>159</v>
      </c>
      <c r="D531" s="20" t="s">
        <v>236</v>
      </c>
      <c r="E531" s="77" t="s">
        <v>47</v>
      </c>
      <c r="F531" s="13">
        <f>'Приложение_7 '!G543</f>
        <v>78922.14</v>
      </c>
      <c r="G531" s="2"/>
      <c r="I531" s="13"/>
      <c r="J531" s="2"/>
      <c r="L531" s="114"/>
      <c r="M531" s="114"/>
    </row>
    <row r="532" spans="1:13" ht="15.75" hidden="1" outlineLevel="6">
      <c r="A532" s="76" t="s">
        <v>695</v>
      </c>
      <c r="B532" s="77" t="s">
        <v>159</v>
      </c>
      <c r="C532" s="77" t="s">
        <v>159</v>
      </c>
      <c r="D532" s="20" t="s">
        <v>236</v>
      </c>
      <c r="E532" s="77" t="s">
        <v>65</v>
      </c>
      <c r="F532" s="13">
        <f>'Приложение_7 '!G544</f>
        <v>0</v>
      </c>
      <c r="G532" s="2"/>
      <c r="I532" s="13"/>
      <c r="J532" s="2"/>
      <c r="L532" s="114"/>
      <c r="M532" s="114"/>
    </row>
    <row r="533" spans="1:13" ht="31.5" hidden="1" outlineLevel="5">
      <c r="A533" s="19" t="s">
        <v>441</v>
      </c>
      <c r="B533" s="20" t="s">
        <v>159</v>
      </c>
      <c r="C533" s="20" t="s">
        <v>159</v>
      </c>
      <c r="D533" s="20" t="s">
        <v>237</v>
      </c>
      <c r="E533" s="20" t="s">
        <v>1</v>
      </c>
      <c r="F533" s="13">
        <f>F534</f>
        <v>0</v>
      </c>
      <c r="G533" s="2"/>
      <c r="I533" s="13">
        <v>425278.56</v>
      </c>
      <c r="J533" s="2"/>
      <c r="L533" s="114">
        <f t="shared" si="16"/>
        <v>-425278.56</v>
      </c>
      <c r="M533" s="114">
        <f t="shared" si="17"/>
        <v>0</v>
      </c>
    </row>
    <row r="534" spans="1:13" ht="31.5" hidden="1" outlineLevel="6">
      <c r="A534" s="19" t="s">
        <v>693</v>
      </c>
      <c r="B534" s="20" t="s">
        <v>159</v>
      </c>
      <c r="C534" s="20" t="s">
        <v>159</v>
      </c>
      <c r="D534" s="20" t="s">
        <v>237</v>
      </c>
      <c r="E534" s="20" t="s">
        <v>17</v>
      </c>
      <c r="F534" s="13">
        <f>'Приложение_7 '!G546</f>
        <v>0</v>
      </c>
      <c r="G534" s="2"/>
      <c r="I534" s="13">
        <v>425278.56</v>
      </c>
      <c r="J534" s="2"/>
      <c r="L534" s="114">
        <f t="shared" si="16"/>
        <v>-425278.56</v>
      </c>
      <c r="M534" s="114">
        <f t="shared" si="17"/>
        <v>0</v>
      </c>
    </row>
    <row r="535" spans="1:13" ht="31.5" outlineLevel="2" collapsed="1">
      <c r="A535" s="82" t="s">
        <v>659</v>
      </c>
      <c r="B535" s="83" t="s">
        <v>159</v>
      </c>
      <c r="C535" s="83" t="s">
        <v>159</v>
      </c>
      <c r="D535" s="83" t="s">
        <v>90</v>
      </c>
      <c r="E535" s="83" t="s">
        <v>1</v>
      </c>
      <c r="F535" s="12">
        <f>F536</f>
        <v>11400</v>
      </c>
      <c r="G535" s="1"/>
      <c r="I535" s="12">
        <v>11400</v>
      </c>
      <c r="J535" s="1"/>
      <c r="L535" s="114">
        <f t="shared" si="16"/>
        <v>0</v>
      </c>
      <c r="M535" s="114">
        <f t="shared" si="17"/>
        <v>0</v>
      </c>
    </row>
    <row r="536" spans="1:13" ht="47.25" outlineLevel="3">
      <c r="A536" s="82" t="s">
        <v>624</v>
      </c>
      <c r="B536" s="83" t="s">
        <v>159</v>
      </c>
      <c r="C536" s="83" t="s">
        <v>159</v>
      </c>
      <c r="D536" s="83" t="s">
        <v>91</v>
      </c>
      <c r="E536" s="83" t="s">
        <v>1</v>
      </c>
      <c r="F536" s="12">
        <f>F537</f>
        <v>11400</v>
      </c>
      <c r="G536" s="1"/>
      <c r="I536" s="12">
        <v>11400</v>
      </c>
      <c r="J536" s="1"/>
      <c r="L536" s="114">
        <f t="shared" si="16"/>
        <v>0</v>
      </c>
      <c r="M536" s="114">
        <f t="shared" si="17"/>
        <v>0</v>
      </c>
    </row>
    <row r="537" spans="1:13" ht="31.5" outlineLevel="4">
      <c r="A537" s="19" t="s">
        <v>510</v>
      </c>
      <c r="B537" s="20" t="s">
        <v>159</v>
      </c>
      <c r="C537" s="20" t="s">
        <v>159</v>
      </c>
      <c r="D537" s="20" t="s">
        <v>100</v>
      </c>
      <c r="E537" s="20" t="s">
        <v>1</v>
      </c>
      <c r="F537" s="13">
        <f>F538</f>
        <v>11400</v>
      </c>
      <c r="G537" s="2"/>
      <c r="I537" s="13">
        <v>11400</v>
      </c>
      <c r="J537" s="2"/>
      <c r="L537" s="114">
        <f t="shared" si="16"/>
        <v>0</v>
      </c>
      <c r="M537" s="114">
        <f t="shared" si="17"/>
        <v>0</v>
      </c>
    </row>
    <row r="538" spans="1:13" ht="31.5" outlineLevel="5">
      <c r="A538" s="19" t="s">
        <v>441</v>
      </c>
      <c r="B538" s="20" t="s">
        <v>159</v>
      </c>
      <c r="C538" s="20" t="s">
        <v>159</v>
      </c>
      <c r="D538" s="20" t="s">
        <v>101</v>
      </c>
      <c r="E538" s="20" t="s">
        <v>1</v>
      </c>
      <c r="F538" s="13">
        <f>F539</f>
        <v>11400</v>
      </c>
      <c r="G538" s="2"/>
      <c r="I538" s="13">
        <v>11400</v>
      </c>
      <c r="J538" s="2"/>
      <c r="L538" s="114">
        <f t="shared" si="16"/>
        <v>0</v>
      </c>
      <c r="M538" s="114">
        <f t="shared" si="17"/>
        <v>0</v>
      </c>
    </row>
    <row r="539" spans="1:13" ht="31.5" outlineLevel="6">
      <c r="A539" s="19" t="s">
        <v>693</v>
      </c>
      <c r="B539" s="20" t="s">
        <v>159</v>
      </c>
      <c r="C539" s="20" t="s">
        <v>159</v>
      </c>
      <c r="D539" s="20" t="s">
        <v>101</v>
      </c>
      <c r="E539" s="20" t="s">
        <v>17</v>
      </c>
      <c r="F539" s="13">
        <f>'Приложение_7 '!G551</f>
        <v>11400</v>
      </c>
      <c r="G539" s="2"/>
      <c r="I539" s="13">
        <v>11400</v>
      </c>
      <c r="J539" s="2"/>
      <c r="L539" s="114">
        <f t="shared" si="16"/>
        <v>0</v>
      </c>
      <c r="M539" s="114">
        <f t="shared" si="17"/>
        <v>0</v>
      </c>
    </row>
    <row r="540" spans="1:13" ht="15.75" outlineLevel="2">
      <c r="A540" s="82" t="s">
        <v>490</v>
      </c>
      <c r="B540" s="83" t="s">
        <v>159</v>
      </c>
      <c r="C540" s="83" t="s">
        <v>159</v>
      </c>
      <c r="D540" s="83" t="s">
        <v>11</v>
      </c>
      <c r="E540" s="83" t="s">
        <v>1</v>
      </c>
      <c r="F540" s="12">
        <f>F541</f>
        <v>2114816.52</v>
      </c>
      <c r="G540" s="1"/>
      <c r="I540" s="12">
        <v>2114816.52</v>
      </c>
      <c r="J540" s="1"/>
      <c r="L540" s="114">
        <f t="shared" si="16"/>
        <v>0</v>
      </c>
      <c r="M540" s="114">
        <f t="shared" si="17"/>
        <v>0</v>
      </c>
    </row>
    <row r="541" spans="1:13" ht="63" outlineLevel="5">
      <c r="A541" s="19" t="s">
        <v>443</v>
      </c>
      <c r="B541" s="20" t="s">
        <v>159</v>
      </c>
      <c r="C541" s="20" t="s">
        <v>159</v>
      </c>
      <c r="D541" s="20" t="s">
        <v>238</v>
      </c>
      <c r="E541" s="20" t="s">
        <v>1</v>
      </c>
      <c r="F541" s="13">
        <f>F542</f>
        <v>2114816.52</v>
      </c>
      <c r="G541" s="2"/>
      <c r="I541" s="13">
        <v>2114816.52</v>
      </c>
      <c r="J541" s="2"/>
      <c r="L541" s="114">
        <f t="shared" si="16"/>
        <v>0</v>
      </c>
      <c r="M541" s="114">
        <f t="shared" si="17"/>
        <v>0</v>
      </c>
    </row>
    <row r="542" spans="1:13" ht="31.5" outlineLevel="6">
      <c r="A542" s="19" t="s">
        <v>696</v>
      </c>
      <c r="B542" s="20" t="s">
        <v>159</v>
      </c>
      <c r="C542" s="20" t="s">
        <v>159</v>
      </c>
      <c r="D542" s="20" t="s">
        <v>238</v>
      </c>
      <c r="E542" s="20" t="s">
        <v>70</v>
      </c>
      <c r="F542" s="13">
        <f>'Приложение_7 '!G554</f>
        <v>2114816.52</v>
      </c>
      <c r="G542" s="2"/>
      <c r="I542" s="13">
        <v>2114816.52</v>
      </c>
      <c r="J542" s="2"/>
      <c r="L542" s="114">
        <f t="shared" si="16"/>
        <v>0</v>
      </c>
      <c r="M542" s="114">
        <f t="shared" si="17"/>
        <v>0</v>
      </c>
    </row>
    <row r="543" spans="1:13" ht="15.75" outlineLevel="6">
      <c r="A543" s="72" t="s">
        <v>1294</v>
      </c>
      <c r="B543" s="73" t="s">
        <v>60</v>
      </c>
      <c r="C543" s="73" t="s">
        <v>3</v>
      </c>
      <c r="D543" s="73" t="s">
        <v>4</v>
      </c>
      <c r="E543" s="73" t="s">
        <v>1</v>
      </c>
      <c r="F543" s="12">
        <f>F544</f>
        <v>199885.74</v>
      </c>
      <c r="G543" s="1"/>
      <c r="I543" s="13"/>
      <c r="J543" s="2"/>
      <c r="L543" s="114"/>
      <c r="M543" s="114"/>
    </row>
    <row r="544" spans="1:13" ht="31.5" outlineLevel="6">
      <c r="A544" s="72" t="s">
        <v>1295</v>
      </c>
      <c r="B544" s="73" t="s">
        <v>60</v>
      </c>
      <c r="C544" s="73" t="s">
        <v>14</v>
      </c>
      <c r="D544" s="73" t="s">
        <v>4</v>
      </c>
      <c r="E544" s="73" t="s">
        <v>1</v>
      </c>
      <c r="F544" s="12">
        <f>F545</f>
        <v>199885.74</v>
      </c>
      <c r="G544" s="1"/>
      <c r="I544" s="13"/>
      <c r="J544" s="2"/>
      <c r="L544" s="114"/>
      <c r="M544" s="114"/>
    </row>
    <row r="545" spans="1:13" ht="31.5" outlineLevel="6">
      <c r="A545" s="72" t="s">
        <v>1297</v>
      </c>
      <c r="B545" s="73" t="s">
        <v>60</v>
      </c>
      <c r="C545" s="73" t="s">
        <v>14</v>
      </c>
      <c r="D545" s="73" t="s">
        <v>1298</v>
      </c>
      <c r="E545" s="73" t="s">
        <v>1</v>
      </c>
      <c r="F545" s="12">
        <f>F546</f>
        <v>199885.74</v>
      </c>
      <c r="G545" s="1"/>
      <c r="I545" s="13"/>
      <c r="J545" s="2"/>
      <c r="L545" s="114"/>
      <c r="M545" s="114"/>
    </row>
    <row r="546" spans="1:13" ht="47.25" outlineLevel="6">
      <c r="A546" s="76" t="s">
        <v>1296</v>
      </c>
      <c r="B546" s="77" t="s">
        <v>60</v>
      </c>
      <c r="C546" s="77" t="s">
        <v>14</v>
      </c>
      <c r="D546" s="77" t="s">
        <v>1299</v>
      </c>
      <c r="E546" s="77" t="s">
        <v>1</v>
      </c>
      <c r="F546" s="13">
        <f>F547</f>
        <v>199885.74</v>
      </c>
      <c r="G546" s="2"/>
      <c r="I546" s="13"/>
      <c r="J546" s="2"/>
      <c r="L546" s="114"/>
      <c r="M546" s="114"/>
    </row>
    <row r="547" spans="1:13" ht="31.5" outlineLevel="6">
      <c r="A547" s="76" t="s">
        <v>441</v>
      </c>
      <c r="B547" s="77" t="s">
        <v>60</v>
      </c>
      <c r="C547" s="77" t="s">
        <v>14</v>
      </c>
      <c r="D547" s="77" t="s">
        <v>1300</v>
      </c>
      <c r="E547" s="77" t="s">
        <v>1</v>
      </c>
      <c r="F547" s="13">
        <f>F548</f>
        <v>199885.74</v>
      </c>
      <c r="G547" s="2"/>
      <c r="I547" s="13"/>
      <c r="J547" s="2"/>
      <c r="L547" s="114"/>
      <c r="M547" s="114"/>
    </row>
    <row r="548" spans="1:13" ht="31.5" outlineLevel="6">
      <c r="A548" s="76" t="s">
        <v>693</v>
      </c>
      <c r="B548" s="77" t="s">
        <v>60</v>
      </c>
      <c r="C548" s="77" t="s">
        <v>14</v>
      </c>
      <c r="D548" s="77" t="s">
        <v>1300</v>
      </c>
      <c r="E548" s="77" t="s">
        <v>17</v>
      </c>
      <c r="F548" s="13">
        <f>'Приложение_7 '!G560</f>
        <v>199885.74</v>
      </c>
      <c r="G548" s="2"/>
      <c r="I548" s="13"/>
      <c r="J548" s="2"/>
      <c r="L548" s="114"/>
      <c r="M548" s="114"/>
    </row>
    <row r="549" spans="1:13" s="113" customFormat="1" ht="15.75">
      <c r="A549" s="82" t="s">
        <v>700</v>
      </c>
      <c r="B549" s="83" t="s">
        <v>239</v>
      </c>
      <c r="C549" s="83" t="s">
        <v>3</v>
      </c>
      <c r="D549" s="83" t="s">
        <v>4</v>
      </c>
      <c r="E549" s="83" t="s">
        <v>1</v>
      </c>
      <c r="F549" s="12">
        <f>F550+F589+F634+F681+F728</f>
        <v>1414645321.74</v>
      </c>
      <c r="G549" s="12">
        <f>G550+G589+G634+G681+G728</f>
        <v>713968694.21</v>
      </c>
      <c r="I549" s="12">
        <v>1404083209.76</v>
      </c>
      <c r="J549" s="1">
        <f>J550+J589+J634+J681+J728</f>
        <v>716130894.21</v>
      </c>
      <c r="L549" s="114">
        <f t="shared" si="16"/>
        <v>10562111.98000002</v>
      </c>
      <c r="M549" s="114">
        <f t="shared" si="17"/>
        <v>-2162200</v>
      </c>
    </row>
    <row r="550" spans="1:13" s="113" customFormat="1" ht="25.5" customHeight="1" outlineLevel="1">
      <c r="A550" s="82" t="s">
        <v>680</v>
      </c>
      <c r="B550" s="83" t="s">
        <v>239</v>
      </c>
      <c r="C550" s="83" t="s">
        <v>2</v>
      </c>
      <c r="D550" s="83" t="s">
        <v>4</v>
      </c>
      <c r="E550" s="83" t="s">
        <v>1</v>
      </c>
      <c r="F550" s="12">
        <f>F551+F584</f>
        <v>560702682.99</v>
      </c>
      <c r="G550" s="12">
        <f>G551+G584</f>
        <v>337009032.51</v>
      </c>
      <c r="I550" s="12">
        <v>553345369.49</v>
      </c>
      <c r="J550" s="1">
        <f>J551</f>
        <v>337009032.51</v>
      </c>
      <c r="L550" s="114">
        <f t="shared" si="16"/>
        <v>7357313.5</v>
      </c>
      <c r="M550" s="114">
        <f t="shared" si="17"/>
        <v>0</v>
      </c>
    </row>
    <row r="551" spans="1:13" ht="31.5" outlineLevel="2">
      <c r="A551" s="82" t="s">
        <v>657</v>
      </c>
      <c r="B551" s="83" t="s">
        <v>239</v>
      </c>
      <c r="C551" s="83" t="s">
        <v>2</v>
      </c>
      <c r="D551" s="83" t="s">
        <v>23</v>
      </c>
      <c r="E551" s="83" t="s">
        <v>1</v>
      </c>
      <c r="F551" s="12">
        <f>F552+F566</f>
        <v>558309924.99</v>
      </c>
      <c r="G551" s="12">
        <f>G552+G566</f>
        <v>337009032.51</v>
      </c>
      <c r="I551" s="12">
        <v>550962611.49</v>
      </c>
      <c r="J551" s="1">
        <f>J552+J566</f>
        <v>337009032.51</v>
      </c>
      <c r="L551" s="114">
        <f t="shared" si="16"/>
        <v>7347313.5</v>
      </c>
      <c r="M551" s="114">
        <f t="shared" si="17"/>
        <v>0</v>
      </c>
    </row>
    <row r="552" spans="1:13" ht="31.5" outlineLevel="3">
      <c r="A552" s="82" t="s">
        <v>640</v>
      </c>
      <c r="B552" s="83" t="s">
        <v>239</v>
      </c>
      <c r="C552" s="83" t="s">
        <v>2</v>
      </c>
      <c r="D552" s="83" t="s">
        <v>240</v>
      </c>
      <c r="E552" s="83" t="s">
        <v>1</v>
      </c>
      <c r="F552" s="12">
        <f>F553+F560+F563</f>
        <v>548820879.76</v>
      </c>
      <c r="G552" s="12">
        <f>G553+G560+G563</f>
        <v>336234518.78</v>
      </c>
      <c r="I552" s="12">
        <v>548820879.76</v>
      </c>
      <c r="J552" s="1">
        <f>J553</f>
        <v>336234518.78</v>
      </c>
      <c r="L552" s="114">
        <f t="shared" si="16"/>
        <v>0</v>
      </c>
      <c r="M552" s="114">
        <f t="shared" si="17"/>
        <v>0</v>
      </c>
    </row>
    <row r="553" spans="1:13" ht="63" outlineLevel="4">
      <c r="A553" s="19" t="s">
        <v>560</v>
      </c>
      <c r="B553" s="20" t="s">
        <v>239</v>
      </c>
      <c r="C553" s="20" t="s">
        <v>2</v>
      </c>
      <c r="D553" s="20" t="s">
        <v>241</v>
      </c>
      <c r="E553" s="20" t="s">
        <v>1</v>
      </c>
      <c r="F553" s="13">
        <f>F554+F556+F558</f>
        <v>336265219.90999997</v>
      </c>
      <c r="G553" s="13">
        <f>G554+G556+G558</f>
        <v>336234518.78</v>
      </c>
      <c r="I553" s="13">
        <v>336265219.91</v>
      </c>
      <c r="J553" s="13">
        <f>J556+J554</f>
        <v>336234518.78</v>
      </c>
      <c r="L553" s="114">
        <f t="shared" si="16"/>
        <v>0</v>
      </c>
      <c r="M553" s="114">
        <f t="shared" si="17"/>
        <v>0</v>
      </c>
    </row>
    <row r="554" spans="1:13" ht="63" outlineLevel="5">
      <c r="A554" s="19" t="s">
        <v>465</v>
      </c>
      <c r="B554" s="20" t="s">
        <v>239</v>
      </c>
      <c r="C554" s="20" t="s">
        <v>2</v>
      </c>
      <c r="D554" s="20" t="s">
        <v>242</v>
      </c>
      <c r="E554" s="20" t="s">
        <v>1</v>
      </c>
      <c r="F554" s="13">
        <f>F555</f>
        <v>488918.78</v>
      </c>
      <c r="G554" s="13">
        <f>G555</f>
        <v>488918.78</v>
      </c>
      <c r="I554" s="13">
        <v>488918.78</v>
      </c>
      <c r="J554" s="13">
        <v>488918.78</v>
      </c>
      <c r="L554" s="114">
        <f t="shared" si="16"/>
        <v>0</v>
      </c>
      <c r="M554" s="114">
        <f t="shared" si="17"/>
        <v>0</v>
      </c>
    </row>
    <row r="555" spans="1:13" ht="31.5" outlineLevel="6">
      <c r="A555" s="19" t="s">
        <v>696</v>
      </c>
      <c r="B555" s="20" t="s">
        <v>239</v>
      </c>
      <c r="C555" s="20" t="s">
        <v>2</v>
      </c>
      <c r="D555" s="20" t="s">
        <v>242</v>
      </c>
      <c r="E555" s="20" t="s">
        <v>70</v>
      </c>
      <c r="F555" s="13">
        <f>'Приложение_7 '!G674</f>
        <v>488918.78</v>
      </c>
      <c r="G555" s="13">
        <f>F555</f>
        <v>488918.78</v>
      </c>
      <c r="I555" s="13">
        <v>488918.78</v>
      </c>
      <c r="J555" s="13">
        <v>488918.78</v>
      </c>
      <c r="L555" s="114">
        <f t="shared" si="16"/>
        <v>0</v>
      </c>
      <c r="M555" s="114">
        <f t="shared" si="17"/>
        <v>0</v>
      </c>
    </row>
    <row r="556" spans="1:13" ht="78.75" outlineLevel="5">
      <c r="A556" s="19" t="s">
        <v>466</v>
      </c>
      <c r="B556" s="20" t="s">
        <v>239</v>
      </c>
      <c r="C556" s="20" t="s">
        <v>2</v>
      </c>
      <c r="D556" s="20" t="s">
        <v>243</v>
      </c>
      <c r="E556" s="20" t="s">
        <v>1</v>
      </c>
      <c r="F556" s="13">
        <f>F557</f>
        <v>335745600</v>
      </c>
      <c r="G556" s="13">
        <f>G557</f>
        <v>335745600</v>
      </c>
      <c r="I556" s="13">
        <v>335745600</v>
      </c>
      <c r="J556" s="13">
        <v>335745600</v>
      </c>
      <c r="L556" s="114">
        <f t="shared" si="16"/>
        <v>0</v>
      </c>
      <c r="M556" s="114">
        <f t="shared" si="17"/>
        <v>0</v>
      </c>
    </row>
    <row r="557" spans="1:13" ht="31.5" outlineLevel="6">
      <c r="A557" s="19" t="s">
        <v>696</v>
      </c>
      <c r="B557" s="20" t="s">
        <v>239</v>
      </c>
      <c r="C557" s="20" t="s">
        <v>2</v>
      </c>
      <c r="D557" s="20" t="s">
        <v>243</v>
      </c>
      <c r="E557" s="20" t="s">
        <v>70</v>
      </c>
      <c r="F557" s="13">
        <f>'Приложение_7 '!G676</f>
        <v>335745600</v>
      </c>
      <c r="G557" s="13">
        <f>F557</f>
        <v>335745600</v>
      </c>
      <c r="I557" s="13">
        <v>335745600</v>
      </c>
      <c r="J557" s="13">
        <v>335745600</v>
      </c>
      <c r="L557" s="114">
        <f t="shared" si="16"/>
        <v>0</v>
      </c>
      <c r="M557" s="114">
        <f t="shared" si="17"/>
        <v>0</v>
      </c>
    </row>
    <row r="558" spans="1:13" ht="63" outlineLevel="5">
      <c r="A558" s="19" t="s">
        <v>465</v>
      </c>
      <c r="B558" s="20" t="s">
        <v>239</v>
      </c>
      <c r="C558" s="20" t="s">
        <v>2</v>
      </c>
      <c r="D558" s="20" t="s">
        <v>244</v>
      </c>
      <c r="E558" s="20" t="s">
        <v>1</v>
      </c>
      <c r="F558" s="13">
        <f>F559</f>
        <v>30701.13</v>
      </c>
      <c r="G558" s="2"/>
      <c r="I558" s="13">
        <v>30701.13</v>
      </c>
      <c r="J558" s="2"/>
      <c r="L558" s="114">
        <f t="shared" si="16"/>
        <v>0</v>
      </c>
      <c r="M558" s="114">
        <f t="shared" si="17"/>
        <v>0</v>
      </c>
    </row>
    <row r="559" spans="1:13" ht="31.5" outlineLevel="6">
      <c r="A559" s="19" t="s">
        <v>696</v>
      </c>
      <c r="B559" s="20" t="s">
        <v>239</v>
      </c>
      <c r="C559" s="20" t="s">
        <v>2</v>
      </c>
      <c r="D559" s="20" t="s">
        <v>244</v>
      </c>
      <c r="E559" s="20" t="s">
        <v>70</v>
      </c>
      <c r="F559" s="13">
        <f>'Приложение_7 '!G678</f>
        <v>30701.13</v>
      </c>
      <c r="G559" s="2"/>
      <c r="I559" s="13">
        <v>30701.13</v>
      </c>
      <c r="J559" s="2"/>
      <c r="L559" s="114">
        <f t="shared" si="16"/>
        <v>0</v>
      </c>
      <c r="M559" s="114">
        <f t="shared" si="17"/>
        <v>0</v>
      </c>
    </row>
    <row r="560" spans="1:13" ht="47.25" outlineLevel="4">
      <c r="A560" s="19" t="s">
        <v>561</v>
      </c>
      <c r="B560" s="20" t="s">
        <v>239</v>
      </c>
      <c r="C560" s="20" t="s">
        <v>2</v>
      </c>
      <c r="D560" s="20" t="s">
        <v>245</v>
      </c>
      <c r="E560" s="20" t="s">
        <v>1</v>
      </c>
      <c r="F560" s="13">
        <f>F561</f>
        <v>204543626.85</v>
      </c>
      <c r="G560" s="2"/>
      <c r="I560" s="13">
        <v>204543626.85</v>
      </c>
      <c r="J560" s="2"/>
      <c r="L560" s="114">
        <f t="shared" si="16"/>
        <v>0</v>
      </c>
      <c r="M560" s="114">
        <f t="shared" si="17"/>
        <v>0</v>
      </c>
    </row>
    <row r="561" spans="1:13" ht="63" outlineLevel="5">
      <c r="A561" s="19" t="s">
        <v>443</v>
      </c>
      <c r="B561" s="20" t="s">
        <v>239</v>
      </c>
      <c r="C561" s="20" t="s">
        <v>2</v>
      </c>
      <c r="D561" s="20" t="s">
        <v>246</v>
      </c>
      <c r="E561" s="20" t="s">
        <v>1</v>
      </c>
      <c r="F561" s="13">
        <f>F562</f>
        <v>204543626.85</v>
      </c>
      <c r="G561" s="2"/>
      <c r="I561" s="13">
        <v>204543626.85</v>
      </c>
      <c r="J561" s="2"/>
      <c r="L561" s="114">
        <f t="shared" si="16"/>
        <v>0</v>
      </c>
      <c r="M561" s="114">
        <f t="shared" si="17"/>
        <v>0</v>
      </c>
    </row>
    <row r="562" spans="1:13" ht="31.5" outlineLevel="6">
      <c r="A562" s="19" t="s">
        <v>696</v>
      </c>
      <c r="B562" s="20" t="s">
        <v>239</v>
      </c>
      <c r="C562" s="20" t="s">
        <v>2</v>
      </c>
      <c r="D562" s="20" t="s">
        <v>246</v>
      </c>
      <c r="E562" s="20" t="s">
        <v>70</v>
      </c>
      <c r="F562" s="13">
        <f>'Приложение_7 '!G681</f>
        <v>204543626.85</v>
      </c>
      <c r="G562" s="2"/>
      <c r="I562" s="13">
        <v>204543626.85</v>
      </c>
      <c r="J562" s="2"/>
      <c r="L562" s="114">
        <f t="shared" si="16"/>
        <v>0</v>
      </c>
      <c r="M562" s="114">
        <f t="shared" si="17"/>
        <v>0</v>
      </c>
    </row>
    <row r="563" spans="1:13" ht="15.75" outlineLevel="4">
      <c r="A563" s="19" t="s">
        <v>562</v>
      </c>
      <c r="B563" s="20" t="s">
        <v>239</v>
      </c>
      <c r="C563" s="20" t="s">
        <v>2</v>
      </c>
      <c r="D563" s="20" t="s">
        <v>247</v>
      </c>
      <c r="E563" s="20" t="s">
        <v>1</v>
      </c>
      <c r="F563" s="13">
        <f>F564</f>
        <v>8012033</v>
      </c>
      <c r="G563" s="2"/>
      <c r="I563" s="13">
        <v>8012033</v>
      </c>
      <c r="J563" s="2"/>
      <c r="L563" s="114">
        <f t="shared" si="16"/>
        <v>0</v>
      </c>
      <c r="M563" s="114">
        <f t="shared" si="17"/>
        <v>0</v>
      </c>
    </row>
    <row r="564" spans="1:13" ht="63" outlineLevel="5">
      <c r="A564" s="19" t="s">
        <v>432</v>
      </c>
      <c r="B564" s="20" t="s">
        <v>239</v>
      </c>
      <c r="C564" s="20" t="s">
        <v>2</v>
      </c>
      <c r="D564" s="20" t="s">
        <v>248</v>
      </c>
      <c r="E564" s="20" t="s">
        <v>1</v>
      </c>
      <c r="F564" s="13">
        <f>F565</f>
        <v>8012033</v>
      </c>
      <c r="G564" s="2"/>
      <c r="I564" s="13">
        <v>8012033</v>
      </c>
      <c r="J564" s="2"/>
      <c r="L564" s="114">
        <f t="shared" si="16"/>
        <v>0</v>
      </c>
      <c r="M564" s="114">
        <f t="shared" si="17"/>
        <v>0</v>
      </c>
    </row>
    <row r="565" spans="1:13" ht="31.5" outlineLevel="6">
      <c r="A565" s="19" t="s">
        <v>696</v>
      </c>
      <c r="B565" s="20" t="s">
        <v>239</v>
      </c>
      <c r="C565" s="20" t="s">
        <v>2</v>
      </c>
      <c r="D565" s="20" t="s">
        <v>248</v>
      </c>
      <c r="E565" s="20" t="s">
        <v>70</v>
      </c>
      <c r="F565" s="13">
        <f>'Приложение_7 '!G684</f>
        <v>8012033</v>
      </c>
      <c r="G565" s="2"/>
      <c r="I565" s="13">
        <v>8012033</v>
      </c>
      <c r="J565" s="2"/>
      <c r="L565" s="114">
        <f t="shared" si="16"/>
        <v>0</v>
      </c>
      <c r="M565" s="114">
        <f t="shared" si="17"/>
        <v>0</v>
      </c>
    </row>
    <row r="566" spans="1:13" ht="47.25" outlineLevel="3">
      <c r="A566" s="82" t="s">
        <v>641</v>
      </c>
      <c r="B566" s="83" t="s">
        <v>239</v>
      </c>
      <c r="C566" s="83" t="s">
        <v>2</v>
      </c>
      <c r="D566" s="83" t="s">
        <v>249</v>
      </c>
      <c r="E566" s="83" t="s">
        <v>1</v>
      </c>
      <c r="F566" s="12">
        <f>F567+F570+F579+F573</f>
        <v>9489045.23</v>
      </c>
      <c r="G566" s="12">
        <f>G567+G570+G579</f>
        <v>774513.73</v>
      </c>
      <c r="I566" s="12">
        <v>2141731.73</v>
      </c>
      <c r="J566" s="1">
        <f>J567</f>
        <v>774513.73</v>
      </c>
      <c r="L566" s="114">
        <f t="shared" si="16"/>
        <v>7347313.5</v>
      </c>
      <c r="M566" s="114">
        <f t="shared" si="17"/>
        <v>0</v>
      </c>
    </row>
    <row r="567" spans="1:13" ht="31.5" outlineLevel="4">
      <c r="A567" s="19" t="s">
        <v>563</v>
      </c>
      <c r="B567" s="20" t="s">
        <v>239</v>
      </c>
      <c r="C567" s="20" t="s">
        <v>2</v>
      </c>
      <c r="D567" s="20" t="s">
        <v>250</v>
      </c>
      <c r="E567" s="20" t="s">
        <v>1</v>
      </c>
      <c r="F567" s="13">
        <f>F568</f>
        <v>774513.73</v>
      </c>
      <c r="G567" s="13">
        <f>G568</f>
        <v>774513.73</v>
      </c>
      <c r="I567" s="13">
        <v>774513.73</v>
      </c>
      <c r="J567" s="13">
        <v>774513.73</v>
      </c>
      <c r="L567" s="114">
        <f t="shared" si="16"/>
        <v>0</v>
      </c>
      <c r="M567" s="114">
        <f t="shared" si="17"/>
        <v>0</v>
      </c>
    </row>
    <row r="568" spans="1:13" ht="47.25" outlineLevel="5">
      <c r="A568" s="19" t="s">
        <v>467</v>
      </c>
      <c r="B568" s="20" t="s">
        <v>239</v>
      </c>
      <c r="C568" s="20" t="s">
        <v>2</v>
      </c>
      <c r="D568" s="20" t="s">
        <v>251</v>
      </c>
      <c r="E568" s="20" t="s">
        <v>1</v>
      </c>
      <c r="F568" s="13">
        <f>F569</f>
        <v>774513.73</v>
      </c>
      <c r="G568" s="13">
        <f>G569</f>
        <v>774513.73</v>
      </c>
      <c r="I568" s="13">
        <v>774513.73</v>
      </c>
      <c r="J568" s="13">
        <v>774513.73</v>
      </c>
      <c r="L568" s="114">
        <f t="shared" si="16"/>
        <v>0</v>
      </c>
      <c r="M568" s="114">
        <f t="shared" si="17"/>
        <v>0</v>
      </c>
    </row>
    <row r="569" spans="1:13" ht="31.5" outlineLevel="6">
      <c r="A569" s="19" t="s">
        <v>1183</v>
      </c>
      <c r="B569" s="20" t="s">
        <v>239</v>
      </c>
      <c r="C569" s="20" t="s">
        <v>2</v>
      </c>
      <c r="D569" s="20" t="s">
        <v>251</v>
      </c>
      <c r="E569" s="20" t="s">
        <v>143</v>
      </c>
      <c r="F569" s="13">
        <f>'Приложение_7 '!G567</f>
        <v>774513.73</v>
      </c>
      <c r="G569" s="13">
        <f>F569</f>
        <v>774513.73</v>
      </c>
      <c r="I569" s="13">
        <v>774513.73</v>
      </c>
      <c r="J569" s="13">
        <v>774513.73</v>
      </c>
      <c r="L569" s="114">
        <f t="shared" si="16"/>
        <v>0</v>
      </c>
      <c r="M569" s="114">
        <f t="shared" si="17"/>
        <v>0</v>
      </c>
    </row>
    <row r="570" spans="1:13" ht="31.5" outlineLevel="4">
      <c r="A570" s="19" t="s">
        <v>564</v>
      </c>
      <c r="B570" s="20" t="s">
        <v>239</v>
      </c>
      <c r="C570" s="20" t="s">
        <v>2</v>
      </c>
      <c r="D570" s="20" t="s">
        <v>252</v>
      </c>
      <c r="E570" s="20" t="s">
        <v>1</v>
      </c>
      <c r="F570" s="13">
        <f>F571</f>
        <v>1187188</v>
      </c>
      <c r="G570" s="2"/>
      <c r="I570" s="13">
        <v>1187188</v>
      </c>
      <c r="J570" s="2"/>
      <c r="L570" s="114">
        <f t="shared" si="16"/>
        <v>0</v>
      </c>
      <c r="M570" s="114">
        <f t="shared" si="17"/>
        <v>0</v>
      </c>
    </row>
    <row r="571" spans="1:13" ht="31.5" outlineLevel="5">
      <c r="A571" s="19" t="s">
        <v>441</v>
      </c>
      <c r="B571" s="20" t="s">
        <v>239</v>
      </c>
      <c r="C571" s="20" t="s">
        <v>2</v>
      </c>
      <c r="D571" s="20" t="s">
        <v>253</v>
      </c>
      <c r="E571" s="20" t="s">
        <v>1</v>
      </c>
      <c r="F571" s="13">
        <f>F572</f>
        <v>1187188</v>
      </c>
      <c r="G571" s="2"/>
      <c r="I571" s="13">
        <v>1187188</v>
      </c>
      <c r="J571" s="2"/>
      <c r="L571" s="114">
        <f t="shared" si="16"/>
        <v>0</v>
      </c>
      <c r="M571" s="114">
        <f t="shared" si="17"/>
        <v>0</v>
      </c>
    </row>
    <row r="572" spans="1:13" ht="31.5" outlineLevel="6">
      <c r="A572" s="19" t="s">
        <v>696</v>
      </c>
      <c r="B572" s="20" t="s">
        <v>239</v>
      </c>
      <c r="C572" s="20" t="s">
        <v>2</v>
      </c>
      <c r="D572" s="20" t="s">
        <v>253</v>
      </c>
      <c r="E572" s="20" t="s">
        <v>70</v>
      </c>
      <c r="F572" s="13">
        <f>'Приложение_7 '!G688</f>
        <v>1187188</v>
      </c>
      <c r="G572" s="2"/>
      <c r="I572" s="13">
        <v>1187188</v>
      </c>
      <c r="J572" s="2"/>
      <c r="L572" s="114">
        <f t="shared" si="16"/>
        <v>0</v>
      </c>
      <c r="M572" s="114">
        <f t="shared" si="17"/>
        <v>0</v>
      </c>
    </row>
    <row r="573" spans="1:13" ht="47.25" outlineLevel="6">
      <c r="A573" s="76" t="s">
        <v>587</v>
      </c>
      <c r="B573" s="77" t="s">
        <v>239</v>
      </c>
      <c r="C573" s="77" t="s">
        <v>2</v>
      </c>
      <c r="D573" s="77" t="s">
        <v>415</v>
      </c>
      <c r="E573" s="77" t="s">
        <v>1</v>
      </c>
      <c r="F573" s="13">
        <f>F574+F577</f>
        <v>6491119.5</v>
      </c>
      <c r="G573" s="2"/>
      <c r="I573" s="13"/>
      <c r="J573" s="2"/>
      <c r="L573" s="114"/>
      <c r="M573" s="114"/>
    </row>
    <row r="574" spans="1:13" ht="31.5" outlineLevel="6">
      <c r="A574" s="76" t="s">
        <v>456</v>
      </c>
      <c r="B574" s="77" t="s">
        <v>239</v>
      </c>
      <c r="C574" s="77" t="s">
        <v>2</v>
      </c>
      <c r="D574" s="77" t="s">
        <v>1237</v>
      </c>
      <c r="E574" s="77" t="s">
        <v>1</v>
      </c>
      <c r="F574" s="13">
        <f>F576+F575</f>
        <v>4936109.5</v>
      </c>
      <c r="G574" s="2"/>
      <c r="I574" s="13"/>
      <c r="J574" s="2"/>
      <c r="L574" s="114"/>
      <c r="M574" s="114"/>
    </row>
    <row r="575" spans="1:13" ht="31.5" outlineLevel="6">
      <c r="A575" s="76" t="s">
        <v>693</v>
      </c>
      <c r="B575" s="77" t="s">
        <v>239</v>
      </c>
      <c r="C575" s="77" t="s">
        <v>2</v>
      </c>
      <c r="D575" s="77" t="s">
        <v>1237</v>
      </c>
      <c r="E575" s="77" t="s">
        <v>17</v>
      </c>
      <c r="F575" s="13">
        <f>'Приложение_7 '!G570</f>
        <v>262900</v>
      </c>
      <c r="G575" s="2"/>
      <c r="I575" s="13"/>
      <c r="J575" s="2"/>
      <c r="L575" s="114"/>
      <c r="M575" s="114"/>
    </row>
    <row r="576" spans="1:13" ht="31.5" outlineLevel="6">
      <c r="A576" s="76" t="s">
        <v>696</v>
      </c>
      <c r="B576" s="77" t="s">
        <v>239</v>
      </c>
      <c r="C576" s="77" t="s">
        <v>2</v>
      </c>
      <c r="D576" s="77" t="s">
        <v>1237</v>
      </c>
      <c r="E576" s="77" t="s">
        <v>70</v>
      </c>
      <c r="F576" s="13">
        <f>'Приложение_7 '!G691</f>
        <v>4673209.5</v>
      </c>
      <c r="G576" s="2"/>
      <c r="I576" s="13"/>
      <c r="J576" s="2"/>
      <c r="L576" s="114"/>
      <c r="M576" s="114"/>
    </row>
    <row r="577" spans="1:13" ht="31.5" outlineLevel="6">
      <c r="A577" s="76" t="s">
        <v>441</v>
      </c>
      <c r="B577" s="77" t="s">
        <v>239</v>
      </c>
      <c r="C577" s="77" t="s">
        <v>2</v>
      </c>
      <c r="D577" s="77" t="s">
        <v>1326</v>
      </c>
      <c r="E577" s="77" t="s">
        <v>1</v>
      </c>
      <c r="F577" s="13">
        <f>F578</f>
        <v>1555010</v>
      </c>
      <c r="G577" s="2"/>
      <c r="I577" s="13"/>
      <c r="J577" s="2"/>
      <c r="L577" s="114"/>
      <c r="M577" s="114"/>
    </row>
    <row r="578" spans="1:13" ht="31.5" outlineLevel="6">
      <c r="A578" s="76" t="s">
        <v>696</v>
      </c>
      <c r="B578" s="77" t="s">
        <v>239</v>
      </c>
      <c r="C578" s="77" t="s">
        <v>2</v>
      </c>
      <c r="D578" s="77" t="s">
        <v>1326</v>
      </c>
      <c r="E578" s="77" t="s">
        <v>70</v>
      </c>
      <c r="F578" s="13">
        <f>'Приложение_7 '!G693</f>
        <v>1555010</v>
      </c>
      <c r="G578" s="2"/>
      <c r="I578" s="13"/>
      <c r="J578" s="2"/>
      <c r="L578" s="114"/>
      <c r="M578" s="114"/>
    </row>
    <row r="579" spans="1:13" ht="47.25" outlineLevel="4">
      <c r="A579" s="19" t="s">
        <v>565</v>
      </c>
      <c r="B579" s="20" t="s">
        <v>239</v>
      </c>
      <c r="C579" s="20" t="s">
        <v>2</v>
      </c>
      <c r="D579" s="20" t="s">
        <v>254</v>
      </c>
      <c r="E579" s="20" t="s">
        <v>1</v>
      </c>
      <c r="F579" s="13">
        <f>F582+F580</f>
        <v>1036224</v>
      </c>
      <c r="G579" s="2"/>
      <c r="I579" s="13">
        <v>180030</v>
      </c>
      <c r="J579" s="2"/>
      <c r="L579" s="114">
        <f t="shared" si="16"/>
        <v>856194</v>
      </c>
      <c r="M579" s="114">
        <f t="shared" si="17"/>
        <v>0</v>
      </c>
    </row>
    <row r="580" spans="1:13" ht="31.5" outlineLevel="4">
      <c r="A580" s="76" t="s">
        <v>456</v>
      </c>
      <c r="B580" s="77" t="s">
        <v>239</v>
      </c>
      <c r="C580" s="77" t="s">
        <v>2</v>
      </c>
      <c r="D580" s="77" t="s">
        <v>416</v>
      </c>
      <c r="E580" s="77" t="s">
        <v>1</v>
      </c>
      <c r="F580" s="13">
        <f>F581</f>
        <v>887050</v>
      </c>
      <c r="G580" s="2"/>
      <c r="I580" s="13"/>
      <c r="J580" s="2"/>
      <c r="L580" s="114"/>
      <c r="M580" s="114"/>
    </row>
    <row r="581" spans="1:13" ht="31.5" outlineLevel="4">
      <c r="A581" s="76" t="s">
        <v>696</v>
      </c>
      <c r="B581" s="77" t="s">
        <v>239</v>
      </c>
      <c r="C581" s="77" t="s">
        <v>2</v>
      </c>
      <c r="D581" s="77" t="s">
        <v>416</v>
      </c>
      <c r="E581" s="77" t="s">
        <v>70</v>
      </c>
      <c r="F581" s="13">
        <f>'Приложение_7 '!G696</f>
        <v>887050</v>
      </c>
      <c r="G581" s="2"/>
      <c r="I581" s="13"/>
      <c r="J581" s="2"/>
      <c r="L581" s="114"/>
      <c r="M581" s="114"/>
    </row>
    <row r="582" spans="1:13" ht="31.5" outlineLevel="5">
      <c r="A582" s="19" t="s">
        <v>441</v>
      </c>
      <c r="B582" s="20" t="s">
        <v>239</v>
      </c>
      <c r="C582" s="20" t="s">
        <v>2</v>
      </c>
      <c r="D582" s="20" t="s">
        <v>255</v>
      </c>
      <c r="E582" s="20" t="s">
        <v>1</v>
      </c>
      <c r="F582" s="13">
        <f>F583</f>
        <v>149174</v>
      </c>
      <c r="G582" s="2"/>
      <c r="I582" s="13">
        <v>180030</v>
      </c>
      <c r="J582" s="2"/>
      <c r="L582" s="114">
        <f t="shared" si="16"/>
        <v>-30856</v>
      </c>
      <c r="M582" s="114">
        <f t="shared" si="17"/>
        <v>0</v>
      </c>
    </row>
    <row r="583" spans="1:13" ht="31.5" outlineLevel="6">
      <c r="A583" s="19" t="s">
        <v>696</v>
      </c>
      <c r="B583" s="20" t="s">
        <v>239</v>
      </c>
      <c r="C583" s="20" t="s">
        <v>2</v>
      </c>
      <c r="D583" s="20" t="s">
        <v>255</v>
      </c>
      <c r="E583" s="20" t="s">
        <v>70</v>
      </c>
      <c r="F583" s="13">
        <f>'Приложение_7 '!G698</f>
        <v>149174</v>
      </c>
      <c r="G583" s="2"/>
      <c r="I583" s="13">
        <v>180030</v>
      </c>
      <c r="J583" s="2"/>
      <c r="L583" s="114">
        <f t="shared" si="16"/>
        <v>-30856</v>
      </c>
      <c r="M583" s="114">
        <f t="shared" si="17"/>
        <v>0</v>
      </c>
    </row>
    <row r="584" spans="1:13" ht="31.5" outlineLevel="2">
      <c r="A584" s="82" t="s">
        <v>659</v>
      </c>
      <c r="B584" s="83" t="s">
        <v>239</v>
      </c>
      <c r="C584" s="83" t="s">
        <v>2</v>
      </c>
      <c r="D584" s="83" t="s">
        <v>90</v>
      </c>
      <c r="E584" s="83" t="s">
        <v>1</v>
      </c>
      <c r="F584" s="12">
        <f>F585</f>
        <v>2392758</v>
      </c>
      <c r="G584" s="1"/>
      <c r="I584" s="12">
        <v>2382758</v>
      </c>
      <c r="J584" s="1"/>
      <c r="L584" s="114">
        <f t="shared" si="16"/>
        <v>10000</v>
      </c>
      <c r="M584" s="114">
        <f t="shared" si="17"/>
        <v>0</v>
      </c>
    </row>
    <row r="585" spans="1:13" ht="47.25" outlineLevel="3">
      <c r="A585" s="82" t="s">
        <v>624</v>
      </c>
      <c r="B585" s="83" t="s">
        <v>239</v>
      </c>
      <c r="C585" s="83" t="s">
        <v>2</v>
      </c>
      <c r="D585" s="83" t="s">
        <v>91</v>
      </c>
      <c r="E585" s="83" t="s">
        <v>1</v>
      </c>
      <c r="F585" s="12">
        <f>F586</f>
        <v>2392758</v>
      </c>
      <c r="G585" s="1"/>
      <c r="I585" s="12">
        <v>2382758</v>
      </c>
      <c r="J585" s="1"/>
      <c r="L585" s="114">
        <f t="shared" si="16"/>
        <v>10000</v>
      </c>
      <c r="M585" s="114">
        <f t="shared" si="17"/>
        <v>0</v>
      </c>
    </row>
    <row r="586" spans="1:13" ht="31.5" outlineLevel="4">
      <c r="A586" s="19" t="s">
        <v>510</v>
      </c>
      <c r="B586" s="20" t="s">
        <v>239</v>
      </c>
      <c r="C586" s="20" t="s">
        <v>2</v>
      </c>
      <c r="D586" s="20" t="s">
        <v>100</v>
      </c>
      <c r="E586" s="20" t="s">
        <v>1</v>
      </c>
      <c r="F586" s="13">
        <f>F587</f>
        <v>2392758</v>
      </c>
      <c r="G586" s="2"/>
      <c r="I586" s="13">
        <v>2382758</v>
      </c>
      <c r="J586" s="2"/>
      <c r="L586" s="114">
        <f t="shared" si="16"/>
        <v>10000</v>
      </c>
      <c r="M586" s="114">
        <f t="shared" si="17"/>
        <v>0</v>
      </c>
    </row>
    <row r="587" spans="1:13" ht="31.5" outlineLevel="5">
      <c r="A587" s="19" t="s">
        <v>441</v>
      </c>
      <c r="B587" s="20" t="s">
        <v>239</v>
      </c>
      <c r="C587" s="20" t="s">
        <v>2</v>
      </c>
      <c r="D587" s="20" t="s">
        <v>101</v>
      </c>
      <c r="E587" s="20" t="s">
        <v>1</v>
      </c>
      <c r="F587" s="13">
        <f>F588</f>
        <v>2392758</v>
      </c>
      <c r="G587" s="2"/>
      <c r="I587" s="13">
        <v>2382758</v>
      </c>
      <c r="J587" s="2"/>
      <c r="L587" s="114">
        <f t="shared" si="16"/>
        <v>10000</v>
      </c>
      <c r="M587" s="114">
        <f t="shared" si="17"/>
        <v>0</v>
      </c>
    </row>
    <row r="588" spans="1:13" ht="31.5" outlineLevel="6">
      <c r="A588" s="19" t="s">
        <v>696</v>
      </c>
      <c r="B588" s="20" t="s">
        <v>239</v>
      </c>
      <c r="C588" s="20" t="s">
        <v>2</v>
      </c>
      <c r="D588" s="20" t="s">
        <v>101</v>
      </c>
      <c r="E588" s="20" t="s">
        <v>70</v>
      </c>
      <c r="F588" s="13">
        <f>'Приложение_7 '!G703</f>
        <v>2392758</v>
      </c>
      <c r="G588" s="2"/>
      <c r="I588" s="13">
        <v>2382758</v>
      </c>
      <c r="J588" s="2"/>
      <c r="L588" s="114">
        <f t="shared" si="16"/>
        <v>10000</v>
      </c>
      <c r="M588" s="114">
        <f t="shared" si="17"/>
        <v>0</v>
      </c>
    </row>
    <row r="589" spans="1:13" s="113" customFormat="1" ht="28.5" customHeight="1" outlineLevel="1">
      <c r="A589" s="82" t="s">
        <v>681</v>
      </c>
      <c r="B589" s="83" t="s">
        <v>239</v>
      </c>
      <c r="C589" s="83" t="s">
        <v>5</v>
      </c>
      <c r="D589" s="83" t="s">
        <v>4</v>
      </c>
      <c r="E589" s="83" t="s">
        <v>1</v>
      </c>
      <c r="F589" s="12">
        <f>F590+F629</f>
        <v>469452604.18000007</v>
      </c>
      <c r="G589" s="12">
        <f>G590+G629</f>
        <v>351362545.7</v>
      </c>
      <c r="I589" s="12">
        <v>466551410.7</v>
      </c>
      <c r="J589" s="1">
        <f>J590</f>
        <v>353524745.7</v>
      </c>
      <c r="L589" s="114">
        <f t="shared" si="16"/>
        <v>2901193.4800000787</v>
      </c>
      <c r="M589" s="114">
        <f t="shared" si="17"/>
        <v>-2162200</v>
      </c>
    </row>
    <row r="590" spans="1:13" ht="31.5" outlineLevel="2">
      <c r="A590" s="82" t="s">
        <v>657</v>
      </c>
      <c r="B590" s="83" t="s">
        <v>239</v>
      </c>
      <c r="C590" s="83" t="s">
        <v>5</v>
      </c>
      <c r="D590" s="83" t="s">
        <v>23</v>
      </c>
      <c r="E590" s="83" t="s">
        <v>1</v>
      </c>
      <c r="F590" s="12">
        <f>F591+F615</f>
        <v>468469204.18000007</v>
      </c>
      <c r="G590" s="12">
        <f>G591+G615</f>
        <v>351362545.7</v>
      </c>
      <c r="I590" s="12">
        <v>465588010.7</v>
      </c>
      <c r="J590" s="1">
        <f>J591</f>
        <v>353524745.7</v>
      </c>
      <c r="L590" s="114">
        <f t="shared" si="16"/>
        <v>2881193.4800000787</v>
      </c>
      <c r="M590" s="114">
        <f t="shared" si="17"/>
        <v>-2162200</v>
      </c>
    </row>
    <row r="591" spans="1:13" ht="47.25" outlineLevel="3">
      <c r="A591" s="82" t="s">
        <v>642</v>
      </c>
      <c r="B591" s="83" t="s">
        <v>239</v>
      </c>
      <c r="C591" s="83" t="s">
        <v>5</v>
      </c>
      <c r="D591" s="83" t="s">
        <v>256</v>
      </c>
      <c r="E591" s="83" t="s">
        <v>1</v>
      </c>
      <c r="F591" s="12">
        <f>F592+F599+F606+F609+F612</f>
        <v>459808174.70000005</v>
      </c>
      <c r="G591" s="12">
        <f>G592+G599+G606+G609+G612</f>
        <v>351362545.7</v>
      </c>
      <c r="I591" s="12">
        <v>461970374.7</v>
      </c>
      <c r="J591" s="1">
        <f>J592+J599+J606</f>
        <v>353524745.7</v>
      </c>
      <c r="L591" s="114">
        <f t="shared" si="16"/>
        <v>-2162199.9999999404</v>
      </c>
      <c r="M591" s="114">
        <f t="shared" si="17"/>
        <v>-2162200</v>
      </c>
    </row>
    <row r="592" spans="1:13" ht="63" outlineLevel="4">
      <c r="A592" s="19" t="s">
        <v>566</v>
      </c>
      <c r="B592" s="20" t="s">
        <v>239</v>
      </c>
      <c r="C592" s="20" t="s">
        <v>5</v>
      </c>
      <c r="D592" s="20" t="s">
        <v>257</v>
      </c>
      <c r="E592" s="20" t="s">
        <v>1</v>
      </c>
      <c r="F592" s="13">
        <f>F593+F595+F597</f>
        <v>138171741.06000003</v>
      </c>
      <c r="G592" s="13">
        <f>G593+G595+G597</f>
        <v>138159615.44000003</v>
      </c>
      <c r="I592" s="13">
        <v>140333941.06</v>
      </c>
      <c r="J592" s="13">
        <f>J593+J595</f>
        <v>140321815.44000003</v>
      </c>
      <c r="L592" s="114">
        <f t="shared" si="16"/>
        <v>-2162199.99999997</v>
      </c>
      <c r="M592" s="114">
        <f t="shared" si="17"/>
        <v>-2162200</v>
      </c>
    </row>
    <row r="593" spans="1:13" ht="63" outlineLevel="5">
      <c r="A593" s="19" t="s">
        <v>465</v>
      </c>
      <c r="B593" s="20" t="s">
        <v>239</v>
      </c>
      <c r="C593" s="20" t="s">
        <v>5</v>
      </c>
      <c r="D593" s="20" t="s">
        <v>258</v>
      </c>
      <c r="E593" s="20" t="s">
        <v>1</v>
      </c>
      <c r="F593" s="13">
        <f>F594</f>
        <v>230386.86</v>
      </c>
      <c r="G593" s="13">
        <f>G594</f>
        <v>230386.86</v>
      </c>
      <c r="I593" s="13">
        <v>230386.86</v>
      </c>
      <c r="J593" s="13">
        <v>230386.86</v>
      </c>
      <c r="L593" s="114">
        <f t="shared" si="16"/>
        <v>0</v>
      </c>
      <c r="M593" s="114">
        <f t="shared" si="17"/>
        <v>0</v>
      </c>
    </row>
    <row r="594" spans="1:13" ht="31.5" outlineLevel="6">
      <c r="A594" s="19" t="s">
        <v>696</v>
      </c>
      <c r="B594" s="20" t="s">
        <v>239</v>
      </c>
      <c r="C594" s="20" t="s">
        <v>5</v>
      </c>
      <c r="D594" s="20" t="s">
        <v>258</v>
      </c>
      <c r="E594" s="20" t="s">
        <v>70</v>
      </c>
      <c r="F594" s="13">
        <f>'Приложение_7 '!G709</f>
        <v>230386.86</v>
      </c>
      <c r="G594" s="13">
        <f>F594</f>
        <v>230386.86</v>
      </c>
      <c r="I594" s="13">
        <v>230386.86</v>
      </c>
      <c r="J594" s="13">
        <v>230386.86</v>
      </c>
      <c r="L594" s="114">
        <f t="shared" si="16"/>
        <v>0</v>
      </c>
      <c r="M594" s="114">
        <f t="shared" si="17"/>
        <v>0</v>
      </c>
    </row>
    <row r="595" spans="1:13" ht="63" outlineLevel="5">
      <c r="A595" s="19" t="s">
        <v>468</v>
      </c>
      <c r="B595" s="20" t="s">
        <v>239</v>
      </c>
      <c r="C595" s="20" t="s">
        <v>5</v>
      </c>
      <c r="D595" s="20" t="s">
        <v>259</v>
      </c>
      <c r="E595" s="20" t="s">
        <v>1</v>
      </c>
      <c r="F595" s="13">
        <f>F596</f>
        <v>137929228.58</v>
      </c>
      <c r="G595" s="13">
        <f>G596</f>
        <v>137929228.58</v>
      </c>
      <c r="I595" s="13">
        <v>140091428.58</v>
      </c>
      <c r="J595" s="13">
        <v>140091428.58</v>
      </c>
      <c r="L595" s="114">
        <f t="shared" si="16"/>
        <v>-2162200</v>
      </c>
      <c r="M595" s="114">
        <f t="shared" si="17"/>
        <v>-2162200</v>
      </c>
    </row>
    <row r="596" spans="1:13" ht="31.5" outlineLevel="6">
      <c r="A596" s="19" t="s">
        <v>696</v>
      </c>
      <c r="B596" s="20" t="s">
        <v>239</v>
      </c>
      <c r="C596" s="20" t="s">
        <v>5</v>
      </c>
      <c r="D596" s="20" t="s">
        <v>259</v>
      </c>
      <c r="E596" s="20" t="s">
        <v>70</v>
      </c>
      <c r="F596" s="13">
        <f>'Приложение_7 '!G711</f>
        <v>137929228.58</v>
      </c>
      <c r="G596" s="13">
        <f>F596</f>
        <v>137929228.58</v>
      </c>
      <c r="I596" s="13">
        <v>140091428.58</v>
      </c>
      <c r="J596" s="13">
        <v>140091428.58</v>
      </c>
      <c r="L596" s="114">
        <f t="shared" si="16"/>
        <v>-2162200</v>
      </c>
      <c r="M596" s="114">
        <f t="shared" si="17"/>
        <v>-2162200</v>
      </c>
    </row>
    <row r="597" spans="1:13" ht="63" outlineLevel="5">
      <c r="A597" s="19" t="s">
        <v>465</v>
      </c>
      <c r="B597" s="20" t="s">
        <v>239</v>
      </c>
      <c r="C597" s="20" t="s">
        <v>5</v>
      </c>
      <c r="D597" s="20" t="s">
        <v>260</v>
      </c>
      <c r="E597" s="20" t="s">
        <v>1</v>
      </c>
      <c r="F597" s="13">
        <f>F598</f>
        <v>12125.62</v>
      </c>
      <c r="G597" s="2"/>
      <c r="I597" s="13">
        <v>12125.62</v>
      </c>
      <c r="J597" s="2"/>
      <c r="L597" s="114">
        <f t="shared" si="16"/>
        <v>0</v>
      </c>
      <c r="M597" s="114">
        <f t="shared" si="17"/>
        <v>0</v>
      </c>
    </row>
    <row r="598" spans="1:13" ht="31.5" outlineLevel="6">
      <c r="A598" s="19" t="s">
        <v>696</v>
      </c>
      <c r="B598" s="20" t="s">
        <v>239</v>
      </c>
      <c r="C598" s="20" t="s">
        <v>5</v>
      </c>
      <c r="D598" s="20" t="s">
        <v>260</v>
      </c>
      <c r="E598" s="20" t="s">
        <v>70</v>
      </c>
      <c r="F598" s="13">
        <f>'Приложение_7 '!G713</f>
        <v>12125.62</v>
      </c>
      <c r="G598" s="2"/>
      <c r="I598" s="13">
        <v>12125.62</v>
      </c>
      <c r="J598" s="2"/>
      <c r="L598" s="114">
        <f t="shared" si="16"/>
        <v>0</v>
      </c>
      <c r="M598" s="114">
        <f t="shared" si="17"/>
        <v>0</v>
      </c>
    </row>
    <row r="599" spans="1:13" ht="63" outlineLevel="4">
      <c r="A599" s="19" t="s">
        <v>567</v>
      </c>
      <c r="B599" s="20" t="s">
        <v>239</v>
      </c>
      <c r="C599" s="20" t="s">
        <v>5</v>
      </c>
      <c r="D599" s="20" t="s">
        <v>261</v>
      </c>
      <c r="E599" s="20" t="s">
        <v>1</v>
      </c>
      <c r="F599" s="13">
        <f>F600+F602+F604</f>
        <v>178529211.02</v>
      </c>
      <c r="G599" s="13">
        <f>G600+G602+G604</f>
        <v>178515760.55</v>
      </c>
      <c r="I599" s="13">
        <v>178529211.02</v>
      </c>
      <c r="J599" s="13">
        <f>J600+J602</f>
        <v>178515760.55</v>
      </c>
      <c r="L599" s="114">
        <f t="shared" si="16"/>
        <v>0</v>
      </c>
      <c r="M599" s="114">
        <f t="shared" si="17"/>
        <v>0</v>
      </c>
    </row>
    <row r="600" spans="1:13" ht="63" outlineLevel="5">
      <c r="A600" s="19" t="s">
        <v>465</v>
      </c>
      <c r="B600" s="20" t="s">
        <v>239</v>
      </c>
      <c r="C600" s="20" t="s">
        <v>5</v>
      </c>
      <c r="D600" s="20" t="s">
        <v>262</v>
      </c>
      <c r="E600" s="20" t="s">
        <v>1</v>
      </c>
      <c r="F600" s="13">
        <f>F601</f>
        <v>255558.84</v>
      </c>
      <c r="G600" s="13">
        <f>G601</f>
        <v>255558.84</v>
      </c>
      <c r="I600" s="13">
        <v>255558.84</v>
      </c>
      <c r="J600" s="13">
        <v>255558.84</v>
      </c>
      <c r="L600" s="114">
        <f t="shared" si="16"/>
        <v>0</v>
      </c>
      <c r="M600" s="114">
        <f t="shared" si="17"/>
        <v>0</v>
      </c>
    </row>
    <row r="601" spans="1:13" ht="31.5" outlineLevel="6">
      <c r="A601" s="19" t="s">
        <v>696</v>
      </c>
      <c r="B601" s="20" t="s">
        <v>239</v>
      </c>
      <c r="C601" s="20" t="s">
        <v>5</v>
      </c>
      <c r="D601" s="20" t="s">
        <v>262</v>
      </c>
      <c r="E601" s="20" t="s">
        <v>70</v>
      </c>
      <c r="F601" s="13">
        <f>'Приложение_7 '!G716</f>
        <v>255558.84</v>
      </c>
      <c r="G601" s="13">
        <f>F601</f>
        <v>255558.84</v>
      </c>
      <c r="I601" s="13">
        <v>255558.84</v>
      </c>
      <c r="J601" s="13">
        <v>255558.84</v>
      </c>
      <c r="L601" s="114">
        <f t="shared" si="16"/>
        <v>0</v>
      </c>
      <c r="M601" s="114">
        <f t="shared" si="17"/>
        <v>0</v>
      </c>
    </row>
    <row r="602" spans="1:13" ht="63" outlineLevel="5">
      <c r="A602" s="19" t="s">
        <v>468</v>
      </c>
      <c r="B602" s="20" t="s">
        <v>239</v>
      </c>
      <c r="C602" s="20" t="s">
        <v>5</v>
      </c>
      <c r="D602" s="20" t="s">
        <v>263</v>
      </c>
      <c r="E602" s="20" t="s">
        <v>1</v>
      </c>
      <c r="F602" s="13">
        <f>F603</f>
        <v>178260201.71</v>
      </c>
      <c r="G602" s="13">
        <f>G603</f>
        <v>178260201.71</v>
      </c>
      <c r="I602" s="13">
        <v>178260201.71</v>
      </c>
      <c r="J602" s="13">
        <v>178260201.71</v>
      </c>
      <c r="L602" s="114">
        <f t="shared" si="16"/>
        <v>0</v>
      </c>
      <c r="M602" s="114">
        <f t="shared" si="17"/>
        <v>0</v>
      </c>
    </row>
    <row r="603" spans="1:13" ht="31.5" outlineLevel="6">
      <c r="A603" s="19" t="s">
        <v>696</v>
      </c>
      <c r="B603" s="20" t="s">
        <v>239</v>
      </c>
      <c r="C603" s="20" t="s">
        <v>5</v>
      </c>
      <c r="D603" s="20" t="s">
        <v>263</v>
      </c>
      <c r="E603" s="20" t="s">
        <v>70</v>
      </c>
      <c r="F603" s="13">
        <f>'Приложение_7 '!G718</f>
        <v>178260201.71</v>
      </c>
      <c r="G603" s="13">
        <f>F603</f>
        <v>178260201.71</v>
      </c>
      <c r="I603" s="13">
        <v>178260201.71</v>
      </c>
      <c r="J603" s="13">
        <v>178260201.71</v>
      </c>
      <c r="L603" s="114">
        <f t="shared" si="16"/>
        <v>0</v>
      </c>
      <c r="M603" s="114">
        <f t="shared" si="17"/>
        <v>0</v>
      </c>
    </row>
    <row r="604" spans="1:13" ht="63" outlineLevel="5">
      <c r="A604" s="19" t="s">
        <v>465</v>
      </c>
      <c r="B604" s="20" t="s">
        <v>239</v>
      </c>
      <c r="C604" s="20" t="s">
        <v>5</v>
      </c>
      <c r="D604" s="20" t="s">
        <v>264</v>
      </c>
      <c r="E604" s="20" t="s">
        <v>1</v>
      </c>
      <c r="F604" s="13">
        <f>F605</f>
        <v>13450.47</v>
      </c>
      <c r="G604" s="2"/>
      <c r="I604" s="13">
        <v>13450.47</v>
      </c>
      <c r="J604" s="2"/>
      <c r="L604" s="114">
        <f t="shared" si="16"/>
        <v>0</v>
      </c>
      <c r="M604" s="114">
        <f t="shared" si="17"/>
        <v>0</v>
      </c>
    </row>
    <row r="605" spans="1:13" ht="31.5" outlineLevel="6">
      <c r="A605" s="19" t="s">
        <v>696</v>
      </c>
      <c r="B605" s="20" t="s">
        <v>239</v>
      </c>
      <c r="C605" s="20" t="s">
        <v>5</v>
      </c>
      <c r="D605" s="20" t="s">
        <v>264</v>
      </c>
      <c r="E605" s="20" t="s">
        <v>70</v>
      </c>
      <c r="F605" s="13">
        <f>'Приложение_7 '!G720</f>
        <v>13450.47</v>
      </c>
      <c r="G605" s="2"/>
      <c r="I605" s="13">
        <v>13450.47</v>
      </c>
      <c r="J605" s="2"/>
      <c r="L605" s="114">
        <f t="shared" si="16"/>
        <v>0</v>
      </c>
      <c r="M605" s="114">
        <f t="shared" si="17"/>
        <v>0</v>
      </c>
    </row>
    <row r="606" spans="1:13" ht="63" outlineLevel="4">
      <c r="A606" s="19" t="s">
        <v>568</v>
      </c>
      <c r="B606" s="20" t="s">
        <v>239</v>
      </c>
      <c r="C606" s="20" t="s">
        <v>5</v>
      </c>
      <c r="D606" s="20" t="s">
        <v>265</v>
      </c>
      <c r="E606" s="20" t="s">
        <v>1</v>
      </c>
      <c r="F606" s="13">
        <f>F607</f>
        <v>34687169.71</v>
      </c>
      <c r="G606" s="13">
        <f>G607</f>
        <v>34687169.71</v>
      </c>
      <c r="I606" s="13">
        <v>34687169.71</v>
      </c>
      <c r="J606" s="13">
        <v>34687169.71</v>
      </c>
      <c r="L606" s="114">
        <f t="shared" si="16"/>
        <v>0</v>
      </c>
      <c r="M606" s="114">
        <f t="shared" si="17"/>
        <v>0</v>
      </c>
    </row>
    <row r="607" spans="1:13" ht="63" outlineLevel="5">
      <c r="A607" s="19" t="s">
        <v>468</v>
      </c>
      <c r="B607" s="20" t="s">
        <v>239</v>
      </c>
      <c r="C607" s="20" t="s">
        <v>5</v>
      </c>
      <c r="D607" s="20" t="s">
        <v>266</v>
      </c>
      <c r="E607" s="20" t="s">
        <v>1</v>
      </c>
      <c r="F607" s="13">
        <f>F608</f>
        <v>34687169.71</v>
      </c>
      <c r="G607" s="13">
        <f>G608</f>
        <v>34687169.71</v>
      </c>
      <c r="I607" s="13">
        <v>34687169.71</v>
      </c>
      <c r="J607" s="13">
        <v>34687169.71</v>
      </c>
      <c r="L607" s="114">
        <f t="shared" si="16"/>
        <v>0</v>
      </c>
      <c r="M607" s="114">
        <f t="shared" si="17"/>
        <v>0</v>
      </c>
    </row>
    <row r="608" spans="1:13" ht="31.5" outlineLevel="6">
      <c r="A608" s="19" t="s">
        <v>696</v>
      </c>
      <c r="B608" s="20" t="s">
        <v>239</v>
      </c>
      <c r="C608" s="20" t="s">
        <v>5</v>
      </c>
      <c r="D608" s="20" t="s">
        <v>266</v>
      </c>
      <c r="E608" s="20" t="s">
        <v>70</v>
      </c>
      <c r="F608" s="13">
        <f>'Приложение_7 '!G723</f>
        <v>34687169.71</v>
      </c>
      <c r="G608" s="13">
        <f>F608</f>
        <v>34687169.71</v>
      </c>
      <c r="I608" s="13">
        <v>34687169.71</v>
      </c>
      <c r="J608" s="13">
        <v>34687169.71</v>
      </c>
      <c r="L608" s="114">
        <f t="shared" si="16"/>
        <v>0</v>
      </c>
      <c r="M608" s="114">
        <f t="shared" si="17"/>
        <v>0</v>
      </c>
    </row>
    <row r="609" spans="1:13" ht="78.75" outlineLevel="4">
      <c r="A609" s="19" t="s">
        <v>569</v>
      </c>
      <c r="B609" s="20" t="s">
        <v>239</v>
      </c>
      <c r="C609" s="20" t="s">
        <v>5</v>
      </c>
      <c r="D609" s="20" t="s">
        <v>267</v>
      </c>
      <c r="E609" s="20" t="s">
        <v>1</v>
      </c>
      <c r="F609" s="13">
        <f>F610</f>
        <v>101563041.91</v>
      </c>
      <c r="G609" s="2"/>
      <c r="I609" s="13">
        <v>101563041.91</v>
      </c>
      <c r="J609" s="2"/>
      <c r="L609" s="114">
        <f aca="true" t="shared" si="18" ref="L609:L685">F609-I609</f>
        <v>0</v>
      </c>
      <c r="M609" s="114">
        <f aca="true" t="shared" si="19" ref="M609:M685">G609-J609</f>
        <v>0</v>
      </c>
    </row>
    <row r="610" spans="1:13" ht="63" outlineLevel="5">
      <c r="A610" s="19" t="s">
        <v>443</v>
      </c>
      <c r="B610" s="20" t="s">
        <v>239</v>
      </c>
      <c r="C610" s="20" t="s">
        <v>5</v>
      </c>
      <c r="D610" s="20" t="s">
        <v>268</v>
      </c>
      <c r="E610" s="20" t="s">
        <v>1</v>
      </c>
      <c r="F610" s="13">
        <f>F611</f>
        <v>101563041.91</v>
      </c>
      <c r="G610" s="2"/>
      <c r="I610" s="13">
        <v>101563041.91</v>
      </c>
      <c r="J610" s="2"/>
      <c r="L610" s="114">
        <f t="shared" si="18"/>
        <v>0</v>
      </c>
      <c r="M610" s="114">
        <f t="shared" si="19"/>
        <v>0</v>
      </c>
    </row>
    <row r="611" spans="1:13" ht="31.5" outlineLevel="6">
      <c r="A611" s="19" t="s">
        <v>696</v>
      </c>
      <c r="B611" s="20" t="s">
        <v>239</v>
      </c>
      <c r="C611" s="20" t="s">
        <v>5</v>
      </c>
      <c r="D611" s="20" t="s">
        <v>268</v>
      </c>
      <c r="E611" s="20" t="s">
        <v>70</v>
      </c>
      <c r="F611" s="13">
        <f>'Приложение_7 '!G726</f>
        <v>101563041.91</v>
      </c>
      <c r="G611" s="2"/>
      <c r="I611" s="13">
        <v>101563041.91</v>
      </c>
      <c r="J611" s="2"/>
      <c r="L611" s="114">
        <f t="shared" si="18"/>
        <v>0</v>
      </c>
      <c r="M611" s="114">
        <f t="shared" si="19"/>
        <v>0</v>
      </c>
    </row>
    <row r="612" spans="1:13" ht="15.75" outlineLevel="4">
      <c r="A612" s="19" t="s">
        <v>562</v>
      </c>
      <c r="B612" s="20" t="s">
        <v>239</v>
      </c>
      <c r="C612" s="20" t="s">
        <v>5</v>
      </c>
      <c r="D612" s="20" t="s">
        <v>269</v>
      </c>
      <c r="E612" s="20" t="s">
        <v>1</v>
      </c>
      <c r="F612" s="13">
        <f>F613</f>
        <v>6857011</v>
      </c>
      <c r="G612" s="2"/>
      <c r="I612" s="13">
        <v>6857011</v>
      </c>
      <c r="J612" s="2"/>
      <c r="L612" s="114">
        <f t="shared" si="18"/>
        <v>0</v>
      </c>
      <c r="M612" s="114">
        <f t="shared" si="19"/>
        <v>0</v>
      </c>
    </row>
    <row r="613" spans="1:13" ht="63" outlineLevel="5">
      <c r="A613" s="19" t="s">
        <v>432</v>
      </c>
      <c r="B613" s="20" t="s">
        <v>239</v>
      </c>
      <c r="C613" s="20" t="s">
        <v>5</v>
      </c>
      <c r="D613" s="20" t="s">
        <v>270</v>
      </c>
      <c r="E613" s="20" t="s">
        <v>1</v>
      </c>
      <c r="F613" s="13">
        <f>F614</f>
        <v>6857011</v>
      </c>
      <c r="G613" s="2"/>
      <c r="I613" s="13">
        <v>6857011</v>
      </c>
      <c r="J613" s="2"/>
      <c r="L613" s="114">
        <f t="shared" si="18"/>
        <v>0</v>
      </c>
      <c r="M613" s="114">
        <f t="shared" si="19"/>
        <v>0</v>
      </c>
    </row>
    <row r="614" spans="1:13" ht="31.5" outlineLevel="6">
      <c r="A614" s="19" t="s">
        <v>696</v>
      </c>
      <c r="B614" s="20" t="s">
        <v>239</v>
      </c>
      <c r="C614" s="20" t="s">
        <v>5</v>
      </c>
      <c r="D614" s="20" t="s">
        <v>270</v>
      </c>
      <c r="E614" s="20" t="s">
        <v>70</v>
      </c>
      <c r="F614" s="13">
        <f>'Приложение_7 '!G729</f>
        <v>6857011</v>
      </c>
      <c r="G614" s="2"/>
      <c r="I614" s="13">
        <v>6857011</v>
      </c>
      <c r="J614" s="2"/>
      <c r="L614" s="114">
        <f t="shared" si="18"/>
        <v>0</v>
      </c>
      <c r="M614" s="114">
        <f t="shared" si="19"/>
        <v>0</v>
      </c>
    </row>
    <row r="615" spans="1:13" ht="47.25" outlineLevel="3">
      <c r="A615" s="82" t="s">
        <v>641</v>
      </c>
      <c r="B615" s="83" t="s">
        <v>239</v>
      </c>
      <c r="C615" s="83" t="s">
        <v>5</v>
      </c>
      <c r="D615" s="83" t="s">
        <v>249</v>
      </c>
      <c r="E615" s="83" t="s">
        <v>1</v>
      </c>
      <c r="F615" s="12">
        <f>F621+F616+F624</f>
        <v>8661029.48</v>
      </c>
      <c r="G615" s="1"/>
      <c r="I615" s="12">
        <v>3617636</v>
      </c>
      <c r="J615" s="1"/>
      <c r="L615" s="114">
        <f t="shared" si="18"/>
        <v>5043393.48</v>
      </c>
      <c r="M615" s="114">
        <f t="shared" si="19"/>
        <v>0</v>
      </c>
    </row>
    <row r="616" spans="1:13" ht="47.25" outlineLevel="3">
      <c r="A616" s="76" t="s">
        <v>587</v>
      </c>
      <c r="B616" s="77" t="s">
        <v>239</v>
      </c>
      <c r="C616" s="77" t="s">
        <v>5</v>
      </c>
      <c r="D616" s="77" t="s">
        <v>415</v>
      </c>
      <c r="E616" s="77" t="s">
        <v>1</v>
      </c>
      <c r="F616" s="78">
        <f>F617+F619</f>
        <v>4295200.48</v>
      </c>
      <c r="G616" s="1"/>
      <c r="I616" s="12"/>
      <c r="J616" s="1"/>
      <c r="L616" s="114"/>
      <c r="M616" s="114"/>
    </row>
    <row r="617" spans="1:13" ht="31.5" outlineLevel="3">
      <c r="A617" s="76" t="s">
        <v>456</v>
      </c>
      <c r="B617" s="77" t="s">
        <v>239</v>
      </c>
      <c r="C617" s="77" t="s">
        <v>5</v>
      </c>
      <c r="D617" s="77" t="s">
        <v>1237</v>
      </c>
      <c r="E617" s="77" t="s">
        <v>1</v>
      </c>
      <c r="F617" s="78">
        <f>F618</f>
        <v>4242996.48</v>
      </c>
      <c r="G617" s="1"/>
      <c r="I617" s="12"/>
      <c r="J617" s="1"/>
      <c r="L617" s="114"/>
      <c r="M617" s="114"/>
    </row>
    <row r="618" spans="1:13" ht="31.5" outlineLevel="3">
      <c r="A618" s="76" t="s">
        <v>696</v>
      </c>
      <c r="B618" s="77" t="s">
        <v>239</v>
      </c>
      <c r="C618" s="77" t="s">
        <v>5</v>
      </c>
      <c r="D618" s="77" t="s">
        <v>1237</v>
      </c>
      <c r="E618" s="77" t="s">
        <v>70</v>
      </c>
      <c r="F618" s="78">
        <f>'Приложение_7 '!G733</f>
        <v>4242996.48</v>
      </c>
      <c r="G618" s="1"/>
      <c r="I618" s="12"/>
      <c r="J618" s="1"/>
      <c r="L618" s="114"/>
      <c r="M618" s="114"/>
    </row>
    <row r="619" spans="1:13" ht="31.5" outlineLevel="3">
      <c r="A619" s="76" t="s">
        <v>441</v>
      </c>
      <c r="B619" s="77" t="s">
        <v>239</v>
      </c>
      <c r="C619" s="77" t="s">
        <v>5</v>
      </c>
      <c r="D619" s="77" t="s">
        <v>1326</v>
      </c>
      <c r="E619" s="77" t="s">
        <v>1</v>
      </c>
      <c r="F619" s="78">
        <f>F620</f>
        <v>52204</v>
      </c>
      <c r="G619" s="1"/>
      <c r="I619" s="12"/>
      <c r="J619" s="1"/>
      <c r="L619" s="114"/>
      <c r="M619" s="114"/>
    </row>
    <row r="620" spans="1:13" ht="31.5" outlineLevel="3">
      <c r="A620" s="76" t="s">
        <v>696</v>
      </c>
      <c r="B620" s="77" t="s">
        <v>239</v>
      </c>
      <c r="C620" s="77" t="s">
        <v>5</v>
      </c>
      <c r="D620" s="77" t="s">
        <v>1326</v>
      </c>
      <c r="E620" s="77" t="s">
        <v>70</v>
      </c>
      <c r="F620" s="78">
        <f>'Приложение_7 '!G735</f>
        <v>52204</v>
      </c>
      <c r="G620" s="1"/>
      <c r="I620" s="12"/>
      <c r="J620" s="1"/>
      <c r="L620" s="114"/>
      <c r="M620" s="114"/>
    </row>
    <row r="621" spans="1:13" ht="15.75" outlineLevel="4">
      <c r="A621" s="19" t="s">
        <v>570</v>
      </c>
      <c r="B621" s="20" t="s">
        <v>239</v>
      </c>
      <c r="C621" s="20" t="s">
        <v>5</v>
      </c>
      <c r="D621" s="20" t="s">
        <v>271</v>
      </c>
      <c r="E621" s="20" t="s">
        <v>1</v>
      </c>
      <c r="F621" s="13">
        <f>F622</f>
        <v>3617636</v>
      </c>
      <c r="G621" s="2"/>
      <c r="I621" s="13">
        <v>3617636</v>
      </c>
      <c r="J621" s="2"/>
      <c r="L621" s="114">
        <f t="shared" si="18"/>
        <v>0</v>
      </c>
      <c r="M621" s="114">
        <f t="shared" si="19"/>
        <v>0</v>
      </c>
    </row>
    <row r="622" spans="1:13" ht="31.5" outlineLevel="5">
      <c r="A622" s="19" t="s">
        <v>441</v>
      </c>
      <c r="B622" s="20" t="s">
        <v>239</v>
      </c>
      <c r="C622" s="20" t="s">
        <v>5</v>
      </c>
      <c r="D622" s="20" t="s">
        <v>272</v>
      </c>
      <c r="E622" s="20" t="s">
        <v>1</v>
      </c>
      <c r="F622" s="13">
        <f>F623</f>
        <v>3617636</v>
      </c>
      <c r="G622" s="2"/>
      <c r="I622" s="13">
        <v>3617636</v>
      </c>
      <c r="J622" s="2"/>
      <c r="L622" s="114">
        <f t="shared" si="18"/>
        <v>0</v>
      </c>
      <c r="M622" s="114">
        <f t="shared" si="19"/>
        <v>0</v>
      </c>
    </row>
    <row r="623" spans="1:13" ht="31.5" outlineLevel="6">
      <c r="A623" s="19" t="s">
        <v>696</v>
      </c>
      <c r="B623" s="20" t="s">
        <v>239</v>
      </c>
      <c r="C623" s="20" t="s">
        <v>5</v>
      </c>
      <c r="D623" s="20" t="s">
        <v>272</v>
      </c>
      <c r="E623" s="20" t="s">
        <v>70</v>
      </c>
      <c r="F623" s="13">
        <f>'Приложение_7 '!G738</f>
        <v>3617636</v>
      </c>
      <c r="G623" s="2"/>
      <c r="I623" s="13">
        <v>3617636</v>
      </c>
      <c r="J623" s="2"/>
      <c r="L623" s="114">
        <f t="shared" si="18"/>
        <v>0</v>
      </c>
      <c r="M623" s="114">
        <f t="shared" si="19"/>
        <v>0</v>
      </c>
    </row>
    <row r="624" spans="1:13" ht="47.25" outlineLevel="6">
      <c r="A624" s="76" t="s">
        <v>565</v>
      </c>
      <c r="B624" s="77" t="s">
        <v>239</v>
      </c>
      <c r="C624" s="77" t="s">
        <v>5</v>
      </c>
      <c r="D624" s="77" t="s">
        <v>254</v>
      </c>
      <c r="E624" s="77" t="s">
        <v>1</v>
      </c>
      <c r="F624" s="13">
        <f>F625+F627</f>
        <v>748193</v>
      </c>
      <c r="G624" s="2"/>
      <c r="I624" s="13"/>
      <c r="J624" s="2"/>
      <c r="L624" s="114"/>
      <c r="M624" s="114"/>
    </row>
    <row r="625" spans="1:13" ht="31.5" outlineLevel="6">
      <c r="A625" s="76" t="s">
        <v>456</v>
      </c>
      <c r="B625" s="77" t="s">
        <v>239</v>
      </c>
      <c r="C625" s="77" t="s">
        <v>5</v>
      </c>
      <c r="D625" s="77" t="s">
        <v>416</v>
      </c>
      <c r="E625" s="77" t="s">
        <v>1</v>
      </c>
      <c r="F625" s="13">
        <f>F626</f>
        <v>645519.8200000001</v>
      </c>
      <c r="G625" s="2"/>
      <c r="I625" s="13"/>
      <c r="J625" s="2"/>
      <c r="L625" s="114"/>
      <c r="M625" s="114"/>
    </row>
    <row r="626" spans="1:13" ht="31.5" outlineLevel="6">
      <c r="A626" s="76" t="s">
        <v>696</v>
      </c>
      <c r="B626" s="77" t="s">
        <v>239</v>
      </c>
      <c r="C626" s="77" t="s">
        <v>5</v>
      </c>
      <c r="D626" s="77" t="s">
        <v>416</v>
      </c>
      <c r="E626" s="77" t="s">
        <v>70</v>
      </c>
      <c r="F626" s="13">
        <f>'Приложение_7 '!G741</f>
        <v>645519.8200000001</v>
      </c>
      <c r="G626" s="2"/>
      <c r="I626" s="13"/>
      <c r="J626" s="2"/>
      <c r="L626" s="114"/>
      <c r="M626" s="114"/>
    </row>
    <row r="627" spans="1:13" ht="31.5" outlineLevel="6">
      <c r="A627" s="76" t="s">
        <v>441</v>
      </c>
      <c r="B627" s="77" t="s">
        <v>239</v>
      </c>
      <c r="C627" s="77" t="s">
        <v>5</v>
      </c>
      <c r="D627" s="77" t="s">
        <v>255</v>
      </c>
      <c r="E627" s="77" t="s">
        <v>1</v>
      </c>
      <c r="F627" s="13">
        <f>F628</f>
        <v>102673.18</v>
      </c>
      <c r="G627" s="2"/>
      <c r="I627" s="13"/>
      <c r="J627" s="2"/>
      <c r="L627" s="114"/>
      <c r="M627" s="114"/>
    </row>
    <row r="628" spans="1:13" ht="31.5" outlineLevel="6">
      <c r="A628" s="76" t="s">
        <v>696</v>
      </c>
      <c r="B628" s="77" t="s">
        <v>239</v>
      </c>
      <c r="C628" s="77" t="s">
        <v>5</v>
      </c>
      <c r="D628" s="77" t="s">
        <v>255</v>
      </c>
      <c r="E628" s="77" t="s">
        <v>70</v>
      </c>
      <c r="F628" s="13">
        <f>'Приложение_7 '!G743</f>
        <v>102673.18</v>
      </c>
      <c r="G628" s="2"/>
      <c r="I628" s="13"/>
      <c r="J628" s="2"/>
      <c r="L628" s="114"/>
      <c r="M628" s="114"/>
    </row>
    <row r="629" spans="1:13" ht="31.5" outlineLevel="2">
      <c r="A629" s="82" t="s">
        <v>659</v>
      </c>
      <c r="B629" s="83" t="s">
        <v>239</v>
      </c>
      <c r="C629" s="83" t="s">
        <v>5</v>
      </c>
      <c r="D629" s="83" t="s">
        <v>90</v>
      </c>
      <c r="E629" s="83" t="s">
        <v>1</v>
      </c>
      <c r="F629" s="12">
        <f>F630</f>
        <v>983400</v>
      </c>
      <c r="G629" s="1"/>
      <c r="I629" s="12">
        <v>963400</v>
      </c>
      <c r="J629" s="1"/>
      <c r="L629" s="114">
        <f t="shared" si="18"/>
        <v>20000</v>
      </c>
      <c r="M629" s="114">
        <f t="shared" si="19"/>
        <v>0</v>
      </c>
    </row>
    <row r="630" spans="1:13" ht="47.25" outlineLevel="3">
      <c r="A630" s="82" t="s">
        <v>624</v>
      </c>
      <c r="B630" s="83" t="s">
        <v>239</v>
      </c>
      <c r="C630" s="83" t="s">
        <v>5</v>
      </c>
      <c r="D630" s="83" t="s">
        <v>91</v>
      </c>
      <c r="E630" s="83" t="s">
        <v>1</v>
      </c>
      <c r="F630" s="12">
        <f>F631</f>
        <v>983400</v>
      </c>
      <c r="G630" s="1"/>
      <c r="I630" s="12">
        <v>963400</v>
      </c>
      <c r="J630" s="1"/>
      <c r="L630" s="114">
        <f t="shared" si="18"/>
        <v>20000</v>
      </c>
      <c r="M630" s="114">
        <f t="shared" si="19"/>
        <v>0</v>
      </c>
    </row>
    <row r="631" spans="1:13" ht="31.5" outlineLevel="4">
      <c r="A631" s="19" t="s">
        <v>510</v>
      </c>
      <c r="B631" s="20" t="s">
        <v>239</v>
      </c>
      <c r="C631" s="20" t="s">
        <v>5</v>
      </c>
      <c r="D631" s="20" t="s">
        <v>100</v>
      </c>
      <c r="E631" s="20" t="s">
        <v>1</v>
      </c>
      <c r="F631" s="13">
        <f>F632</f>
        <v>983400</v>
      </c>
      <c r="G631" s="2"/>
      <c r="I631" s="13">
        <v>963400</v>
      </c>
      <c r="J631" s="2"/>
      <c r="L631" s="114">
        <f t="shared" si="18"/>
        <v>20000</v>
      </c>
      <c r="M631" s="114">
        <f t="shared" si="19"/>
        <v>0</v>
      </c>
    </row>
    <row r="632" spans="1:13" ht="31.5" outlineLevel="5">
      <c r="A632" s="19" t="s">
        <v>441</v>
      </c>
      <c r="B632" s="20" t="s">
        <v>239</v>
      </c>
      <c r="C632" s="20" t="s">
        <v>5</v>
      </c>
      <c r="D632" s="20" t="s">
        <v>101</v>
      </c>
      <c r="E632" s="20" t="s">
        <v>1</v>
      </c>
      <c r="F632" s="13">
        <f>F633</f>
        <v>983400</v>
      </c>
      <c r="G632" s="2"/>
      <c r="I632" s="13">
        <v>963400</v>
      </c>
      <c r="J632" s="2"/>
      <c r="L632" s="114">
        <f t="shared" si="18"/>
        <v>20000</v>
      </c>
      <c r="M632" s="114">
        <f t="shared" si="19"/>
        <v>0</v>
      </c>
    </row>
    <row r="633" spans="1:13" ht="31.5" outlineLevel="6">
      <c r="A633" s="19" t="s">
        <v>696</v>
      </c>
      <c r="B633" s="20" t="s">
        <v>239</v>
      </c>
      <c r="C633" s="20" t="s">
        <v>5</v>
      </c>
      <c r="D633" s="20" t="s">
        <v>101</v>
      </c>
      <c r="E633" s="20" t="s">
        <v>70</v>
      </c>
      <c r="F633" s="13">
        <f>'Приложение_7 '!G748</f>
        <v>983400</v>
      </c>
      <c r="G633" s="2"/>
      <c r="I633" s="13">
        <v>963400</v>
      </c>
      <c r="J633" s="2"/>
      <c r="L633" s="114">
        <f t="shared" si="18"/>
        <v>20000</v>
      </c>
      <c r="M633" s="114">
        <f t="shared" si="19"/>
        <v>0</v>
      </c>
    </row>
    <row r="634" spans="1:13" s="113" customFormat="1" ht="24.75" customHeight="1" outlineLevel="1">
      <c r="A634" s="82" t="s">
        <v>682</v>
      </c>
      <c r="B634" s="83" t="s">
        <v>239</v>
      </c>
      <c r="C634" s="83" t="s">
        <v>14</v>
      </c>
      <c r="D634" s="83" t="s">
        <v>4</v>
      </c>
      <c r="E634" s="83" t="s">
        <v>1</v>
      </c>
      <c r="F634" s="12">
        <f>F635+F657+F676</f>
        <v>280570490.57</v>
      </c>
      <c r="G634" s="12">
        <f>G635+G657+G676</f>
        <v>6634616</v>
      </c>
      <c r="I634" s="12">
        <v>280236885.57</v>
      </c>
      <c r="J634" s="1">
        <f>J635+J657</f>
        <v>6634616</v>
      </c>
      <c r="L634" s="114">
        <f t="shared" si="18"/>
        <v>333605</v>
      </c>
      <c r="M634" s="114">
        <f t="shared" si="19"/>
        <v>0</v>
      </c>
    </row>
    <row r="635" spans="1:13" ht="31.5" outlineLevel="2">
      <c r="A635" s="82" t="s">
        <v>657</v>
      </c>
      <c r="B635" s="83" t="s">
        <v>239</v>
      </c>
      <c r="C635" s="83" t="s">
        <v>14</v>
      </c>
      <c r="D635" s="83" t="s">
        <v>23</v>
      </c>
      <c r="E635" s="83" t="s">
        <v>1</v>
      </c>
      <c r="F635" s="12">
        <f>F636+F647</f>
        <v>214543513.44</v>
      </c>
      <c r="G635" s="12">
        <f>G636+G647</f>
        <v>5845011.44</v>
      </c>
      <c r="I635" s="12">
        <v>214209908.44</v>
      </c>
      <c r="J635" s="1">
        <f>J636</f>
        <v>5845011.44</v>
      </c>
      <c r="L635" s="114">
        <f t="shared" si="18"/>
        <v>333605</v>
      </c>
      <c r="M635" s="114">
        <f t="shared" si="19"/>
        <v>0</v>
      </c>
    </row>
    <row r="636" spans="1:13" ht="47.25" outlineLevel="3">
      <c r="A636" s="82" t="s">
        <v>642</v>
      </c>
      <c r="B636" s="83" t="s">
        <v>239</v>
      </c>
      <c r="C636" s="83" t="s">
        <v>14</v>
      </c>
      <c r="D636" s="83" t="s">
        <v>256</v>
      </c>
      <c r="E636" s="83" t="s">
        <v>1</v>
      </c>
      <c r="F636" s="12">
        <f>F637+F644</f>
        <v>213276171.44</v>
      </c>
      <c r="G636" s="12">
        <f>G637+G644</f>
        <v>5845011.44</v>
      </c>
      <c r="I636" s="12">
        <v>213276171.44</v>
      </c>
      <c r="J636" s="1">
        <f>J637</f>
        <v>5845011.44</v>
      </c>
      <c r="L636" s="114">
        <f t="shared" si="18"/>
        <v>0</v>
      </c>
      <c r="M636" s="114">
        <f t="shared" si="19"/>
        <v>0</v>
      </c>
    </row>
    <row r="637" spans="1:13" ht="31.5" outlineLevel="4">
      <c r="A637" s="19" t="s">
        <v>571</v>
      </c>
      <c r="B637" s="20" t="s">
        <v>239</v>
      </c>
      <c r="C637" s="20" t="s">
        <v>14</v>
      </c>
      <c r="D637" s="20" t="s">
        <v>273</v>
      </c>
      <c r="E637" s="20" t="s">
        <v>1</v>
      </c>
      <c r="F637" s="13">
        <f>F638+F640+F642</f>
        <v>209853851.44</v>
      </c>
      <c r="G637" s="13">
        <f>G638+G640+G642</f>
        <v>5845011.44</v>
      </c>
      <c r="I637" s="13">
        <v>209853851.44</v>
      </c>
      <c r="J637" s="2">
        <f>J640</f>
        <v>5845011.44</v>
      </c>
      <c r="L637" s="114">
        <f t="shared" si="18"/>
        <v>0</v>
      </c>
      <c r="M637" s="114">
        <f t="shared" si="19"/>
        <v>0</v>
      </c>
    </row>
    <row r="638" spans="1:13" ht="63" outlineLevel="5">
      <c r="A638" s="19" t="s">
        <v>443</v>
      </c>
      <c r="B638" s="20" t="s">
        <v>239</v>
      </c>
      <c r="C638" s="20" t="s">
        <v>14</v>
      </c>
      <c r="D638" s="20" t="s">
        <v>274</v>
      </c>
      <c r="E638" s="20" t="s">
        <v>1</v>
      </c>
      <c r="F638" s="13">
        <f>F639</f>
        <v>201050490</v>
      </c>
      <c r="G638" s="2"/>
      <c r="I638" s="13">
        <v>201050490</v>
      </c>
      <c r="J638" s="2"/>
      <c r="L638" s="114">
        <f t="shared" si="18"/>
        <v>0</v>
      </c>
      <c r="M638" s="114">
        <f t="shared" si="19"/>
        <v>0</v>
      </c>
    </row>
    <row r="639" spans="1:13" ht="31.5" outlineLevel="6">
      <c r="A639" s="19" t="s">
        <v>696</v>
      </c>
      <c r="B639" s="20" t="s">
        <v>239</v>
      </c>
      <c r="C639" s="20" t="s">
        <v>14</v>
      </c>
      <c r="D639" s="20" t="s">
        <v>274</v>
      </c>
      <c r="E639" s="20" t="s">
        <v>70</v>
      </c>
      <c r="F639" s="13">
        <f>'Приложение_7 '!G754</f>
        <v>201050490</v>
      </c>
      <c r="G639" s="2"/>
      <c r="I639" s="13">
        <v>201050490</v>
      </c>
      <c r="J639" s="2"/>
      <c r="L639" s="114">
        <f t="shared" si="18"/>
        <v>0</v>
      </c>
      <c r="M639" s="114">
        <f t="shared" si="19"/>
        <v>0</v>
      </c>
    </row>
    <row r="640" spans="1:13" ht="63" outlineLevel="5">
      <c r="A640" s="19" t="s">
        <v>465</v>
      </c>
      <c r="B640" s="20" t="s">
        <v>239</v>
      </c>
      <c r="C640" s="20" t="s">
        <v>14</v>
      </c>
      <c r="D640" s="20" t="s">
        <v>275</v>
      </c>
      <c r="E640" s="20" t="s">
        <v>1</v>
      </c>
      <c r="F640" s="13">
        <f>F641</f>
        <v>5845011.44</v>
      </c>
      <c r="G640" s="13">
        <f>G641</f>
        <v>5845011.44</v>
      </c>
      <c r="I640" s="13">
        <v>5845011.44</v>
      </c>
      <c r="J640" s="13">
        <v>5845011.44</v>
      </c>
      <c r="L640" s="114">
        <f t="shared" si="18"/>
        <v>0</v>
      </c>
      <c r="M640" s="114">
        <f t="shared" si="19"/>
        <v>0</v>
      </c>
    </row>
    <row r="641" spans="1:13" ht="31.5" outlineLevel="6">
      <c r="A641" s="19" t="s">
        <v>696</v>
      </c>
      <c r="B641" s="20" t="s">
        <v>239</v>
      </c>
      <c r="C641" s="20" t="s">
        <v>14</v>
      </c>
      <c r="D641" s="20" t="s">
        <v>275</v>
      </c>
      <c r="E641" s="20" t="s">
        <v>70</v>
      </c>
      <c r="F641" s="13">
        <f>'Приложение_7 '!G756</f>
        <v>5845011.44</v>
      </c>
      <c r="G641" s="13">
        <f>F641</f>
        <v>5845011.44</v>
      </c>
      <c r="I641" s="13">
        <v>5845011.44</v>
      </c>
      <c r="J641" s="13">
        <v>5845011.44</v>
      </c>
      <c r="L641" s="114">
        <f t="shared" si="18"/>
        <v>0</v>
      </c>
      <c r="M641" s="114">
        <f t="shared" si="19"/>
        <v>0</v>
      </c>
    </row>
    <row r="642" spans="1:13" ht="63" outlineLevel="5">
      <c r="A642" s="19" t="s">
        <v>465</v>
      </c>
      <c r="B642" s="20" t="s">
        <v>239</v>
      </c>
      <c r="C642" s="20" t="s">
        <v>14</v>
      </c>
      <c r="D642" s="20" t="s">
        <v>276</v>
      </c>
      <c r="E642" s="20" t="s">
        <v>1</v>
      </c>
      <c r="F642" s="13">
        <f>F643</f>
        <v>2958350</v>
      </c>
      <c r="G642" s="2"/>
      <c r="I642" s="13">
        <v>2958350</v>
      </c>
      <c r="J642" s="2"/>
      <c r="L642" s="114">
        <f t="shared" si="18"/>
        <v>0</v>
      </c>
      <c r="M642" s="114">
        <f t="shared" si="19"/>
        <v>0</v>
      </c>
    </row>
    <row r="643" spans="1:13" ht="31.5" outlineLevel="6">
      <c r="A643" s="19" t="s">
        <v>696</v>
      </c>
      <c r="B643" s="20" t="s">
        <v>239</v>
      </c>
      <c r="C643" s="20" t="s">
        <v>14</v>
      </c>
      <c r="D643" s="20" t="s">
        <v>276</v>
      </c>
      <c r="E643" s="20" t="s">
        <v>70</v>
      </c>
      <c r="F643" s="13">
        <f>'Приложение_7 '!G758</f>
        <v>2958350</v>
      </c>
      <c r="G643" s="2"/>
      <c r="I643" s="13">
        <v>2958350</v>
      </c>
      <c r="J643" s="2"/>
      <c r="L643" s="114">
        <f t="shared" si="18"/>
        <v>0</v>
      </c>
      <c r="M643" s="114">
        <f t="shared" si="19"/>
        <v>0</v>
      </c>
    </row>
    <row r="644" spans="1:13" ht="15.75" outlineLevel="4">
      <c r="A644" s="19" t="s">
        <v>562</v>
      </c>
      <c r="B644" s="20" t="s">
        <v>239</v>
      </c>
      <c r="C644" s="20" t="s">
        <v>14</v>
      </c>
      <c r="D644" s="20" t="s">
        <v>277</v>
      </c>
      <c r="E644" s="20" t="s">
        <v>1</v>
      </c>
      <c r="F644" s="13">
        <f>F645</f>
        <v>3422320</v>
      </c>
      <c r="G644" s="2"/>
      <c r="I644" s="13">
        <v>3422320</v>
      </c>
      <c r="J644" s="2"/>
      <c r="L644" s="114">
        <f t="shared" si="18"/>
        <v>0</v>
      </c>
      <c r="M644" s="114">
        <f t="shared" si="19"/>
        <v>0</v>
      </c>
    </row>
    <row r="645" spans="1:13" ht="63" outlineLevel="5">
      <c r="A645" s="19" t="s">
        <v>432</v>
      </c>
      <c r="B645" s="20" t="s">
        <v>239</v>
      </c>
      <c r="C645" s="20" t="s">
        <v>14</v>
      </c>
      <c r="D645" s="20" t="s">
        <v>278</v>
      </c>
      <c r="E645" s="20" t="s">
        <v>1</v>
      </c>
      <c r="F645" s="13">
        <f>F646</f>
        <v>3422320</v>
      </c>
      <c r="G645" s="2"/>
      <c r="I645" s="13">
        <v>3422320</v>
      </c>
      <c r="J645" s="2"/>
      <c r="L645" s="114">
        <f t="shared" si="18"/>
        <v>0</v>
      </c>
      <c r="M645" s="114">
        <f t="shared" si="19"/>
        <v>0</v>
      </c>
    </row>
    <row r="646" spans="1:13" ht="31.5" outlineLevel="6">
      <c r="A646" s="19" t="s">
        <v>696</v>
      </c>
      <c r="B646" s="20" t="s">
        <v>239</v>
      </c>
      <c r="C646" s="20" t="s">
        <v>14</v>
      </c>
      <c r="D646" s="20" t="s">
        <v>278</v>
      </c>
      <c r="E646" s="20" t="s">
        <v>70</v>
      </c>
      <c r="F646" s="13">
        <f>'Приложение_7 '!G761</f>
        <v>3422320</v>
      </c>
      <c r="G646" s="2"/>
      <c r="I646" s="13">
        <v>3422320</v>
      </c>
      <c r="J646" s="2"/>
      <c r="L646" s="114">
        <f t="shared" si="18"/>
        <v>0</v>
      </c>
      <c r="M646" s="114">
        <f t="shared" si="19"/>
        <v>0</v>
      </c>
    </row>
    <row r="647" spans="1:13" ht="47.25" outlineLevel="3">
      <c r="A647" s="82" t="s">
        <v>641</v>
      </c>
      <c r="B647" s="83" t="s">
        <v>239</v>
      </c>
      <c r="C647" s="83" t="s">
        <v>14</v>
      </c>
      <c r="D647" s="83" t="s">
        <v>249</v>
      </c>
      <c r="E647" s="83" t="s">
        <v>1</v>
      </c>
      <c r="F647" s="12">
        <f>F648+F654+F651</f>
        <v>1267342</v>
      </c>
      <c r="G647" s="1"/>
      <c r="I647" s="12">
        <v>933737</v>
      </c>
      <c r="J647" s="1"/>
      <c r="L647" s="114">
        <f t="shared" si="18"/>
        <v>333605</v>
      </c>
      <c r="M647" s="114">
        <f t="shared" si="19"/>
        <v>0</v>
      </c>
    </row>
    <row r="648" spans="1:13" ht="31.5" outlineLevel="4">
      <c r="A648" s="19" t="s">
        <v>564</v>
      </c>
      <c r="B648" s="20" t="s">
        <v>239</v>
      </c>
      <c r="C648" s="20" t="s">
        <v>14</v>
      </c>
      <c r="D648" s="20" t="s">
        <v>252</v>
      </c>
      <c r="E648" s="20" t="s">
        <v>1</v>
      </c>
      <c r="F648" s="13">
        <f>F649</f>
        <v>464000</v>
      </c>
      <c r="G648" s="1"/>
      <c r="I648" s="13">
        <v>464000</v>
      </c>
      <c r="J648" s="1"/>
      <c r="L648" s="114">
        <f t="shared" si="18"/>
        <v>0</v>
      </c>
      <c r="M648" s="114">
        <f t="shared" si="19"/>
        <v>0</v>
      </c>
    </row>
    <row r="649" spans="1:13" ht="31.5" outlineLevel="5">
      <c r="A649" s="19" t="s">
        <v>441</v>
      </c>
      <c r="B649" s="20" t="s">
        <v>239</v>
      </c>
      <c r="C649" s="20" t="s">
        <v>14</v>
      </c>
      <c r="D649" s="20" t="s">
        <v>253</v>
      </c>
      <c r="E649" s="20" t="s">
        <v>1</v>
      </c>
      <c r="F649" s="13">
        <f>F650</f>
        <v>464000</v>
      </c>
      <c r="G649" s="2"/>
      <c r="I649" s="13">
        <v>464000</v>
      </c>
      <c r="J649" s="2"/>
      <c r="L649" s="114">
        <f t="shared" si="18"/>
        <v>0</v>
      </c>
      <c r="M649" s="114">
        <f t="shared" si="19"/>
        <v>0</v>
      </c>
    </row>
    <row r="650" spans="1:13" ht="31.5" outlineLevel="6">
      <c r="A650" s="19" t="s">
        <v>696</v>
      </c>
      <c r="B650" s="20" t="s">
        <v>239</v>
      </c>
      <c r="C650" s="20" t="s">
        <v>14</v>
      </c>
      <c r="D650" s="20" t="s">
        <v>253</v>
      </c>
      <c r="E650" s="20" t="s">
        <v>70</v>
      </c>
      <c r="F650" s="13">
        <f>'Приложение_7 '!G765</f>
        <v>464000</v>
      </c>
      <c r="G650" s="2"/>
      <c r="I650" s="13">
        <v>464000</v>
      </c>
      <c r="J650" s="2"/>
      <c r="L650" s="114">
        <f t="shared" si="18"/>
        <v>0</v>
      </c>
      <c r="M650" s="114">
        <f t="shared" si="19"/>
        <v>0</v>
      </c>
    </row>
    <row r="651" spans="1:13" ht="47.25" outlineLevel="6">
      <c r="A651" s="76" t="s">
        <v>587</v>
      </c>
      <c r="B651" s="77" t="s">
        <v>239</v>
      </c>
      <c r="C651" s="77" t="s">
        <v>14</v>
      </c>
      <c r="D651" s="77" t="s">
        <v>415</v>
      </c>
      <c r="E651" s="77" t="s">
        <v>1</v>
      </c>
      <c r="F651" s="13">
        <f>F652</f>
        <v>207125</v>
      </c>
      <c r="G651" s="2"/>
      <c r="I651" s="13"/>
      <c r="J651" s="2"/>
      <c r="L651" s="114"/>
      <c r="M651" s="114"/>
    </row>
    <row r="652" spans="1:13" ht="31.5" outlineLevel="6">
      <c r="A652" s="76" t="s">
        <v>456</v>
      </c>
      <c r="B652" s="77" t="s">
        <v>239</v>
      </c>
      <c r="C652" s="77" t="s">
        <v>14</v>
      </c>
      <c r="D652" s="77" t="s">
        <v>1237</v>
      </c>
      <c r="E652" s="77" t="s">
        <v>1</v>
      </c>
      <c r="F652" s="13">
        <f>F653</f>
        <v>207125</v>
      </c>
      <c r="G652" s="2"/>
      <c r="I652" s="13"/>
      <c r="J652" s="2"/>
      <c r="L652" s="114"/>
      <c r="M652" s="114"/>
    </row>
    <row r="653" spans="1:13" ht="31.5" outlineLevel="6">
      <c r="A653" s="76" t="s">
        <v>696</v>
      </c>
      <c r="B653" s="77" t="s">
        <v>239</v>
      </c>
      <c r="C653" s="77" t="s">
        <v>14</v>
      </c>
      <c r="D653" s="77" t="s">
        <v>1237</v>
      </c>
      <c r="E653" s="77" t="s">
        <v>70</v>
      </c>
      <c r="F653" s="13">
        <f>'Приложение_7 '!G768</f>
        <v>207125</v>
      </c>
      <c r="G653" s="2"/>
      <c r="I653" s="13"/>
      <c r="J653" s="2"/>
      <c r="L653" s="114"/>
      <c r="M653" s="114"/>
    </row>
    <row r="654" spans="1:13" ht="47.25" outlineLevel="4">
      <c r="A654" s="19" t="s">
        <v>565</v>
      </c>
      <c r="B654" s="20" t="s">
        <v>239</v>
      </c>
      <c r="C654" s="20" t="s">
        <v>14</v>
      </c>
      <c r="D654" s="20" t="s">
        <v>254</v>
      </c>
      <c r="E654" s="20" t="s">
        <v>1</v>
      </c>
      <c r="F654" s="13">
        <f>F655</f>
        <v>596217</v>
      </c>
      <c r="G654" s="2"/>
      <c r="I654" s="13">
        <v>469737</v>
      </c>
      <c r="J654" s="2"/>
      <c r="L654" s="114">
        <f t="shared" si="18"/>
        <v>126480</v>
      </c>
      <c r="M654" s="114">
        <f t="shared" si="19"/>
        <v>0</v>
      </c>
    </row>
    <row r="655" spans="1:13" ht="31.5" outlineLevel="5">
      <c r="A655" s="19" t="s">
        <v>441</v>
      </c>
      <c r="B655" s="20" t="s">
        <v>239</v>
      </c>
      <c r="C655" s="20" t="s">
        <v>14</v>
      </c>
      <c r="D655" s="20" t="s">
        <v>255</v>
      </c>
      <c r="E655" s="20" t="s">
        <v>1</v>
      </c>
      <c r="F655" s="13">
        <f>F656</f>
        <v>596217</v>
      </c>
      <c r="G655" s="2"/>
      <c r="I655" s="13">
        <v>469737</v>
      </c>
      <c r="J655" s="2"/>
      <c r="L655" s="114">
        <f t="shared" si="18"/>
        <v>126480</v>
      </c>
      <c r="M655" s="114">
        <f t="shared" si="19"/>
        <v>0</v>
      </c>
    </row>
    <row r="656" spans="1:13" ht="31.5" outlineLevel="6">
      <c r="A656" s="19" t="s">
        <v>696</v>
      </c>
      <c r="B656" s="20" t="s">
        <v>239</v>
      </c>
      <c r="C656" s="20" t="s">
        <v>14</v>
      </c>
      <c r="D656" s="20" t="s">
        <v>255</v>
      </c>
      <c r="E656" s="20" t="s">
        <v>70</v>
      </c>
      <c r="F656" s="13">
        <f>'Приложение_7 '!G771</f>
        <v>596217</v>
      </c>
      <c r="G656" s="2"/>
      <c r="I656" s="13">
        <v>469737</v>
      </c>
      <c r="J656" s="2"/>
      <c r="L656" s="114">
        <f t="shared" si="18"/>
        <v>126480</v>
      </c>
      <c r="M656" s="114">
        <f t="shared" si="19"/>
        <v>0</v>
      </c>
    </row>
    <row r="657" spans="1:13" ht="47.25" outlineLevel="2">
      <c r="A657" s="82" t="s">
        <v>661</v>
      </c>
      <c r="B657" s="83" t="s">
        <v>239</v>
      </c>
      <c r="C657" s="83" t="s">
        <v>14</v>
      </c>
      <c r="D657" s="83" t="s">
        <v>279</v>
      </c>
      <c r="E657" s="83" t="s">
        <v>1</v>
      </c>
      <c r="F657" s="12">
        <f>F658</f>
        <v>64376348.13</v>
      </c>
      <c r="G657" s="12">
        <f>G658</f>
        <v>789604.56</v>
      </c>
      <c r="I657" s="12">
        <v>64376348.13</v>
      </c>
      <c r="J657" s="1">
        <f>J658</f>
        <v>789604.56</v>
      </c>
      <c r="L657" s="114">
        <f t="shared" si="18"/>
        <v>0</v>
      </c>
      <c r="M657" s="114">
        <f t="shared" si="19"/>
        <v>0</v>
      </c>
    </row>
    <row r="658" spans="1:13" ht="47.25" outlineLevel="3">
      <c r="A658" s="82" t="s">
        <v>643</v>
      </c>
      <c r="B658" s="83" t="s">
        <v>239</v>
      </c>
      <c r="C658" s="83" t="s">
        <v>14</v>
      </c>
      <c r="D658" s="83" t="s">
        <v>280</v>
      </c>
      <c r="E658" s="83" t="s">
        <v>1</v>
      </c>
      <c r="F658" s="12">
        <f>F659+F666+F673</f>
        <v>64376348.13</v>
      </c>
      <c r="G658" s="12">
        <f>G659+G666+G673</f>
        <v>789604.56</v>
      </c>
      <c r="I658" s="12">
        <v>64376348.13</v>
      </c>
      <c r="J658" s="1">
        <f>J659+J666</f>
        <v>789604.56</v>
      </c>
      <c r="L658" s="114">
        <f t="shared" si="18"/>
        <v>0</v>
      </c>
      <c r="M658" s="114">
        <f t="shared" si="19"/>
        <v>0</v>
      </c>
    </row>
    <row r="659" spans="1:13" ht="31.5" outlineLevel="4">
      <c r="A659" s="19" t="s">
        <v>572</v>
      </c>
      <c r="B659" s="20" t="s">
        <v>239</v>
      </c>
      <c r="C659" s="20" t="s">
        <v>14</v>
      </c>
      <c r="D659" s="20" t="s">
        <v>281</v>
      </c>
      <c r="E659" s="20" t="s">
        <v>1</v>
      </c>
      <c r="F659" s="13">
        <f>F660+F662+F664</f>
        <v>43300440.22</v>
      </c>
      <c r="G659" s="13">
        <f>G660+G662+G664</f>
        <v>544827.14</v>
      </c>
      <c r="I659" s="13">
        <v>43300440.22</v>
      </c>
      <c r="J659" s="2">
        <f>J662</f>
        <v>544827.14</v>
      </c>
      <c r="L659" s="114">
        <f t="shared" si="18"/>
        <v>0</v>
      </c>
      <c r="M659" s="114">
        <f t="shared" si="19"/>
        <v>0</v>
      </c>
    </row>
    <row r="660" spans="1:13" ht="63" outlineLevel="5">
      <c r="A660" s="19" t="s">
        <v>443</v>
      </c>
      <c r="B660" s="20" t="s">
        <v>239</v>
      </c>
      <c r="C660" s="20" t="s">
        <v>14</v>
      </c>
      <c r="D660" s="20" t="s">
        <v>282</v>
      </c>
      <c r="E660" s="20" t="s">
        <v>1</v>
      </c>
      <c r="F660" s="13">
        <f>F661</f>
        <v>41030262.86</v>
      </c>
      <c r="G660" s="2"/>
      <c r="I660" s="13">
        <v>41030262.86</v>
      </c>
      <c r="J660" s="2"/>
      <c r="L660" s="114">
        <f t="shared" si="18"/>
        <v>0</v>
      </c>
      <c r="M660" s="114">
        <f t="shared" si="19"/>
        <v>0</v>
      </c>
    </row>
    <row r="661" spans="1:13" ht="31.5" outlineLevel="6">
      <c r="A661" s="19" t="s">
        <v>696</v>
      </c>
      <c r="B661" s="20" t="s">
        <v>239</v>
      </c>
      <c r="C661" s="20" t="s">
        <v>14</v>
      </c>
      <c r="D661" s="20" t="s">
        <v>282</v>
      </c>
      <c r="E661" s="20" t="s">
        <v>70</v>
      </c>
      <c r="F661" s="13">
        <f>'Приложение_7 '!G903</f>
        <v>41030262.86</v>
      </c>
      <c r="G661" s="2"/>
      <c r="I661" s="13">
        <v>41030262.86</v>
      </c>
      <c r="J661" s="2"/>
      <c r="L661" s="114">
        <f t="shared" si="18"/>
        <v>0</v>
      </c>
      <c r="M661" s="114">
        <f t="shared" si="19"/>
        <v>0</v>
      </c>
    </row>
    <row r="662" spans="1:13" ht="63" outlineLevel="5">
      <c r="A662" s="19" t="s">
        <v>465</v>
      </c>
      <c r="B662" s="20" t="s">
        <v>239</v>
      </c>
      <c r="C662" s="20" t="s">
        <v>14</v>
      </c>
      <c r="D662" s="20" t="s">
        <v>283</v>
      </c>
      <c r="E662" s="20" t="s">
        <v>1</v>
      </c>
      <c r="F662" s="13">
        <f>F663</f>
        <v>544827.14</v>
      </c>
      <c r="G662" s="13">
        <f>G663</f>
        <v>544827.14</v>
      </c>
      <c r="I662" s="13">
        <v>544827.14</v>
      </c>
      <c r="J662" s="13">
        <v>544827.14</v>
      </c>
      <c r="L662" s="114">
        <f t="shared" si="18"/>
        <v>0</v>
      </c>
      <c r="M662" s="114">
        <f t="shared" si="19"/>
        <v>0</v>
      </c>
    </row>
    <row r="663" spans="1:13" ht="31.5" outlineLevel="6">
      <c r="A663" s="19" t="s">
        <v>696</v>
      </c>
      <c r="B663" s="20" t="s">
        <v>239</v>
      </c>
      <c r="C663" s="20" t="s">
        <v>14</v>
      </c>
      <c r="D663" s="20" t="s">
        <v>283</v>
      </c>
      <c r="E663" s="20" t="s">
        <v>70</v>
      </c>
      <c r="F663" s="13">
        <f>'Приложение_7 '!G905</f>
        <v>544827.14</v>
      </c>
      <c r="G663" s="13">
        <f>F663</f>
        <v>544827.14</v>
      </c>
      <c r="I663" s="13">
        <v>544827.14</v>
      </c>
      <c r="J663" s="13">
        <v>544827.14</v>
      </c>
      <c r="L663" s="114">
        <f t="shared" si="18"/>
        <v>0</v>
      </c>
      <c r="M663" s="114">
        <f t="shared" si="19"/>
        <v>0</v>
      </c>
    </row>
    <row r="664" spans="1:13" ht="63" outlineLevel="5">
      <c r="A664" s="19" t="s">
        <v>465</v>
      </c>
      <c r="B664" s="20" t="s">
        <v>239</v>
      </c>
      <c r="C664" s="20" t="s">
        <v>14</v>
      </c>
      <c r="D664" s="20" t="s">
        <v>284</v>
      </c>
      <c r="E664" s="20" t="s">
        <v>1</v>
      </c>
      <c r="F664" s="13">
        <f>F665</f>
        <v>1725350.22</v>
      </c>
      <c r="G664" s="2"/>
      <c r="I664" s="13">
        <v>1725350.22</v>
      </c>
      <c r="J664" s="2"/>
      <c r="L664" s="114">
        <f t="shared" si="18"/>
        <v>0</v>
      </c>
      <c r="M664" s="114">
        <f t="shared" si="19"/>
        <v>0</v>
      </c>
    </row>
    <row r="665" spans="1:13" ht="31.5" outlineLevel="6">
      <c r="A665" s="19" t="s">
        <v>696</v>
      </c>
      <c r="B665" s="20" t="s">
        <v>239</v>
      </c>
      <c r="C665" s="20" t="s">
        <v>14</v>
      </c>
      <c r="D665" s="20" t="s">
        <v>284</v>
      </c>
      <c r="E665" s="20" t="s">
        <v>70</v>
      </c>
      <c r="F665" s="13">
        <f>'Приложение_7 '!G907</f>
        <v>1725350.22</v>
      </c>
      <c r="G665" s="2"/>
      <c r="I665" s="13">
        <v>1725350.22</v>
      </c>
      <c r="J665" s="2"/>
      <c r="L665" s="114">
        <f t="shared" si="18"/>
        <v>0</v>
      </c>
      <c r="M665" s="114">
        <f t="shared" si="19"/>
        <v>0</v>
      </c>
    </row>
    <row r="666" spans="1:13" ht="31.5" outlineLevel="4">
      <c r="A666" s="19" t="s">
        <v>573</v>
      </c>
      <c r="B666" s="20" t="s">
        <v>239</v>
      </c>
      <c r="C666" s="20" t="s">
        <v>14</v>
      </c>
      <c r="D666" s="20" t="s">
        <v>285</v>
      </c>
      <c r="E666" s="20" t="s">
        <v>1</v>
      </c>
      <c r="F666" s="13">
        <f>F667+F669+F671</f>
        <v>20043383.910000004</v>
      </c>
      <c r="G666" s="13">
        <f>G667+G669+G671</f>
        <v>244777.42</v>
      </c>
      <c r="I666" s="13">
        <v>20043383.91</v>
      </c>
      <c r="J666" s="2">
        <f>J669</f>
        <v>244777.42</v>
      </c>
      <c r="L666" s="114">
        <f t="shared" si="18"/>
        <v>0</v>
      </c>
      <c r="M666" s="114">
        <f t="shared" si="19"/>
        <v>0</v>
      </c>
    </row>
    <row r="667" spans="1:13" ht="63" outlineLevel="5">
      <c r="A667" s="19" t="s">
        <v>443</v>
      </c>
      <c r="B667" s="20" t="s">
        <v>239</v>
      </c>
      <c r="C667" s="20" t="s">
        <v>14</v>
      </c>
      <c r="D667" s="20" t="s">
        <v>286</v>
      </c>
      <c r="E667" s="20" t="s">
        <v>1</v>
      </c>
      <c r="F667" s="13">
        <f>F668</f>
        <v>19023449.14</v>
      </c>
      <c r="G667" s="2"/>
      <c r="I667" s="13">
        <v>19023449.14</v>
      </c>
      <c r="J667" s="2"/>
      <c r="L667" s="114">
        <f t="shared" si="18"/>
        <v>0</v>
      </c>
      <c r="M667" s="114">
        <f t="shared" si="19"/>
        <v>0</v>
      </c>
    </row>
    <row r="668" spans="1:13" ht="31.5" outlineLevel="6">
      <c r="A668" s="19" t="s">
        <v>696</v>
      </c>
      <c r="B668" s="20" t="s">
        <v>239</v>
      </c>
      <c r="C668" s="20" t="s">
        <v>14</v>
      </c>
      <c r="D668" s="20" t="s">
        <v>286</v>
      </c>
      <c r="E668" s="20" t="s">
        <v>70</v>
      </c>
      <c r="F668" s="13">
        <f>'Приложение_7 '!G910</f>
        <v>19023449.14</v>
      </c>
      <c r="G668" s="2"/>
      <c r="I668" s="13">
        <v>19023449.14</v>
      </c>
      <c r="J668" s="2"/>
      <c r="L668" s="114">
        <f t="shared" si="18"/>
        <v>0</v>
      </c>
      <c r="M668" s="114">
        <f t="shared" si="19"/>
        <v>0</v>
      </c>
    </row>
    <row r="669" spans="1:13" ht="63" outlineLevel="5">
      <c r="A669" s="19" t="s">
        <v>465</v>
      </c>
      <c r="B669" s="20" t="s">
        <v>239</v>
      </c>
      <c r="C669" s="20" t="s">
        <v>14</v>
      </c>
      <c r="D669" s="20" t="s">
        <v>287</v>
      </c>
      <c r="E669" s="20" t="s">
        <v>1</v>
      </c>
      <c r="F669" s="13">
        <f>F670</f>
        <v>244777.42</v>
      </c>
      <c r="G669" s="13">
        <f>G670</f>
        <v>244777.42</v>
      </c>
      <c r="I669" s="13">
        <v>244777.42</v>
      </c>
      <c r="J669" s="13">
        <v>244777.42</v>
      </c>
      <c r="L669" s="114">
        <f t="shared" si="18"/>
        <v>0</v>
      </c>
      <c r="M669" s="114">
        <f t="shared" si="19"/>
        <v>0</v>
      </c>
    </row>
    <row r="670" spans="1:13" ht="31.5" outlineLevel="6">
      <c r="A670" s="19" t="s">
        <v>696</v>
      </c>
      <c r="B670" s="20" t="s">
        <v>239</v>
      </c>
      <c r="C670" s="20" t="s">
        <v>14</v>
      </c>
      <c r="D670" s="20" t="s">
        <v>287</v>
      </c>
      <c r="E670" s="20" t="s">
        <v>70</v>
      </c>
      <c r="F670" s="13">
        <f>'Приложение_7 '!G912</f>
        <v>244777.42</v>
      </c>
      <c r="G670" s="13">
        <f>F670</f>
        <v>244777.42</v>
      </c>
      <c r="I670" s="13">
        <v>244777.42</v>
      </c>
      <c r="J670" s="13">
        <v>244777.42</v>
      </c>
      <c r="L670" s="114">
        <f t="shared" si="18"/>
        <v>0</v>
      </c>
      <c r="M670" s="114">
        <f t="shared" si="19"/>
        <v>0</v>
      </c>
    </row>
    <row r="671" spans="1:13" ht="63" outlineLevel="5">
      <c r="A671" s="19" t="s">
        <v>465</v>
      </c>
      <c r="B671" s="20" t="s">
        <v>239</v>
      </c>
      <c r="C671" s="20" t="s">
        <v>14</v>
      </c>
      <c r="D671" s="20" t="s">
        <v>288</v>
      </c>
      <c r="E671" s="20" t="s">
        <v>1</v>
      </c>
      <c r="F671" s="13">
        <f>F672</f>
        <v>775157.35</v>
      </c>
      <c r="G671" s="2"/>
      <c r="I671" s="13">
        <v>775157.35</v>
      </c>
      <c r="J671" s="2"/>
      <c r="L671" s="114">
        <f t="shared" si="18"/>
        <v>0</v>
      </c>
      <c r="M671" s="114">
        <f t="shared" si="19"/>
        <v>0</v>
      </c>
    </row>
    <row r="672" spans="1:13" ht="31.5" outlineLevel="6">
      <c r="A672" s="19" t="s">
        <v>696</v>
      </c>
      <c r="B672" s="20" t="s">
        <v>239</v>
      </c>
      <c r="C672" s="20" t="s">
        <v>14</v>
      </c>
      <c r="D672" s="20" t="s">
        <v>288</v>
      </c>
      <c r="E672" s="20" t="s">
        <v>70</v>
      </c>
      <c r="F672" s="13">
        <f>'Приложение_7 '!G914</f>
        <v>775157.35</v>
      </c>
      <c r="G672" s="2"/>
      <c r="I672" s="13">
        <v>775157.35</v>
      </c>
      <c r="J672" s="2"/>
      <c r="L672" s="114">
        <f t="shared" si="18"/>
        <v>0</v>
      </c>
      <c r="M672" s="114">
        <f t="shared" si="19"/>
        <v>0</v>
      </c>
    </row>
    <row r="673" spans="1:13" ht="15.75" outlineLevel="4">
      <c r="A673" s="19" t="s">
        <v>562</v>
      </c>
      <c r="B673" s="20" t="s">
        <v>239</v>
      </c>
      <c r="C673" s="20" t="s">
        <v>14</v>
      </c>
      <c r="D673" s="20" t="s">
        <v>289</v>
      </c>
      <c r="E673" s="20" t="s">
        <v>1</v>
      </c>
      <c r="F673" s="13">
        <f>F674</f>
        <v>1032524</v>
      </c>
      <c r="G673" s="2"/>
      <c r="I673" s="13">
        <v>1032524</v>
      </c>
      <c r="J673" s="2"/>
      <c r="L673" s="114">
        <f t="shared" si="18"/>
        <v>0</v>
      </c>
      <c r="M673" s="114">
        <f t="shared" si="19"/>
        <v>0</v>
      </c>
    </row>
    <row r="674" spans="1:13" ht="63" outlineLevel="5">
      <c r="A674" s="19" t="s">
        <v>432</v>
      </c>
      <c r="B674" s="20" t="s">
        <v>239</v>
      </c>
      <c r="C674" s="20" t="s">
        <v>14</v>
      </c>
      <c r="D674" s="20" t="s">
        <v>290</v>
      </c>
      <c r="E674" s="20" t="s">
        <v>1</v>
      </c>
      <c r="F674" s="13">
        <f>F675</f>
        <v>1032524</v>
      </c>
      <c r="G674" s="2"/>
      <c r="I674" s="13">
        <v>1032524</v>
      </c>
      <c r="J674" s="2"/>
      <c r="L674" s="114">
        <f t="shared" si="18"/>
        <v>0</v>
      </c>
      <c r="M674" s="114">
        <f t="shared" si="19"/>
        <v>0</v>
      </c>
    </row>
    <row r="675" spans="1:13" ht="31.5" outlineLevel="6">
      <c r="A675" s="19" t="s">
        <v>696</v>
      </c>
      <c r="B675" s="20" t="s">
        <v>239</v>
      </c>
      <c r="C675" s="20" t="s">
        <v>14</v>
      </c>
      <c r="D675" s="20" t="s">
        <v>290</v>
      </c>
      <c r="E675" s="20" t="s">
        <v>70</v>
      </c>
      <c r="F675" s="13">
        <f>'Приложение_7 '!G917</f>
        <v>1032524</v>
      </c>
      <c r="G675" s="2"/>
      <c r="I675" s="13">
        <v>1032524</v>
      </c>
      <c r="J675" s="2"/>
      <c r="L675" s="114">
        <f t="shared" si="18"/>
        <v>0</v>
      </c>
      <c r="M675" s="114">
        <f t="shared" si="19"/>
        <v>0</v>
      </c>
    </row>
    <row r="676" spans="1:13" ht="31.5" outlineLevel="2">
      <c r="A676" s="82" t="s">
        <v>659</v>
      </c>
      <c r="B676" s="83" t="s">
        <v>239</v>
      </c>
      <c r="C676" s="83" t="s">
        <v>14</v>
      </c>
      <c r="D676" s="83" t="s">
        <v>90</v>
      </c>
      <c r="E676" s="83" t="s">
        <v>1</v>
      </c>
      <c r="F676" s="12">
        <f>F677</f>
        <v>1650629</v>
      </c>
      <c r="G676" s="1"/>
      <c r="I676" s="12">
        <v>1650629</v>
      </c>
      <c r="J676" s="1"/>
      <c r="L676" s="114">
        <f t="shared" si="18"/>
        <v>0</v>
      </c>
      <c r="M676" s="114">
        <f t="shared" si="19"/>
        <v>0</v>
      </c>
    </row>
    <row r="677" spans="1:13" ht="47.25" outlineLevel="3">
      <c r="A677" s="82" t="s">
        <v>624</v>
      </c>
      <c r="B677" s="83" t="s">
        <v>239</v>
      </c>
      <c r="C677" s="83" t="s">
        <v>14</v>
      </c>
      <c r="D677" s="83" t="s">
        <v>91</v>
      </c>
      <c r="E677" s="83" t="s">
        <v>1</v>
      </c>
      <c r="F677" s="12">
        <f>F678</f>
        <v>1650629</v>
      </c>
      <c r="G677" s="1"/>
      <c r="I677" s="12">
        <v>1650629</v>
      </c>
      <c r="J677" s="1"/>
      <c r="L677" s="114">
        <f t="shared" si="18"/>
        <v>0</v>
      </c>
      <c r="M677" s="114">
        <f t="shared" si="19"/>
        <v>0</v>
      </c>
    </row>
    <row r="678" spans="1:13" ht="31.5" outlineLevel="4">
      <c r="A678" s="19" t="s">
        <v>510</v>
      </c>
      <c r="B678" s="20" t="s">
        <v>239</v>
      </c>
      <c r="C678" s="20" t="s">
        <v>14</v>
      </c>
      <c r="D678" s="20" t="s">
        <v>100</v>
      </c>
      <c r="E678" s="20" t="s">
        <v>1</v>
      </c>
      <c r="F678" s="13">
        <f>F679</f>
        <v>1650629</v>
      </c>
      <c r="G678" s="2"/>
      <c r="I678" s="13">
        <v>1650629</v>
      </c>
      <c r="J678" s="2"/>
      <c r="L678" s="114">
        <f t="shared" si="18"/>
        <v>0</v>
      </c>
      <c r="M678" s="114">
        <f t="shared" si="19"/>
        <v>0</v>
      </c>
    </row>
    <row r="679" spans="1:13" ht="31.5" outlineLevel="5">
      <c r="A679" s="19" t="s">
        <v>441</v>
      </c>
      <c r="B679" s="20" t="s">
        <v>239</v>
      </c>
      <c r="C679" s="20" t="s">
        <v>14</v>
      </c>
      <c r="D679" s="20" t="s">
        <v>101</v>
      </c>
      <c r="E679" s="20" t="s">
        <v>1</v>
      </c>
      <c r="F679" s="13">
        <f>F680</f>
        <v>1650629</v>
      </c>
      <c r="G679" s="2"/>
      <c r="I679" s="13">
        <v>1650629</v>
      </c>
      <c r="J679" s="2"/>
      <c r="L679" s="114">
        <f t="shared" si="18"/>
        <v>0</v>
      </c>
      <c r="M679" s="114">
        <f t="shared" si="19"/>
        <v>0</v>
      </c>
    </row>
    <row r="680" spans="1:13" ht="31.5" outlineLevel="6">
      <c r="A680" s="19" t="s">
        <v>696</v>
      </c>
      <c r="B680" s="20" t="s">
        <v>239</v>
      </c>
      <c r="C680" s="20" t="s">
        <v>14</v>
      </c>
      <c r="D680" s="20" t="s">
        <v>101</v>
      </c>
      <c r="E680" s="20" t="s">
        <v>70</v>
      </c>
      <c r="F680" s="13">
        <f>'Приложение_7 '!G776+'Приложение_7 '!G922</f>
        <v>1650629</v>
      </c>
      <c r="G680" s="2"/>
      <c r="I680" s="13">
        <v>1650629</v>
      </c>
      <c r="J680" s="2"/>
      <c r="L680" s="114">
        <f t="shared" si="18"/>
        <v>0</v>
      </c>
      <c r="M680" s="114">
        <f t="shared" si="19"/>
        <v>0</v>
      </c>
    </row>
    <row r="681" spans="1:13" s="113" customFormat="1" ht="30.75" customHeight="1" outlineLevel="1">
      <c r="A681" s="82" t="s">
        <v>683</v>
      </c>
      <c r="B681" s="83" t="s">
        <v>239</v>
      </c>
      <c r="C681" s="83" t="s">
        <v>239</v>
      </c>
      <c r="D681" s="83" t="s">
        <v>4</v>
      </c>
      <c r="E681" s="83" t="s">
        <v>1</v>
      </c>
      <c r="F681" s="12">
        <f>F682+F696+F723</f>
        <v>32743800</v>
      </c>
      <c r="G681" s="12">
        <f>G682+G696+G723</f>
        <v>3866700</v>
      </c>
      <c r="I681" s="12">
        <v>32743800</v>
      </c>
      <c r="J681" s="1">
        <f>J682</f>
        <v>3866700</v>
      </c>
      <c r="L681" s="114">
        <f t="shared" si="18"/>
        <v>0</v>
      </c>
      <c r="M681" s="114">
        <f t="shared" si="19"/>
        <v>0</v>
      </c>
    </row>
    <row r="682" spans="1:13" ht="31.5" outlineLevel="2">
      <c r="A682" s="82" t="s">
        <v>657</v>
      </c>
      <c r="B682" s="83" t="s">
        <v>239</v>
      </c>
      <c r="C682" s="83" t="s">
        <v>239</v>
      </c>
      <c r="D682" s="83" t="s">
        <v>23</v>
      </c>
      <c r="E682" s="83" t="s">
        <v>1</v>
      </c>
      <c r="F682" s="12">
        <f>F683</f>
        <v>12712790</v>
      </c>
      <c r="G682" s="12">
        <f>G683</f>
        <v>3866700</v>
      </c>
      <c r="I682" s="12">
        <v>12712790</v>
      </c>
      <c r="J682" s="1">
        <f>J683</f>
        <v>3866700</v>
      </c>
      <c r="L682" s="114">
        <f t="shared" si="18"/>
        <v>0</v>
      </c>
      <c r="M682" s="114">
        <f t="shared" si="19"/>
        <v>0</v>
      </c>
    </row>
    <row r="683" spans="1:13" ht="47.25" outlineLevel="3">
      <c r="A683" s="82" t="s">
        <v>644</v>
      </c>
      <c r="B683" s="83" t="s">
        <v>239</v>
      </c>
      <c r="C683" s="83" t="s">
        <v>239</v>
      </c>
      <c r="D683" s="83" t="s">
        <v>291</v>
      </c>
      <c r="E683" s="83" t="s">
        <v>1</v>
      </c>
      <c r="F683" s="12">
        <f>F684+F691</f>
        <v>12712790</v>
      </c>
      <c r="G683" s="12">
        <f>G684+G691</f>
        <v>3866700</v>
      </c>
      <c r="I683" s="12">
        <v>12712790</v>
      </c>
      <c r="J683" s="1">
        <f>J691</f>
        <v>3866700</v>
      </c>
      <c r="L683" s="114">
        <f t="shared" si="18"/>
        <v>0</v>
      </c>
      <c r="M683" s="114">
        <f t="shared" si="19"/>
        <v>0</v>
      </c>
    </row>
    <row r="684" spans="1:13" ht="31.5" outlineLevel="4">
      <c r="A684" s="19" t="s">
        <v>574</v>
      </c>
      <c r="B684" s="20" t="s">
        <v>239</v>
      </c>
      <c r="C684" s="20" t="s">
        <v>239</v>
      </c>
      <c r="D684" s="20" t="s">
        <v>292</v>
      </c>
      <c r="E684" s="20" t="s">
        <v>1</v>
      </c>
      <c r="F684" s="13">
        <f>F685+F687+F689</f>
        <v>7574557.2</v>
      </c>
      <c r="G684" s="13">
        <f>G685+G687+G689</f>
        <v>752400</v>
      </c>
      <c r="I684" s="13">
        <v>6822157.2</v>
      </c>
      <c r="J684" s="2"/>
      <c r="L684" s="114">
        <f t="shared" si="18"/>
        <v>752400</v>
      </c>
      <c r="M684" s="114">
        <f t="shared" si="19"/>
        <v>752400</v>
      </c>
    </row>
    <row r="685" spans="1:13" ht="31.5" outlineLevel="5">
      <c r="A685" s="19" t="s">
        <v>441</v>
      </c>
      <c r="B685" s="20" t="s">
        <v>239</v>
      </c>
      <c r="C685" s="20" t="s">
        <v>239</v>
      </c>
      <c r="D685" s="20" t="s">
        <v>293</v>
      </c>
      <c r="E685" s="20" t="s">
        <v>1</v>
      </c>
      <c r="F685" s="13">
        <f>F686</f>
        <v>6782557.2</v>
      </c>
      <c r="G685" s="2"/>
      <c r="I685" s="13">
        <v>6822157.2</v>
      </c>
      <c r="J685" s="2"/>
      <c r="L685" s="114">
        <f t="shared" si="18"/>
        <v>-39600</v>
      </c>
      <c r="M685" s="114">
        <f t="shared" si="19"/>
        <v>0</v>
      </c>
    </row>
    <row r="686" spans="1:13" ht="31.5" outlineLevel="6">
      <c r="A686" s="19" t="s">
        <v>696</v>
      </c>
      <c r="B686" s="20" t="s">
        <v>239</v>
      </c>
      <c r="C686" s="20" t="s">
        <v>239</v>
      </c>
      <c r="D686" s="20" t="s">
        <v>293</v>
      </c>
      <c r="E686" s="20" t="s">
        <v>70</v>
      </c>
      <c r="F686" s="13">
        <f>'Приложение_7 '!G782</f>
        <v>6782557.2</v>
      </c>
      <c r="G686" s="2"/>
      <c r="I686" s="13">
        <v>6822157.2</v>
      </c>
      <c r="J686" s="2"/>
      <c r="L686" s="114">
        <f aca="true" t="shared" si="20" ref="L686:L753">F686-I686</f>
        <v>-39600</v>
      </c>
      <c r="M686" s="114">
        <f aca="true" t="shared" si="21" ref="M686:M753">G686-J686</f>
        <v>0</v>
      </c>
    </row>
    <row r="687" spans="1:13" ht="47.25" outlineLevel="6">
      <c r="A687" s="148" t="s">
        <v>1210</v>
      </c>
      <c r="B687" s="149" t="s">
        <v>239</v>
      </c>
      <c r="C687" s="149" t="s">
        <v>239</v>
      </c>
      <c r="D687" s="149" t="s">
        <v>1224</v>
      </c>
      <c r="E687" s="149" t="s">
        <v>1</v>
      </c>
      <c r="F687" s="13">
        <f>F688</f>
        <v>752400</v>
      </c>
      <c r="G687" s="2">
        <f>F687</f>
        <v>752400</v>
      </c>
      <c r="I687" s="13"/>
      <c r="J687" s="2"/>
      <c r="L687" s="114"/>
      <c r="M687" s="114"/>
    </row>
    <row r="688" spans="1:13" ht="31.5" outlineLevel="6">
      <c r="A688" s="148" t="s">
        <v>696</v>
      </c>
      <c r="B688" s="149" t="s">
        <v>239</v>
      </c>
      <c r="C688" s="149" t="s">
        <v>239</v>
      </c>
      <c r="D688" s="149" t="s">
        <v>1224</v>
      </c>
      <c r="E688" s="149" t="s">
        <v>70</v>
      </c>
      <c r="F688" s="13">
        <f>'Приложение_7 '!G784</f>
        <v>752400</v>
      </c>
      <c r="G688" s="2">
        <f>F688</f>
        <v>752400</v>
      </c>
      <c r="I688" s="13"/>
      <c r="J688" s="2"/>
      <c r="L688" s="114"/>
      <c r="M688" s="114"/>
    </row>
    <row r="689" spans="1:13" ht="47.25" outlineLevel="6">
      <c r="A689" s="148" t="s">
        <v>1210</v>
      </c>
      <c r="B689" s="149" t="s">
        <v>239</v>
      </c>
      <c r="C689" s="149" t="s">
        <v>239</v>
      </c>
      <c r="D689" s="149" t="s">
        <v>1223</v>
      </c>
      <c r="E689" s="149" t="s">
        <v>1</v>
      </c>
      <c r="F689" s="13">
        <f>F690</f>
        <v>39600</v>
      </c>
      <c r="G689" s="2"/>
      <c r="I689" s="13"/>
      <c r="J689" s="2"/>
      <c r="L689" s="114"/>
      <c r="M689" s="114"/>
    </row>
    <row r="690" spans="1:13" ht="31.5" outlineLevel="6">
      <c r="A690" s="148" t="s">
        <v>696</v>
      </c>
      <c r="B690" s="149" t="s">
        <v>239</v>
      </c>
      <c r="C690" s="149" t="s">
        <v>239</v>
      </c>
      <c r="D690" s="149" t="s">
        <v>1223</v>
      </c>
      <c r="E690" s="149" t="s">
        <v>70</v>
      </c>
      <c r="F690" s="13">
        <f>'Приложение_7 '!G786</f>
        <v>39600</v>
      </c>
      <c r="G690" s="2"/>
      <c r="I690" s="13"/>
      <c r="J690" s="2"/>
      <c r="L690" s="114"/>
      <c r="M690" s="114"/>
    </row>
    <row r="691" spans="1:13" ht="47.25" outlineLevel="4">
      <c r="A691" s="19" t="s">
        <v>575</v>
      </c>
      <c r="B691" s="20" t="s">
        <v>239</v>
      </c>
      <c r="C691" s="20" t="s">
        <v>239</v>
      </c>
      <c r="D691" s="20" t="s">
        <v>294</v>
      </c>
      <c r="E691" s="20" t="s">
        <v>1</v>
      </c>
      <c r="F691" s="13">
        <f>F692+F694</f>
        <v>5138232.8</v>
      </c>
      <c r="G691" s="13">
        <f>G692+G694</f>
        <v>3114300</v>
      </c>
      <c r="I691" s="13">
        <v>5890632.8</v>
      </c>
      <c r="J691" s="2">
        <f>J692</f>
        <v>3866700</v>
      </c>
      <c r="L691" s="114">
        <f t="shared" si="20"/>
        <v>-752400</v>
      </c>
      <c r="M691" s="114">
        <f t="shared" si="21"/>
        <v>-752400</v>
      </c>
    </row>
    <row r="692" spans="1:13" ht="47.25" outlineLevel="5">
      <c r="A692" s="19" t="s">
        <v>701</v>
      </c>
      <c r="B692" s="20" t="s">
        <v>239</v>
      </c>
      <c r="C692" s="20" t="s">
        <v>239</v>
      </c>
      <c r="D692" s="20" t="s">
        <v>295</v>
      </c>
      <c r="E692" s="20" t="s">
        <v>1</v>
      </c>
      <c r="F692" s="13">
        <f>F693</f>
        <v>3114300</v>
      </c>
      <c r="G692" s="13">
        <f>G693</f>
        <v>3114300</v>
      </c>
      <c r="I692" s="13">
        <v>3866700</v>
      </c>
      <c r="J692" s="13">
        <v>3866700</v>
      </c>
      <c r="L692" s="114">
        <f t="shared" si="20"/>
        <v>-752400</v>
      </c>
      <c r="M692" s="114">
        <f t="shared" si="21"/>
        <v>-752400</v>
      </c>
    </row>
    <row r="693" spans="1:13" ht="31.5" outlineLevel="6">
      <c r="A693" s="19" t="s">
        <v>696</v>
      </c>
      <c r="B693" s="20" t="s">
        <v>239</v>
      </c>
      <c r="C693" s="20" t="s">
        <v>239</v>
      </c>
      <c r="D693" s="20" t="s">
        <v>295</v>
      </c>
      <c r="E693" s="20" t="s">
        <v>70</v>
      </c>
      <c r="F693" s="13">
        <f>'Приложение_7 '!G789</f>
        <v>3114300</v>
      </c>
      <c r="G693" s="13">
        <f>F693</f>
        <v>3114300</v>
      </c>
      <c r="I693" s="13">
        <v>3866700</v>
      </c>
      <c r="J693" s="13">
        <v>3866700</v>
      </c>
      <c r="L693" s="114">
        <f t="shared" si="20"/>
        <v>-752400</v>
      </c>
      <c r="M693" s="114">
        <f t="shared" si="21"/>
        <v>-752400</v>
      </c>
    </row>
    <row r="694" spans="1:13" ht="47.25" outlineLevel="5">
      <c r="A694" s="19" t="s">
        <v>701</v>
      </c>
      <c r="B694" s="20" t="s">
        <v>239</v>
      </c>
      <c r="C694" s="20" t="s">
        <v>239</v>
      </c>
      <c r="D694" s="20" t="s">
        <v>296</v>
      </c>
      <c r="E694" s="20" t="s">
        <v>1</v>
      </c>
      <c r="F694" s="13">
        <f>F695</f>
        <v>2023932.8</v>
      </c>
      <c r="G694" s="2"/>
      <c r="I694" s="13">
        <v>2023932.8</v>
      </c>
      <c r="J694" s="2"/>
      <c r="L694" s="114">
        <f t="shared" si="20"/>
        <v>0</v>
      </c>
      <c r="M694" s="114">
        <f t="shared" si="21"/>
        <v>0</v>
      </c>
    </row>
    <row r="695" spans="1:13" ht="31.5" outlineLevel="6">
      <c r="A695" s="19" t="s">
        <v>696</v>
      </c>
      <c r="B695" s="20" t="s">
        <v>239</v>
      </c>
      <c r="C695" s="20" t="s">
        <v>239</v>
      </c>
      <c r="D695" s="20" t="s">
        <v>296</v>
      </c>
      <c r="E695" s="20" t="s">
        <v>70</v>
      </c>
      <c r="F695" s="13">
        <f>'Приложение_7 '!G791</f>
        <v>2023932.8</v>
      </c>
      <c r="G695" s="2"/>
      <c r="I695" s="13">
        <v>2023932.8</v>
      </c>
      <c r="J695" s="2"/>
      <c r="L695" s="114">
        <f t="shared" si="20"/>
        <v>0</v>
      </c>
      <c r="M695" s="114">
        <f t="shared" si="21"/>
        <v>0</v>
      </c>
    </row>
    <row r="696" spans="1:13" ht="47.25" outlineLevel="2">
      <c r="A696" s="82" t="s">
        <v>662</v>
      </c>
      <c r="B696" s="83" t="s">
        <v>239</v>
      </c>
      <c r="C696" s="83" t="s">
        <v>239</v>
      </c>
      <c r="D696" s="83" t="s">
        <v>297</v>
      </c>
      <c r="E696" s="83" t="s">
        <v>1</v>
      </c>
      <c r="F696" s="12">
        <f>F697+F713</f>
        <v>19836072</v>
      </c>
      <c r="G696" s="1"/>
      <c r="I696" s="12">
        <v>19836072</v>
      </c>
      <c r="J696" s="1"/>
      <c r="L696" s="114">
        <f t="shared" si="20"/>
        <v>0</v>
      </c>
      <c r="M696" s="114">
        <f t="shared" si="21"/>
        <v>0</v>
      </c>
    </row>
    <row r="697" spans="1:13" ht="31.5" outlineLevel="3">
      <c r="A697" s="82" t="s">
        <v>645</v>
      </c>
      <c r="B697" s="83" t="s">
        <v>239</v>
      </c>
      <c r="C697" s="83" t="s">
        <v>239</v>
      </c>
      <c r="D697" s="83" t="s">
        <v>298</v>
      </c>
      <c r="E697" s="83" t="s">
        <v>1</v>
      </c>
      <c r="F697" s="12">
        <f>F698+F702+F707+F710</f>
        <v>846250</v>
      </c>
      <c r="G697" s="1"/>
      <c r="I697" s="12">
        <v>846250</v>
      </c>
      <c r="J697" s="1"/>
      <c r="L697" s="114">
        <f t="shared" si="20"/>
        <v>0</v>
      </c>
      <c r="M697" s="114">
        <f t="shared" si="21"/>
        <v>0</v>
      </c>
    </row>
    <row r="698" spans="1:13" ht="47.25" outlineLevel="4">
      <c r="A698" s="19" t="s">
        <v>576</v>
      </c>
      <c r="B698" s="20" t="s">
        <v>239</v>
      </c>
      <c r="C698" s="20" t="s">
        <v>239</v>
      </c>
      <c r="D698" s="20" t="s">
        <v>299</v>
      </c>
      <c r="E698" s="20" t="s">
        <v>1</v>
      </c>
      <c r="F698" s="13">
        <f>F699</f>
        <v>436250</v>
      </c>
      <c r="G698" s="1"/>
      <c r="I698" s="13">
        <v>436250</v>
      </c>
      <c r="J698" s="1"/>
      <c r="L698" s="114">
        <f t="shared" si="20"/>
        <v>0</v>
      </c>
      <c r="M698" s="114">
        <f t="shared" si="21"/>
        <v>0</v>
      </c>
    </row>
    <row r="699" spans="1:13" ht="31.5" outlineLevel="5">
      <c r="A699" s="19" t="s">
        <v>441</v>
      </c>
      <c r="B699" s="20" t="s">
        <v>239</v>
      </c>
      <c r="C699" s="20" t="s">
        <v>239</v>
      </c>
      <c r="D699" s="20" t="s">
        <v>300</v>
      </c>
      <c r="E699" s="20" t="s">
        <v>1</v>
      </c>
      <c r="F699" s="13">
        <f>F700+F701</f>
        <v>436250</v>
      </c>
      <c r="G699" s="2"/>
      <c r="I699" s="13">
        <v>436250</v>
      </c>
      <c r="J699" s="2"/>
      <c r="L699" s="114">
        <f t="shared" si="20"/>
        <v>0</v>
      </c>
      <c r="M699" s="114">
        <f t="shared" si="21"/>
        <v>0</v>
      </c>
    </row>
    <row r="700" spans="1:13" ht="31.5" outlineLevel="6">
      <c r="A700" s="19" t="s">
        <v>693</v>
      </c>
      <c r="B700" s="20" t="s">
        <v>239</v>
      </c>
      <c r="C700" s="20" t="s">
        <v>239</v>
      </c>
      <c r="D700" s="20" t="s">
        <v>300</v>
      </c>
      <c r="E700" s="20" t="s">
        <v>17</v>
      </c>
      <c r="F700" s="13">
        <f>'Приложение_7 '!G928</f>
        <v>236250</v>
      </c>
      <c r="G700" s="2"/>
      <c r="I700" s="13">
        <v>236250</v>
      </c>
      <c r="J700" s="2"/>
      <c r="L700" s="114">
        <f t="shared" si="20"/>
        <v>0</v>
      </c>
      <c r="M700" s="114">
        <f t="shared" si="21"/>
        <v>0</v>
      </c>
    </row>
    <row r="701" spans="1:13" ht="31.5" outlineLevel="6">
      <c r="A701" s="19" t="s">
        <v>696</v>
      </c>
      <c r="B701" s="20" t="s">
        <v>239</v>
      </c>
      <c r="C701" s="20" t="s">
        <v>239</v>
      </c>
      <c r="D701" s="20" t="s">
        <v>300</v>
      </c>
      <c r="E701" s="20" t="s">
        <v>70</v>
      </c>
      <c r="F701" s="13">
        <f>'Приложение_7 '!G929</f>
        <v>200000</v>
      </c>
      <c r="G701" s="2"/>
      <c r="I701" s="13">
        <v>200000</v>
      </c>
      <c r="J701" s="2"/>
      <c r="L701" s="114">
        <f t="shared" si="20"/>
        <v>0</v>
      </c>
      <c r="M701" s="114">
        <f t="shared" si="21"/>
        <v>0</v>
      </c>
    </row>
    <row r="702" spans="1:13" ht="78.75" outlineLevel="4">
      <c r="A702" s="19" t="s">
        <v>577</v>
      </c>
      <c r="B702" s="20" t="s">
        <v>239</v>
      </c>
      <c r="C702" s="20" t="s">
        <v>239</v>
      </c>
      <c r="D702" s="20" t="s">
        <v>301</v>
      </c>
      <c r="E702" s="20" t="s">
        <v>1</v>
      </c>
      <c r="F702" s="13">
        <f>F703</f>
        <v>105000</v>
      </c>
      <c r="G702" s="2"/>
      <c r="I702" s="13">
        <v>105000</v>
      </c>
      <c r="J702" s="2"/>
      <c r="L702" s="114">
        <f t="shared" si="20"/>
        <v>0</v>
      </c>
      <c r="M702" s="114">
        <f t="shared" si="21"/>
        <v>0</v>
      </c>
    </row>
    <row r="703" spans="1:13" ht="31.5" outlineLevel="5">
      <c r="A703" s="19" t="s">
        <v>441</v>
      </c>
      <c r="B703" s="20" t="s">
        <v>239</v>
      </c>
      <c r="C703" s="20" t="s">
        <v>239</v>
      </c>
      <c r="D703" s="20" t="s">
        <v>302</v>
      </c>
      <c r="E703" s="20" t="s">
        <v>1</v>
      </c>
      <c r="F703" s="13">
        <f>F704+F705+F706</f>
        <v>105000</v>
      </c>
      <c r="G703" s="2"/>
      <c r="I703" s="13">
        <v>105000</v>
      </c>
      <c r="J703" s="2"/>
      <c r="L703" s="114">
        <f t="shared" si="20"/>
        <v>0</v>
      </c>
      <c r="M703" s="114">
        <f t="shared" si="21"/>
        <v>0</v>
      </c>
    </row>
    <row r="704" spans="1:13" ht="78.75" outlineLevel="6">
      <c r="A704" s="19" t="s">
        <v>708</v>
      </c>
      <c r="B704" s="20" t="s">
        <v>239</v>
      </c>
      <c r="C704" s="20" t="s">
        <v>239</v>
      </c>
      <c r="D704" s="20" t="s">
        <v>302</v>
      </c>
      <c r="E704" s="20" t="s">
        <v>10</v>
      </c>
      <c r="F704" s="13">
        <f>'Приложение_7 '!G932</f>
        <v>30000</v>
      </c>
      <c r="G704" s="2"/>
      <c r="I704" s="13">
        <v>30000</v>
      </c>
      <c r="J704" s="2"/>
      <c r="L704" s="114">
        <f t="shared" si="20"/>
        <v>0</v>
      </c>
      <c r="M704" s="114">
        <f t="shared" si="21"/>
        <v>0</v>
      </c>
    </row>
    <row r="705" spans="1:13" ht="31.5" outlineLevel="6">
      <c r="A705" s="19" t="s">
        <v>693</v>
      </c>
      <c r="B705" s="20" t="s">
        <v>239</v>
      </c>
      <c r="C705" s="20" t="s">
        <v>239</v>
      </c>
      <c r="D705" s="20" t="s">
        <v>302</v>
      </c>
      <c r="E705" s="20" t="s">
        <v>17</v>
      </c>
      <c r="F705" s="13">
        <f>'Приложение_7 '!G933</f>
        <v>30000</v>
      </c>
      <c r="G705" s="2"/>
      <c r="I705" s="13">
        <v>30000</v>
      </c>
      <c r="J705" s="2"/>
      <c r="L705" s="114">
        <f t="shared" si="20"/>
        <v>0</v>
      </c>
      <c r="M705" s="114">
        <f t="shared" si="21"/>
        <v>0</v>
      </c>
    </row>
    <row r="706" spans="1:13" ht="31.5" outlineLevel="6">
      <c r="A706" s="19" t="s">
        <v>696</v>
      </c>
      <c r="B706" s="20" t="s">
        <v>239</v>
      </c>
      <c r="C706" s="20" t="s">
        <v>239</v>
      </c>
      <c r="D706" s="20" t="s">
        <v>302</v>
      </c>
      <c r="E706" s="20" t="s">
        <v>70</v>
      </c>
      <c r="F706" s="13">
        <f>'Приложение_7 '!G934</f>
        <v>45000</v>
      </c>
      <c r="G706" s="2"/>
      <c r="I706" s="13">
        <v>45000</v>
      </c>
      <c r="J706" s="2"/>
      <c r="L706" s="114">
        <f t="shared" si="20"/>
        <v>0</v>
      </c>
      <c r="M706" s="114">
        <f t="shared" si="21"/>
        <v>0</v>
      </c>
    </row>
    <row r="707" spans="1:13" ht="31.5" outlineLevel="4">
      <c r="A707" s="19" t="s">
        <v>578</v>
      </c>
      <c r="B707" s="20" t="s">
        <v>239</v>
      </c>
      <c r="C707" s="20" t="s">
        <v>239</v>
      </c>
      <c r="D707" s="20" t="s">
        <v>303</v>
      </c>
      <c r="E707" s="20" t="s">
        <v>1</v>
      </c>
      <c r="F707" s="13">
        <f>F708</f>
        <v>5000</v>
      </c>
      <c r="G707" s="2"/>
      <c r="I707" s="13">
        <v>5000</v>
      </c>
      <c r="J707" s="2"/>
      <c r="L707" s="114">
        <f t="shared" si="20"/>
        <v>0</v>
      </c>
      <c r="M707" s="114">
        <f t="shared" si="21"/>
        <v>0</v>
      </c>
    </row>
    <row r="708" spans="1:13" ht="31.5" outlineLevel="5">
      <c r="A708" s="19" t="s">
        <v>441</v>
      </c>
      <c r="B708" s="20" t="s">
        <v>239</v>
      </c>
      <c r="C708" s="20" t="s">
        <v>239</v>
      </c>
      <c r="D708" s="20" t="s">
        <v>304</v>
      </c>
      <c r="E708" s="20" t="s">
        <v>1</v>
      </c>
      <c r="F708" s="13">
        <f>F709</f>
        <v>5000</v>
      </c>
      <c r="G708" s="2"/>
      <c r="I708" s="13">
        <v>5000</v>
      </c>
      <c r="J708" s="2"/>
      <c r="L708" s="114">
        <f t="shared" si="20"/>
        <v>0</v>
      </c>
      <c r="M708" s="114">
        <f t="shared" si="21"/>
        <v>0</v>
      </c>
    </row>
    <row r="709" spans="1:13" ht="31.5" outlineLevel="6">
      <c r="A709" s="19" t="s">
        <v>693</v>
      </c>
      <c r="B709" s="20" t="s">
        <v>239</v>
      </c>
      <c r="C709" s="20" t="s">
        <v>239</v>
      </c>
      <c r="D709" s="20" t="s">
        <v>304</v>
      </c>
      <c r="E709" s="20" t="s">
        <v>17</v>
      </c>
      <c r="F709" s="13">
        <v>5000</v>
      </c>
      <c r="G709" s="2"/>
      <c r="I709" s="13">
        <v>5000</v>
      </c>
      <c r="J709" s="2"/>
      <c r="L709" s="114">
        <f t="shared" si="20"/>
        <v>0</v>
      </c>
      <c r="M709" s="114">
        <f t="shared" si="21"/>
        <v>0</v>
      </c>
    </row>
    <row r="710" spans="1:13" ht="47.25" outlineLevel="4">
      <c r="A710" s="19" t="s">
        <v>579</v>
      </c>
      <c r="B710" s="20" t="s">
        <v>239</v>
      </c>
      <c r="C710" s="20" t="s">
        <v>239</v>
      </c>
      <c r="D710" s="20" t="s">
        <v>305</v>
      </c>
      <c r="E710" s="20" t="s">
        <v>1</v>
      </c>
      <c r="F710" s="13">
        <f>F711</f>
        <v>300000</v>
      </c>
      <c r="G710" s="2"/>
      <c r="I710" s="13">
        <v>300000</v>
      </c>
      <c r="J710" s="2"/>
      <c r="L710" s="114">
        <f t="shared" si="20"/>
        <v>0</v>
      </c>
      <c r="M710" s="114">
        <f t="shared" si="21"/>
        <v>0</v>
      </c>
    </row>
    <row r="711" spans="1:13" ht="31.5" outlineLevel="5">
      <c r="A711" s="19" t="s">
        <v>469</v>
      </c>
      <c r="B711" s="20" t="s">
        <v>239</v>
      </c>
      <c r="C711" s="20" t="s">
        <v>239</v>
      </c>
      <c r="D711" s="20" t="s">
        <v>306</v>
      </c>
      <c r="E711" s="20" t="s">
        <v>1</v>
      </c>
      <c r="F711" s="13">
        <f>F712</f>
        <v>300000</v>
      </c>
      <c r="G711" s="2"/>
      <c r="I711" s="13">
        <v>300000</v>
      </c>
      <c r="J711" s="2"/>
      <c r="L711" s="114">
        <f t="shared" si="20"/>
        <v>0</v>
      </c>
      <c r="M711" s="114">
        <f t="shared" si="21"/>
        <v>0</v>
      </c>
    </row>
    <row r="712" spans="1:13" ht="31.5" outlineLevel="6">
      <c r="A712" s="19" t="s">
        <v>694</v>
      </c>
      <c r="B712" s="20" t="s">
        <v>239</v>
      </c>
      <c r="C712" s="20" t="s">
        <v>239</v>
      </c>
      <c r="D712" s="20" t="s">
        <v>306</v>
      </c>
      <c r="E712" s="20" t="s">
        <v>47</v>
      </c>
      <c r="F712" s="13">
        <f>'Приложение_7 '!G940</f>
        <v>300000</v>
      </c>
      <c r="G712" s="2"/>
      <c r="I712" s="13">
        <v>300000</v>
      </c>
      <c r="J712" s="2"/>
      <c r="L712" s="114">
        <f t="shared" si="20"/>
        <v>0</v>
      </c>
      <c r="M712" s="114">
        <f t="shared" si="21"/>
        <v>0</v>
      </c>
    </row>
    <row r="713" spans="1:13" ht="31.5" outlineLevel="3">
      <c r="A713" s="82" t="s">
        <v>646</v>
      </c>
      <c r="B713" s="83" t="s">
        <v>239</v>
      </c>
      <c r="C713" s="83" t="s">
        <v>239</v>
      </c>
      <c r="D713" s="83" t="s">
        <v>307</v>
      </c>
      <c r="E713" s="83" t="s">
        <v>1</v>
      </c>
      <c r="F713" s="12">
        <f>F714+F717+F720</f>
        <v>18989822</v>
      </c>
      <c r="G713" s="1"/>
      <c r="I713" s="12">
        <v>18989822</v>
      </c>
      <c r="J713" s="1"/>
      <c r="L713" s="114">
        <f t="shared" si="20"/>
        <v>0</v>
      </c>
      <c r="M713" s="114">
        <f t="shared" si="21"/>
        <v>0</v>
      </c>
    </row>
    <row r="714" spans="1:13" ht="94.5" outlineLevel="4">
      <c r="A714" s="19" t="s">
        <v>580</v>
      </c>
      <c r="B714" s="20" t="s">
        <v>239</v>
      </c>
      <c r="C714" s="20" t="s">
        <v>239</v>
      </c>
      <c r="D714" s="20" t="s">
        <v>308</v>
      </c>
      <c r="E714" s="20" t="s">
        <v>1</v>
      </c>
      <c r="F714" s="13">
        <f>F715</f>
        <v>75972</v>
      </c>
      <c r="G714" s="2"/>
      <c r="I714" s="13">
        <v>75972</v>
      </c>
      <c r="J714" s="2"/>
      <c r="L714" s="114">
        <f t="shared" si="20"/>
        <v>0</v>
      </c>
      <c r="M714" s="114">
        <f t="shared" si="21"/>
        <v>0</v>
      </c>
    </row>
    <row r="715" spans="1:13" ht="63" outlineLevel="5">
      <c r="A715" s="19" t="s">
        <v>443</v>
      </c>
      <c r="B715" s="20" t="s">
        <v>239</v>
      </c>
      <c r="C715" s="20" t="s">
        <v>239</v>
      </c>
      <c r="D715" s="20" t="s">
        <v>309</v>
      </c>
      <c r="E715" s="20" t="s">
        <v>1</v>
      </c>
      <c r="F715" s="13">
        <f>F716</f>
        <v>75972</v>
      </c>
      <c r="G715" s="2"/>
      <c r="I715" s="13">
        <v>75972</v>
      </c>
      <c r="J715" s="2"/>
      <c r="L715" s="114">
        <f t="shared" si="20"/>
        <v>0</v>
      </c>
      <c r="M715" s="114">
        <f t="shared" si="21"/>
        <v>0</v>
      </c>
    </row>
    <row r="716" spans="1:13" ht="31.5" outlineLevel="6">
      <c r="A716" s="19" t="s">
        <v>696</v>
      </c>
      <c r="B716" s="20" t="s">
        <v>239</v>
      </c>
      <c r="C716" s="20" t="s">
        <v>239</v>
      </c>
      <c r="D716" s="20" t="s">
        <v>309</v>
      </c>
      <c r="E716" s="20" t="s">
        <v>70</v>
      </c>
      <c r="F716" s="13">
        <f>'Приложение_7 '!G944</f>
        <v>75972</v>
      </c>
      <c r="G716" s="2"/>
      <c r="I716" s="13">
        <v>75972</v>
      </c>
      <c r="J716" s="2"/>
      <c r="L716" s="114">
        <f t="shared" si="20"/>
        <v>0</v>
      </c>
      <c r="M716" s="114">
        <f t="shared" si="21"/>
        <v>0</v>
      </c>
    </row>
    <row r="717" spans="1:13" ht="110.25" outlineLevel="4">
      <c r="A717" s="19" t="s">
        <v>581</v>
      </c>
      <c r="B717" s="20" t="s">
        <v>239</v>
      </c>
      <c r="C717" s="20" t="s">
        <v>239</v>
      </c>
      <c r="D717" s="20" t="s">
        <v>310</v>
      </c>
      <c r="E717" s="20" t="s">
        <v>1</v>
      </c>
      <c r="F717" s="13">
        <f>F718</f>
        <v>18708017</v>
      </c>
      <c r="G717" s="2"/>
      <c r="I717" s="13">
        <v>18708017</v>
      </c>
      <c r="J717" s="2"/>
      <c r="L717" s="114">
        <f t="shared" si="20"/>
        <v>0</v>
      </c>
      <c r="M717" s="114">
        <f t="shared" si="21"/>
        <v>0</v>
      </c>
    </row>
    <row r="718" spans="1:13" ht="63" outlineLevel="5">
      <c r="A718" s="19" t="s">
        <v>443</v>
      </c>
      <c r="B718" s="20" t="s">
        <v>239</v>
      </c>
      <c r="C718" s="20" t="s">
        <v>239</v>
      </c>
      <c r="D718" s="20" t="s">
        <v>311</v>
      </c>
      <c r="E718" s="20" t="s">
        <v>1</v>
      </c>
      <c r="F718" s="13">
        <f>F719</f>
        <v>18708017</v>
      </c>
      <c r="G718" s="2"/>
      <c r="I718" s="13">
        <v>18708017</v>
      </c>
      <c r="J718" s="2"/>
      <c r="L718" s="114">
        <f t="shared" si="20"/>
        <v>0</v>
      </c>
      <c r="M718" s="114">
        <f t="shared" si="21"/>
        <v>0</v>
      </c>
    </row>
    <row r="719" spans="1:13" ht="31.5" outlineLevel="6">
      <c r="A719" s="19" t="s">
        <v>696</v>
      </c>
      <c r="B719" s="20" t="s">
        <v>239</v>
      </c>
      <c r="C719" s="20" t="s">
        <v>239</v>
      </c>
      <c r="D719" s="20" t="s">
        <v>311</v>
      </c>
      <c r="E719" s="20" t="s">
        <v>70</v>
      </c>
      <c r="F719" s="13">
        <f>'Приложение_7 '!G947</f>
        <v>18708017</v>
      </c>
      <c r="G719" s="2"/>
      <c r="I719" s="13">
        <v>18708017</v>
      </c>
      <c r="J719" s="2"/>
      <c r="L719" s="114">
        <f t="shared" si="20"/>
        <v>0</v>
      </c>
      <c r="M719" s="114">
        <f t="shared" si="21"/>
        <v>0</v>
      </c>
    </row>
    <row r="720" spans="1:13" ht="15.75" outlineLevel="4">
      <c r="A720" s="19" t="s">
        <v>562</v>
      </c>
      <c r="B720" s="20" t="s">
        <v>239</v>
      </c>
      <c r="C720" s="20" t="s">
        <v>239</v>
      </c>
      <c r="D720" s="20" t="s">
        <v>312</v>
      </c>
      <c r="E720" s="20" t="s">
        <v>1</v>
      </c>
      <c r="F720" s="13">
        <f>F721</f>
        <v>205833</v>
      </c>
      <c r="G720" s="2"/>
      <c r="I720" s="13">
        <v>205833</v>
      </c>
      <c r="J720" s="2"/>
      <c r="L720" s="114">
        <f t="shared" si="20"/>
        <v>0</v>
      </c>
      <c r="M720" s="114">
        <f t="shared" si="21"/>
        <v>0</v>
      </c>
    </row>
    <row r="721" spans="1:13" ht="63" outlineLevel="5">
      <c r="A721" s="19" t="s">
        <v>432</v>
      </c>
      <c r="B721" s="20" t="s">
        <v>239</v>
      </c>
      <c r="C721" s="20" t="s">
        <v>239</v>
      </c>
      <c r="D721" s="20" t="s">
        <v>313</v>
      </c>
      <c r="E721" s="20" t="s">
        <v>1</v>
      </c>
      <c r="F721" s="13">
        <f>F722</f>
        <v>205833</v>
      </c>
      <c r="G721" s="2"/>
      <c r="I721" s="13">
        <v>205833</v>
      </c>
      <c r="J721" s="2"/>
      <c r="L721" s="114">
        <f t="shared" si="20"/>
        <v>0</v>
      </c>
      <c r="M721" s="114">
        <f t="shared" si="21"/>
        <v>0</v>
      </c>
    </row>
    <row r="722" spans="1:13" ht="31.5" outlineLevel="6">
      <c r="A722" s="19" t="s">
        <v>696</v>
      </c>
      <c r="B722" s="20" t="s">
        <v>239</v>
      </c>
      <c r="C722" s="20" t="s">
        <v>239</v>
      </c>
      <c r="D722" s="20" t="s">
        <v>313</v>
      </c>
      <c r="E722" s="20" t="s">
        <v>70</v>
      </c>
      <c r="F722" s="13">
        <f>'Приложение_7 '!G950</f>
        <v>205833</v>
      </c>
      <c r="G722" s="2"/>
      <c r="I722" s="13">
        <v>205833</v>
      </c>
      <c r="J722" s="2"/>
      <c r="L722" s="114">
        <f t="shared" si="20"/>
        <v>0</v>
      </c>
      <c r="M722" s="114">
        <f t="shared" si="21"/>
        <v>0</v>
      </c>
    </row>
    <row r="723" spans="1:13" ht="31.5" outlineLevel="2">
      <c r="A723" s="82" t="s">
        <v>659</v>
      </c>
      <c r="B723" s="83" t="s">
        <v>239</v>
      </c>
      <c r="C723" s="83" t="s">
        <v>239</v>
      </c>
      <c r="D723" s="83" t="s">
        <v>90</v>
      </c>
      <c r="E723" s="83" t="s">
        <v>1</v>
      </c>
      <c r="F723" s="12">
        <f>F724</f>
        <v>194938</v>
      </c>
      <c r="G723" s="1"/>
      <c r="I723" s="12">
        <v>194938</v>
      </c>
      <c r="J723" s="1"/>
      <c r="L723" s="114">
        <f t="shared" si="20"/>
        <v>0</v>
      </c>
      <c r="M723" s="114">
        <f t="shared" si="21"/>
        <v>0</v>
      </c>
    </row>
    <row r="724" spans="1:13" ht="47.25" outlineLevel="3">
      <c r="A724" s="82" t="s">
        <v>624</v>
      </c>
      <c r="B724" s="83" t="s">
        <v>239</v>
      </c>
      <c r="C724" s="83" t="s">
        <v>239</v>
      </c>
      <c r="D724" s="83" t="s">
        <v>91</v>
      </c>
      <c r="E724" s="83" t="s">
        <v>1</v>
      </c>
      <c r="F724" s="12">
        <f>F725</f>
        <v>194938</v>
      </c>
      <c r="G724" s="1"/>
      <c r="I724" s="12">
        <v>194938</v>
      </c>
      <c r="J724" s="1"/>
      <c r="L724" s="114">
        <f t="shared" si="20"/>
        <v>0</v>
      </c>
      <c r="M724" s="114">
        <f t="shared" si="21"/>
        <v>0</v>
      </c>
    </row>
    <row r="725" spans="1:13" ht="31.5" outlineLevel="4">
      <c r="A725" s="19" t="s">
        <v>510</v>
      </c>
      <c r="B725" s="20" t="s">
        <v>239</v>
      </c>
      <c r="C725" s="20" t="s">
        <v>239</v>
      </c>
      <c r="D725" s="20" t="s">
        <v>100</v>
      </c>
      <c r="E725" s="20" t="s">
        <v>1</v>
      </c>
      <c r="F725" s="13">
        <f>F726</f>
        <v>194938</v>
      </c>
      <c r="G725" s="2"/>
      <c r="I725" s="13">
        <v>194938</v>
      </c>
      <c r="J725" s="2"/>
      <c r="L725" s="114">
        <f t="shared" si="20"/>
        <v>0</v>
      </c>
      <c r="M725" s="114">
        <f t="shared" si="21"/>
        <v>0</v>
      </c>
    </row>
    <row r="726" spans="1:13" ht="31.5" outlineLevel="5">
      <c r="A726" s="19" t="s">
        <v>441</v>
      </c>
      <c r="B726" s="20" t="s">
        <v>239</v>
      </c>
      <c r="C726" s="20" t="s">
        <v>239</v>
      </c>
      <c r="D726" s="20" t="s">
        <v>101</v>
      </c>
      <c r="E726" s="20" t="s">
        <v>1</v>
      </c>
      <c r="F726" s="13">
        <f>F727</f>
        <v>194938</v>
      </c>
      <c r="G726" s="2"/>
      <c r="I726" s="13">
        <v>194938</v>
      </c>
      <c r="J726" s="2"/>
      <c r="L726" s="114">
        <f t="shared" si="20"/>
        <v>0</v>
      </c>
      <c r="M726" s="114">
        <f t="shared" si="21"/>
        <v>0</v>
      </c>
    </row>
    <row r="727" spans="1:13" ht="31.5" outlineLevel="6">
      <c r="A727" s="19" t="s">
        <v>696</v>
      </c>
      <c r="B727" s="20" t="s">
        <v>239</v>
      </c>
      <c r="C727" s="20" t="s">
        <v>239</v>
      </c>
      <c r="D727" s="20" t="s">
        <v>101</v>
      </c>
      <c r="E727" s="20" t="s">
        <v>70</v>
      </c>
      <c r="F727" s="13">
        <f>'Приложение_7 '!G955</f>
        <v>194938</v>
      </c>
      <c r="G727" s="2"/>
      <c r="I727" s="13">
        <v>194938</v>
      </c>
      <c r="J727" s="2"/>
      <c r="L727" s="114">
        <f t="shared" si="20"/>
        <v>0</v>
      </c>
      <c r="M727" s="114">
        <f t="shared" si="21"/>
        <v>0</v>
      </c>
    </row>
    <row r="728" spans="1:13" s="113" customFormat="1" ht="34.5" customHeight="1" outlineLevel="1">
      <c r="A728" s="82" t="s">
        <v>684</v>
      </c>
      <c r="B728" s="83" t="s">
        <v>239</v>
      </c>
      <c r="C728" s="83" t="s">
        <v>146</v>
      </c>
      <c r="D728" s="83" t="s">
        <v>4</v>
      </c>
      <c r="E728" s="83" t="s">
        <v>1</v>
      </c>
      <c r="F728" s="12">
        <f>F729+F756</f>
        <v>71175744</v>
      </c>
      <c r="G728" s="12">
        <f>G729+G756</f>
        <v>15095800</v>
      </c>
      <c r="I728" s="12">
        <v>71205744</v>
      </c>
      <c r="J728" s="1">
        <f>J744</f>
        <v>15095800</v>
      </c>
      <c r="L728" s="114">
        <f t="shared" si="20"/>
        <v>-30000</v>
      </c>
      <c r="M728" s="114">
        <f t="shared" si="21"/>
        <v>0</v>
      </c>
    </row>
    <row r="729" spans="1:13" ht="56.25" customHeight="1" outlineLevel="2">
      <c r="A729" s="82" t="s">
        <v>657</v>
      </c>
      <c r="B729" s="83" t="s">
        <v>239</v>
      </c>
      <c r="C729" s="83" t="s">
        <v>146</v>
      </c>
      <c r="D729" s="83" t="s">
        <v>23</v>
      </c>
      <c r="E729" s="83" t="s">
        <v>1</v>
      </c>
      <c r="F729" s="12">
        <f>F730+F737+F744</f>
        <v>70511044</v>
      </c>
      <c r="G729" s="12">
        <f>G730+G737+G744</f>
        <v>15095800</v>
      </c>
      <c r="I729" s="12">
        <v>70511044</v>
      </c>
      <c r="J729" s="1">
        <f>J744</f>
        <v>15095800</v>
      </c>
      <c r="L729" s="114">
        <f t="shared" si="20"/>
        <v>0</v>
      </c>
      <c r="M729" s="114">
        <f t="shared" si="21"/>
        <v>0</v>
      </c>
    </row>
    <row r="730" spans="1:13" ht="47.25" outlineLevel="3">
      <c r="A730" s="82" t="s">
        <v>647</v>
      </c>
      <c r="B730" s="83" t="s">
        <v>239</v>
      </c>
      <c r="C730" s="83" t="s">
        <v>146</v>
      </c>
      <c r="D730" s="83" t="s">
        <v>314</v>
      </c>
      <c r="E730" s="83" t="s">
        <v>1</v>
      </c>
      <c r="F730" s="12">
        <f>F731+F734</f>
        <v>21261253.48</v>
      </c>
      <c r="G730" s="1"/>
      <c r="I730" s="12">
        <v>21261253.48</v>
      </c>
      <c r="J730" s="1"/>
      <c r="L730" s="114">
        <f t="shared" si="20"/>
        <v>0</v>
      </c>
      <c r="M730" s="114">
        <f t="shared" si="21"/>
        <v>0</v>
      </c>
    </row>
    <row r="731" spans="1:13" ht="47.25" outlineLevel="4">
      <c r="A731" s="19" t="s">
        <v>582</v>
      </c>
      <c r="B731" s="20" t="s">
        <v>239</v>
      </c>
      <c r="C731" s="20" t="s">
        <v>146</v>
      </c>
      <c r="D731" s="20" t="s">
        <v>315</v>
      </c>
      <c r="E731" s="20" t="s">
        <v>1</v>
      </c>
      <c r="F731" s="13">
        <f>F732</f>
        <v>20966181</v>
      </c>
      <c r="G731" s="1"/>
      <c r="I731" s="13">
        <v>20966181</v>
      </c>
      <c r="J731" s="1"/>
      <c r="L731" s="114">
        <f t="shared" si="20"/>
        <v>0</v>
      </c>
      <c r="M731" s="114">
        <f t="shared" si="21"/>
        <v>0</v>
      </c>
    </row>
    <row r="732" spans="1:13" ht="63" outlineLevel="5">
      <c r="A732" s="19" t="s">
        <v>443</v>
      </c>
      <c r="B732" s="20" t="s">
        <v>239</v>
      </c>
      <c r="C732" s="20" t="s">
        <v>146</v>
      </c>
      <c r="D732" s="20" t="s">
        <v>316</v>
      </c>
      <c r="E732" s="20" t="s">
        <v>1</v>
      </c>
      <c r="F732" s="13">
        <f>F733</f>
        <v>20966181</v>
      </c>
      <c r="G732" s="1"/>
      <c r="I732" s="13">
        <v>20966181</v>
      </c>
      <c r="J732" s="1"/>
      <c r="L732" s="114">
        <f t="shared" si="20"/>
        <v>0</v>
      </c>
      <c r="M732" s="114">
        <f t="shared" si="21"/>
        <v>0</v>
      </c>
    </row>
    <row r="733" spans="1:13" ht="31.5" outlineLevel="6">
      <c r="A733" s="19" t="s">
        <v>696</v>
      </c>
      <c r="B733" s="20" t="s">
        <v>239</v>
      </c>
      <c r="C733" s="20" t="s">
        <v>146</v>
      </c>
      <c r="D733" s="20" t="s">
        <v>316</v>
      </c>
      <c r="E733" s="20" t="s">
        <v>70</v>
      </c>
      <c r="F733" s="13">
        <f>'Приложение_7 '!G797</f>
        <v>20966181</v>
      </c>
      <c r="G733" s="2"/>
      <c r="I733" s="13">
        <v>20966181</v>
      </c>
      <c r="J733" s="2"/>
      <c r="L733" s="114">
        <f t="shared" si="20"/>
        <v>0</v>
      </c>
      <c r="M733" s="114">
        <f t="shared" si="21"/>
        <v>0</v>
      </c>
    </row>
    <row r="734" spans="1:13" ht="15.75" outlineLevel="4">
      <c r="A734" s="19" t="s">
        <v>562</v>
      </c>
      <c r="B734" s="20" t="s">
        <v>239</v>
      </c>
      <c r="C734" s="20" t="s">
        <v>146</v>
      </c>
      <c r="D734" s="20" t="s">
        <v>317</v>
      </c>
      <c r="E734" s="20" t="s">
        <v>1</v>
      </c>
      <c r="F734" s="13">
        <f>F735</f>
        <v>295072.48</v>
      </c>
      <c r="G734" s="2"/>
      <c r="I734" s="13">
        <v>295072.48</v>
      </c>
      <c r="J734" s="2"/>
      <c r="L734" s="114">
        <f t="shared" si="20"/>
        <v>0</v>
      </c>
      <c r="M734" s="114">
        <f t="shared" si="21"/>
        <v>0</v>
      </c>
    </row>
    <row r="735" spans="1:13" ht="63" outlineLevel="5">
      <c r="A735" s="19" t="s">
        <v>432</v>
      </c>
      <c r="B735" s="20" t="s">
        <v>239</v>
      </c>
      <c r="C735" s="20" t="s">
        <v>146</v>
      </c>
      <c r="D735" s="20" t="s">
        <v>318</v>
      </c>
      <c r="E735" s="20" t="s">
        <v>1</v>
      </c>
      <c r="F735" s="13">
        <f>F736</f>
        <v>295072.48</v>
      </c>
      <c r="G735" s="2"/>
      <c r="I735" s="13">
        <v>295072.48</v>
      </c>
      <c r="J735" s="2"/>
      <c r="L735" s="114">
        <f t="shared" si="20"/>
        <v>0</v>
      </c>
      <c r="M735" s="114">
        <f t="shared" si="21"/>
        <v>0</v>
      </c>
    </row>
    <row r="736" spans="1:13" ht="31.5" outlineLevel="6">
      <c r="A736" s="19" t="s">
        <v>696</v>
      </c>
      <c r="B736" s="20" t="s">
        <v>239</v>
      </c>
      <c r="C736" s="20" t="s">
        <v>146</v>
      </c>
      <c r="D736" s="20" t="s">
        <v>318</v>
      </c>
      <c r="E736" s="20" t="s">
        <v>70</v>
      </c>
      <c r="F736" s="13">
        <f>'Приложение_7 '!G800</f>
        <v>295072.48</v>
      </c>
      <c r="G736" s="2"/>
      <c r="I736" s="13">
        <v>295072.48</v>
      </c>
      <c r="J736" s="2"/>
      <c r="L736" s="114">
        <f t="shared" si="20"/>
        <v>0</v>
      </c>
      <c r="M736" s="114">
        <f t="shared" si="21"/>
        <v>0</v>
      </c>
    </row>
    <row r="737" spans="1:13" ht="47.25" outlineLevel="3">
      <c r="A737" s="82" t="s">
        <v>648</v>
      </c>
      <c r="B737" s="83" t="s">
        <v>239</v>
      </c>
      <c r="C737" s="83" t="s">
        <v>146</v>
      </c>
      <c r="D737" s="83" t="s">
        <v>319</v>
      </c>
      <c r="E737" s="83" t="s">
        <v>1</v>
      </c>
      <c r="F737" s="12">
        <f>F738+F741</f>
        <v>28074972.76</v>
      </c>
      <c r="G737" s="1"/>
      <c r="I737" s="12">
        <v>28074972.76</v>
      </c>
      <c r="J737" s="1"/>
      <c r="L737" s="114">
        <f t="shared" si="20"/>
        <v>0</v>
      </c>
      <c r="M737" s="114">
        <f t="shared" si="21"/>
        <v>0</v>
      </c>
    </row>
    <row r="738" spans="1:13" ht="47.25" outlineLevel="4">
      <c r="A738" s="19" t="s">
        <v>583</v>
      </c>
      <c r="B738" s="20" t="s">
        <v>239</v>
      </c>
      <c r="C738" s="20" t="s">
        <v>146</v>
      </c>
      <c r="D738" s="20" t="s">
        <v>320</v>
      </c>
      <c r="E738" s="20" t="s">
        <v>1</v>
      </c>
      <c r="F738" s="13">
        <f>F739</f>
        <v>27779900</v>
      </c>
      <c r="G738" s="2"/>
      <c r="I738" s="13">
        <v>27779900</v>
      </c>
      <c r="J738" s="2"/>
      <c r="L738" s="114">
        <f t="shared" si="20"/>
        <v>0</v>
      </c>
      <c r="M738" s="114">
        <f t="shared" si="21"/>
        <v>0</v>
      </c>
    </row>
    <row r="739" spans="1:13" ht="63" outlineLevel="5">
      <c r="A739" s="19" t="s">
        <v>443</v>
      </c>
      <c r="B739" s="20" t="s">
        <v>239</v>
      </c>
      <c r="C739" s="20" t="s">
        <v>146</v>
      </c>
      <c r="D739" s="20" t="s">
        <v>321</v>
      </c>
      <c r="E739" s="20" t="s">
        <v>1</v>
      </c>
      <c r="F739" s="13">
        <f>F740</f>
        <v>27779900</v>
      </c>
      <c r="G739" s="2"/>
      <c r="I739" s="13">
        <v>27779900</v>
      </c>
      <c r="J739" s="2"/>
      <c r="L739" s="114">
        <f t="shared" si="20"/>
        <v>0</v>
      </c>
      <c r="M739" s="114">
        <f t="shared" si="21"/>
        <v>0</v>
      </c>
    </row>
    <row r="740" spans="1:13" ht="31.5" outlineLevel="6">
      <c r="A740" s="19" t="s">
        <v>696</v>
      </c>
      <c r="B740" s="20" t="s">
        <v>239</v>
      </c>
      <c r="C740" s="20" t="s">
        <v>146</v>
      </c>
      <c r="D740" s="20" t="s">
        <v>321</v>
      </c>
      <c r="E740" s="20" t="s">
        <v>70</v>
      </c>
      <c r="F740" s="13">
        <f>'Приложение_7 '!G804</f>
        <v>27779900</v>
      </c>
      <c r="G740" s="2"/>
      <c r="I740" s="13">
        <v>27779900</v>
      </c>
      <c r="J740" s="2"/>
      <c r="L740" s="114">
        <f t="shared" si="20"/>
        <v>0</v>
      </c>
      <c r="M740" s="114">
        <f t="shared" si="21"/>
        <v>0</v>
      </c>
    </row>
    <row r="741" spans="1:13" ht="15.75" outlineLevel="4">
      <c r="A741" s="19" t="s">
        <v>562</v>
      </c>
      <c r="B741" s="20" t="s">
        <v>239</v>
      </c>
      <c r="C741" s="20" t="s">
        <v>146</v>
      </c>
      <c r="D741" s="20" t="s">
        <v>322</v>
      </c>
      <c r="E741" s="20" t="s">
        <v>1</v>
      </c>
      <c r="F741" s="13">
        <f>F742</f>
        <v>295072.76</v>
      </c>
      <c r="G741" s="2"/>
      <c r="I741" s="13">
        <v>295072.76</v>
      </c>
      <c r="J741" s="2"/>
      <c r="L741" s="114">
        <f t="shared" si="20"/>
        <v>0</v>
      </c>
      <c r="M741" s="114">
        <f t="shared" si="21"/>
        <v>0</v>
      </c>
    </row>
    <row r="742" spans="1:13" ht="63" outlineLevel="5">
      <c r="A742" s="19" t="s">
        <v>432</v>
      </c>
      <c r="B742" s="20" t="s">
        <v>239</v>
      </c>
      <c r="C742" s="20" t="s">
        <v>146</v>
      </c>
      <c r="D742" s="20" t="s">
        <v>323</v>
      </c>
      <c r="E742" s="20" t="s">
        <v>1</v>
      </c>
      <c r="F742" s="13">
        <f>F743</f>
        <v>295072.76</v>
      </c>
      <c r="G742" s="2"/>
      <c r="I742" s="13">
        <v>295072.76</v>
      </c>
      <c r="J742" s="2"/>
      <c r="L742" s="114">
        <f t="shared" si="20"/>
        <v>0</v>
      </c>
      <c r="M742" s="114">
        <f t="shared" si="21"/>
        <v>0</v>
      </c>
    </row>
    <row r="743" spans="1:13" ht="31.5" outlineLevel="6">
      <c r="A743" s="19" t="s">
        <v>696</v>
      </c>
      <c r="B743" s="20" t="s">
        <v>239</v>
      </c>
      <c r="C743" s="20" t="s">
        <v>146</v>
      </c>
      <c r="D743" s="20" t="s">
        <v>323</v>
      </c>
      <c r="E743" s="20" t="s">
        <v>70</v>
      </c>
      <c r="F743" s="13">
        <f>'Приложение_7 '!G807</f>
        <v>295072.76</v>
      </c>
      <c r="G743" s="2"/>
      <c r="I743" s="13">
        <v>295072.76</v>
      </c>
      <c r="J743" s="2"/>
      <c r="L743" s="114">
        <f t="shared" si="20"/>
        <v>0</v>
      </c>
      <c r="M743" s="114">
        <f t="shared" si="21"/>
        <v>0</v>
      </c>
    </row>
    <row r="744" spans="1:13" ht="15.75" outlineLevel="3">
      <c r="A744" s="82" t="s">
        <v>649</v>
      </c>
      <c r="B744" s="83" t="s">
        <v>239</v>
      </c>
      <c r="C744" s="83" t="s">
        <v>146</v>
      </c>
      <c r="D744" s="83" t="s">
        <v>324</v>
      </c>
      <c r="E744" s="83" t="s">
        <v>1</v>
      </c>
      <c r="F744" s="12">
        <f>F745+F750+F753</f>
        <v>21174817.76</v>
      </c>
      <c r="G744" s="12">
        <f>G745+G750+G753</f>
        <v>15095800</v>
      </c>
      <c r="I744" s="12">
        <v>21174817.76</v>
      </c>
      <c r="J744" s="1">
        <f>J745+J750</f>
        <v>15095800</v>
      </c>
      <c r="L744" s="114">
        <f t="shared" si="20"/>
        <v>0</v>
      </c>
      <c r="M744" s="114">
        <f t="shared" si="21"/>
        <v>0</v>
      </c>
    </row>
    <row r="745" spans="1:13" ht="31.5" outlineLevel="4">
      <c r="A745" s="19" t="s">
        <v>584</v>
      </c>
      <c r="B745" s="20" t="s">
        <v>239</v>
      </c>
      <c r="C745" s="20" t="s">
        <v>146</v>
      </c>
      <c r="D745" s="20" t="s">
        <v>325</v>
      </c>
      <c r="E745" s="20" t="s">
        <v>1</v>
      </c>
      <c r="F745" s="13">
        <f>F746+F748</f>
        <v>7385545</v>
      </c>
      <c r="G745" s="13">
        <f>G746+G748</f>
        <v>1601600</v>
      </c>
      <c r="I745" s="13">
        <v>7385545</v>
      </c>
      <c r="J745" s="2">
        <f>J746</f>
        <v>1601600</v>
      </c>
      <c r="L745" s="114">
        <f t="shared" si="20"/>
        <v>0</v>
      </c>
      <c r="M745" s="114">
        <f t="shared" si="21"/>
        <v>0</v>
      </c>
    </row>
    <row r="746" spans="1:13" ht="78.75" outlineLevel="5">
      <c r="A746" s="19" t="s">
        <v>470</v>
      </c>
      <c r="B746" s="20" t="s">
        <v>239</v>
      </c>
      <c r="C746" s="20" t="s">
        <v>146</v>
      </c>
      <c r="D746" s="20" t="s">
        <v>326</v>
      </c>
      <c r="E746" s="20" t="s">
        <v>1</v>
      </c>
      <c r="F746" s="13">
        <f>F747</f>
        <v>1601600</v>
      </c>
      <c r="G746" s="13">
        <f>G747</f>
        <v>1601600</v>
      </c>
      <c r="I746" s="13">
        <v>1601600</v>
      </c>
      <c r="J746" s="13">
        <v>1601600</v>
      </c>
      <c r="L746" s="114">
        <f t="shared" si="20"/>
        <v>0</v>
      </c>
      <c r="M746" s="114">
        <f t="shared" si="21"/>
        <v>0</v>
      </c>
    </row>
    <row r="747" spans="1:13" ht="31.5" outlineLevel="6">
      <c r="A747" s="19" t="s">
        <v>696</v>
      </c>
      <c r="B747" s="20" t="s">
        <v>239</v>
      </c>
      <c r="C747" s="20" t="s">
        <v>146</v>
      </c>
      <c r="D747" s="20" t="s">
        <v>326</v>
      </c>
      <c r="E747" s="20" t="s">
        <v>70</v>
      </c>
      <c r="F747" s="13">
        <f>'Приложение_7 '!G811</f>
        <v>1601600</v>
      </c>
      <c r="G747" s="13">
        <f>F747</f>
        <v>1601600</v>
      </c>
      <c r="I747" s="13">
        <v>1601600</v>
      </c>
      <c r="J747" s="13">
        <v>1601600</v>
      </c>
      <c r="L747" s="114">
        <f t="shared" si="20"/>
        <v>0</v>
      </c>
      <c r="M747" s="114">
        <f t="shared" si="21"/>
        <v>0</v>
      </c>
    </row>
    <row r="748" spans="1:13" ht="78.75" outlineLevel="5">
      <c r="A748" s="19" t="s">
        <v>470</v>
      </c>
      <c r="B748" s="20" t="s">
        <v>239</v>
      </c>
      <c r="C748" s="20" t="s">
        <v>146</v>
      </c>
      <c r="D748" s="20" t="s">
        <v>327</v>
      </c>
      <c r="E748" s="20" t="s">
        <v>1</v>
      </c>
      <c r="F748" s="13">
        <f>F749</f>
        <v>5783945</v>
      </c>
      <c r="G748" s="2"/>
      <c r="I748" s="13">
        <v>5783945</v>
      </c>
      <c r="J748" s="2"/>
      <c r="L748" s="114">
        <f t="shared" si="20"/>
        <v>0</v>
      </c>
      <c r="M748" s="114">
        <f t="shared" si="21"/>
        <v>0</v>
      </c>
    </row>
    <row r="749" spans="1:13" ht="31.5" outlineLevel="6">
      <c r="A749" s="19" t="s">
        <v>696</v>
      </c>
      <c r="B749" s="20" t="s">
        <v>239</v>
      </c>
      <c r="C749" s="20" t="s">
        <v>146</v>
      </c>
      <c r="D749" s="20" t="s">
        <v>327</v>
      </c>
      <c r="E749" s="20" t="s">
        <v>70</v>
      </c>
      <c r="F749" s="13">
        <f>'Приложение_7 '!G813</f>
        <v>5783945</v>
      </c>
      <c r="G749" s="2"/>
      <c r="I749" s="13">
        <v>5783945</v>
      </c>
      <c r="J749" s="2"/>
      <c r="L749" s="114">
        <f t="shared" si="20"/>
        <v>0</v>
      </c>
      <c r="M749" s="114">
        <f t="shared" si="21"/>
        <v>0</v>
      </c>
    </row>
    <row r="750" spans="1:13" ht="31.5" outlineLevel="4">
      <c r="A750" s="19" t="s">
        <v>585</v>
      </c>
      <c r="B750" s="20" t="s">
        <v>239</v>
      </c>
      <c r="C750" s="20" t="s">
        <v>146</v>
      </c>
      <c r="D750" s="20" t="s">
        <v>328</v>
      </c>
      <c r="E750" s="20" t="s">
        <v>1</v>
      </c>
      <c r="F750" s="13">
        <f>F751</f>
        <v>13494200</v>
      </c>
      <c r="G750" s="13">
        <f>G751</f>
        <v>13494200</v>
      </c>
      <c r="I750" s="13">
        <v>13494200</v>
      </c>
      <c r="J750" s="2">
        <f>J751</f>
        <v>13494200</v>
      </c>
      <c r="L750" s="114">
        <f t="shared" si="20"/>
        <v>0</v>
      </c>
      <c r="M750" s="114">
        <f t="shared" si="21"/>
        <v>0</v>
      </c>
    </row>
    <row r="751" spans="1:13" ht="31.5" outlineLevel="5">
      <c r="A751" s="19" t="s">
        <v>471</v>
      </c>
      <c r="B751" s="20" t="s">
        <v>239</v>
      </c>
      <c r="C751" s="20" t="s">
        <v>146</v>
      </c>
      <c r="D751" s="20" t="s">
        <v>329</v>
      </c>
      <c r="E751" s="20" t="s">
        <v>1</v>
      </c>
      <c r="F751" s="13">
        <f>F752</f>
        <v>13494200</v>
      </c>
      <c r="G751" s="13">
        <f>G752</f>
        <v>13494200</v>
      </c>
      <c r="I751" s="13">
        <v>13494200</v>
      </c>
      <c r="J751" s="13">
        <v>13494200</v>
      </c>
      <c r="L751" s="114">
        <f t="shared" si="20"/>
        <v>0</v>
      </c>
      <c r="M751" s="114">
        <f t="shared" si="21"/>
        <v>0</v>
      </c>
    </row>
    <row r="752" spans="1:13" ht="31.5" outlineLevel="6">
      <c r="A752" s="19" t="s">
        <v>696</v>
      </c>
      <c r="B752" s="20" t="s">
        <v>239</v>
      </c>
      <c r="C752" s="20" t="s">
        <v>146</v>
      </c>
      <c r="D752" s="20" t="s">
        <v>329</v>
      </c>
      <c r="E752" s="20" t="s">
        <v>70</v>
      </c>
      <c r="F752" s="13">
        <f>'Приложение_7 '!G816</f>
        <v>13494200</v>
      </c>
      <c r="G752" s="13">
        <f>F752</f>
        <v>13494200</v>
      </c>
      <c r="I752" s="13">
        <v>13494200</v>
      </c>
      <c r="J752" s="13">
        <v>13494200</v>
      </c>
      <c r="L752" s="114">
        <f t="shared" si="20"/>
        <v>0</v>
      </c>
      <c r="M752" s="114">
        <f t="shared" si="21"/>
        <v>0</v>
      </c>
    </row>
    <row r="753" spans="1:13" ht="31.5" outlineLevel="4">
      <c r="A753" s="19" t="s">
        <v>586</v>
      </c>
      <c r="B753" s="20" t="s">
        <v>239</v>
      </c>
      <c r="C753" s="20" t="s">
        <v>146</v>
      </c>
      <c r="D753" s="20" t="s">
        <v>330</v>
      </c>
      <c r="E753" s="20" t="s">
        <v>1</v>
      </c>
      <c r="F753" s="13">
        <f>F754</f>
        <v>295072.76</v>
      </c>
      <c r="G753" s="2"/>
      <c r="I753" s="13">
        <v>295072.76</v>
      </c>
      <c r="J753" s="2"/>
      <c r="L753" s="114">
        <f t="shared" si="20"/>
        <v>0</v>
      </c>
      <c r="M753" s="114">
        <f t="shared" si="21"/>
        <v>0</v>
      </c>
    </row>
    <row r="754" spans="1:13" ht="63" outlineLevel="5">
      <c r="A754" s="19" t="s">
        <v>432</v>
      </c>
      <c r="B754" s="20" t="s">
        <v>239</v>
      </c>
      <c r="C754" s="20" t="s">
        <v>146</v>
      </c>
      <c r="D754" s="20" t="s">
        <v>331</v>
      </c>
      <c r="E754" s="20" t="s">
        <v>1</v>
      </c>
      <c r="F754" s="13">
        <f>F755</f>
        <v>295072.76</v>
      </c>
      <c r="G754" s="2"/>
      <c r="I754" s="13">
        <v>295072.76</v>
      </c>
      <c r="J754" s="2"/>
      <c r="L754" s="114">
        <f aca="true" t="shared" si="22" ref="L754:L823">F754-I754</f>
        <v>0</v>
      </c>
      <c r="M754" s="114">
        <f aca="true" t="shared" si="23" ref="M754:M823">G754-J754</f>
        <v>0</v>
      </c>
    </row>
    <row r="755" spans="1:13" ht="31.5" outlineLevel="6">
      <c r="A755" s="19" t="s">
        <v>696</v>
      </c>
      <c r="B755" s="20" t="s">
        <v>239</v>
      </c>
      <c r="C755" s="20" t="s">
        <v>146</v>
      </c>
      <c r="D755" s="20" t="s">
        <v>331</v>
      </c>
      <c r="E755" s="20" t="s">
        <v>70</v>
      </c>
      <c r="F755" s="13">
        <f>'Приложение_7 '!G819</f>
        <v>295072.76</v>
      </c>
      <c r="G755" s="2"/>
      <c r="I755" s="13">
        <v>295072.76</v>
      </c>
      <c r="J755" s="2"/>
      <c r="L755" s="114">
        <f t="shared" si="22"/>
        <v>0</v>
      </c>
      <c r="M755" s="114">
        <f t="shared" si="23"/>
        <v>0</v>
      </c>
    </row>
    <row r="756" spans="1:13" ht="31.5" outlineLevel="2">
      <c r="A756" s="82" t="s">
        <v>659</v>
      </c>
      <c r="B756" s="83" t="s">
        <v>239</v>
      </c>
      <c r="C756" s="83" t="s">
        <v>146</v>
      </c>
      <c r="D756" s="83" t="s">
        <v>90</v>
      </c>
      <c r="E756" s="83" t="s">
        <v>1</v>
      </c>
      <c r="F756" s="12">
        <f>F757</f>
        <v>664700</v>
      </c>
      <c r="G756" s="1"/>
      <c r="I756" s="12">
        <v>694700</v>
      </c>
      <c r="J756" s="1"/>
      <c r="L756" s="114">
        <f t="shared" si="22"/>
        <v>-30000</v>
      </c>
      <c r="M756" s="114">
        <f t="shared" si="23"/>
        <v>0</v>
      </c>
    </row>
    <row r="757" spans="1:13" ht="47.25" outlineLevel="3">
      <c r="A757" s="82" t="s">
        <v>624</v>
      </c>
      <c r="B757" s="83" t="s">
        <v>239</v>
      </c>
      <c r="C757" s="83" t="s">
        <v>146</v>
      </c>
      <c r="D757" s="83" t="s">
        <v>91</v>
      </c>
      <c r="E757" s="83" t="s">
        <v>1</v>
      </c>
      <c r="F757" s="12">
        <f>F758</f>
        <v>664700</v>
      </c>
      <c r="G757" s="1"/>
      <c r="I757" s="12">
        <v>694700</v>
      </c>
      <c r="J757" s="1"/>
      <c r="L757" s="114">
        <f t="shared" si="22"/>
        <v>-30000</v>
      </c>
      <c r="M757" s="114">
        <f t="shared" si="23"/>
        <v>0</v>
      </c>
    </row>
    <row r="758" spans="1:13" ht="31.5" outlineLevel="4">
      <c r="A758" s="19" t="s">
        <v>510</v>
      </c>
      <c r="B758" s="20" t="s">
        <v>239</v>
      </c>
      <c r="C758" s="20" t="s">
        <v>146</v>
      </c>
      <c r="D758" s="20" t="s">
        <v>100</v>
      </c>
      <c r="E758" s="20" t="s">
        <v>1</v>
      </c>
      <c r="F758" s="13">
        <f>F759</f>
        <v>664700</v>
      </c>
      <c r="G758" s="2"/>
      <c r="I758" s="13">
        <v>694700</v>
      </c>
      <c r="J758" s="2"/>
      <c r="L758" s="114">
        <f t="shared" si="22"/>
        <v>-30000</v>
      </c>
      <c r="M758" s="114">
        <f t="shared" si="23"/>
        <v>0</v>
      </c>
    </row>
    <row r="759" spans="1:13" ht="31.5" outlineLevel="5">
      <c r="A759" s="19" t="s">
        <v>441</v>
      </c>
      <c r="B759" s="20" t="s">
        <v>239</v>
      </c>
      <c r="C759" s="20" t="s">
        <v>146</v>
      </c>
      <c r="D759" s="20" t="s">
        <v>101</v>
      </c>
      <c r="E759" s="20" t="s">
        <v>1</v>
      </c>
      <c r="F759" s="13">
        <f>F760</f>
        <v>664700</v>
      </c>
      <c r="G759" s="2"/>
      <c r="I759" s="13">
        <v>694700</v>
      </c>
      <c r="J759" s="2"/>
      <c r="L759" s="114">
        <f t="shared" si="22"/>
        <v>-30000</v>
      </c>
      <c r="M759" s="114">
        <f t="shared" si="23"/>
        <v>0</v>
      </c>
    </row>
    <row r="760" spans="1:13" ht="31.5" outlineLevel="6">
      <c r="A760" s="19" t="s">
        <v>696</v>
      </c>
      <c r="B760" s="20" t="s">
        <v>239</v>
      </c>
      <c r="C760" s="20" t="s">
        <v>146</v>
      </c>
      <c r="D760" s="20" t="s">
        <v>101</v>
      </c>
      <c r="E760" s="20" t="s">
        <v>70</v>
      </c>
      <c r="F760" s="13">
        <f>'Приложение_7 '!G824</f>
        <v>664700</v>
      </c>
      <c r="G760" s="2"/>
      <c r="I760" s="13">
        <v>694700</v>
      </c>
      <c r="J760" s="2"/>
      <c r="L760" s="114">
        <f t="shared" si="22"/>
        <v>-30000</v>
      </c>
      <c r="M760" s="114">
        <f t="shared" si="23"/>
        <v>0</v>
      </c>
    </row>
    <row r="761" spans="1:13" s="113" customFormat="1" ht="15.75">
      <c r="A761" s="82" t="s">
        <v>702</v>
      </c>
      <c r="B761" s="83" t="s">
        <v>165</v>
      </c>
      <c r="C761" s="83" t="s">
        <v>3</v>
      </c>
      <c r="D761" s="83" t="s">
        <v>4</v>
      </c>
      <c r="E761" s="83" t="s">
        <v>1</v>
      </c>
      <c r="F761" s="12">
        <f>F762</f>
        <v>216046964.69</v>
      </c>
      <c r="G761" s="12">
        <f>G762</f>
        <v>18077130.029999997</v>
      </c>
      <c r="I761" s="12">
        <v>196660262.66</v>
      </c>
      <c r="J761" s="1">
        <f>J762</f>
        <v>17993119.52</v>
      </c>
      <c r="L761" s="114">
        <f t="shared" si="22"/>
        <v>19386702.03</v>
      </c>
      <c r="M761" s="114">
        <f t="shared" si="23"/>
        <v>84010.50999999791</v>
      </c>
    </row>
    <row r="762" spans="1:13" s="113" customFormat="1" ht="19.5" customHeight="1" outlineLevel="1">
      <c r="A762" s="82" t="s">
        <v>685</v>
      </c>
      <c r="B762" s="83" t="s">
        <v>165</v>
      </c>
      <c r="C762" s="83" t="s">
        <v>2</v>
      </c>
      <c r="D762" s="83" t="s">
        <v>4</v>
      </c>
      <c r="E762" s="83" t="s">
        <v>1</v>
      </c>
      <c r="F762" s="12">
        <f>F763+F769+F836</f>
        <v>216046964.69</v>
      </c>
      <c r="G762" s="12">
        <f>G763+G769+G836</f>
        <v>18077130.029999997</v>
      </c>
      <c r="I762" s="12">
        <v>196660262.66</v>
      </c>
      <c r="J762" s="1">
        <f>J769</f>
        <v>17993119.52</v>
      </c>
      <c r="L762" s="114">
        <f t="shared" si="22"/>
        <v>19386702.03</v>
      </c>
      <c r="M762" s="114">
        <f t="shared" si="23"/>
        <v>84010.50999999791</v>
      </c>
    </row>
    <row r="763" spans="1:13" ht="47.25" outlineLevel="2">
      <c r="A763" s="82" t="s">
        <v>619</v>
      </c>
      <c r="B763" s="83" t="s">
        <v>165</v>
      </c>
      <c r="C763" s="83" t="s">
        <v>2</v>
      </c>
      <c r="D763" s="83" t="s">
        <v>67</v>
      </c>
      <c r="E763" s="83" t="s">
        <v>1</v>
      </c>
      <c r="F763" s="12">
        <f>F764</f>
        <v>609776.79</v>
      </c>
      <c r="G763" s="1"/>
      <c r="I763" s="12">
        <v>609776.79</v>
      </c>
      <c r="J763" s="1"/>
      <c r="L763" s="114">
        <f t="shared" si="22"/>
        <v>0</v>
      </c>
      <c r="M763" s="114">
        <f t="shared" si="23"/>
        <v>0</v>
      </c>
    </row>
    <row r="764" spans="1:13" ht="63" outlineLevel="4">
      <c r="A764" s="19" t="s">
        <v>588</v>
      </c>
      <c r="B764" s="20" t="s">
        <v>165</v>
      </c>
      <c r="C764" s="20" t="s">
        <v>2</v>
      </c>
      <c r="D764" s="20" t="s">
        <v>332</v>
      </c>
      <c r="E764" s="20" t="s">
        <v>1</v>
      </c>
      <c r="F764" s="13">
        <f>F765+F767</f>
        <v>609776.79</v>
      </c>
      <c r="G764" s="2"/>
      <c r="I764" s="13">
        <v>609776.79</v>
      </c>
      <c r="J764" s="2"/>
      <c r="L764" s="114">
        <f t="shared" si="22"/>
        <v>0</v>
      </c>
      <c r="M764" s="114">
        <f t="shared" si="23"/>
        <v>0</v>
      </c>
    </row>
    <row r="765" spans="1:13" ht="31.5" outlineLevel="5">
      <c r="A765" s="19" t="s">
        <v>456</v>
      </c>
      <c r="B765" s="20" t="s">
        <v>165</v>
      </c>
      <c r="C765" s="20" t="s">
        <v>2</v>
      </c>
      <c r="D765" s="20" t="s">
        <v>333</v>
      </c>
      <c r="E765" s="20" t="s">
        <v>1</v>
      </c>
      <c r="F765" s="13">
        <f>F766</f>
        <v>491531.49</v>
      </c>
      <c r="G765" s="2"/>
      <c r="I765" s="13">
        <v>491531.49</v>
      </c>
      <c r="J765" s="2"/>
      <c r="L765" s="114">
        <f t="shared" si="22"/>
        <v>0</v>
      </c>
      <c r="M765" s="114">
        <f t="shared" si="23"/>
        <v>0</v>
      </c>
    </row>
    <row r="766" spans="1:13" ht="31.5" outlineLevel="6">
      <c r="A766" s="19" t="s">
        <v>696</v>
      </c>
      <c r="B766" s="20" t="s">
        <v>165</v>
      </c>
      <c r="C766" s="20" t="s">
        <v>2</v>
      </c>
      <c r="D766" s="20" t="s">
        <v>333</v>
      </c>
      <c r="E766" s="20" t="s">
        <v>70</v>
      </c>
      <c r="F766" s="13">
        <f>'Приложение_7 '!G961</f>
        <v>491531.49</v>
      </c>
      <c r="G766" s="2"/>
      <c r="I766" s="13">
        <v>491531.49</v>
      </c>
      <c r="J766" s="2"/>
      <c r="L766" s="114">
        <f t="shared" si="22"/>
        <v>0</v>
      </c>
      <c r="M766" s="114">
        <f t="shared" si="23"/>
        <v>0</v>
      </c>
    </row>
    <row r="767" spans="1:13" ht="31.5" outlineLevel="5">
      <c r="A767" s="19" t="s">
        <v>441</v>
      </c>
      <c r="B767" s="20" t="s">
        <v>165</v>
      </c>
      <c r="C767" s="20" t="s">
        <v>2</v>
      </c>
      <c r="D767" s="20" t="s">
        <v>334</v>
      </c>
      <c r="E767" s="20" t="s">
        <v>1</v>
      </c>
      <c r="F767" s="13">
        <f>F768</f>
        <v>118245.3</v>
      </c>
      <c r="G767" s="2"/>
      <c r="I767" s="13">
        <v>118245.3</v>
      </c>
      <c r="J767" s="2"/>
      <c r="L767" s="114">
        <f t="shared" si="22"/>
        <v>0</v>
      </c>
      <c r="M767" s="114">
        <f t="shared" si="23"/>
        <v>0</v>
      </c>
    </row>
    <row r="768" spans="1:13" ht="31.5" outlineLevel="6">
      <c r="A768" s="19" t="s">
        <v>696</v>
      </c>
      <c r="B768" s="20" t="s">
        <v>165</v>
      </c>
      <c r="C768" s="20" t="s">
        <v>2</v>
      </c>
      <c r="D768" s="20" t="s">
        <v>334</v>
      </c>
      <c r="E768" s="20" t="s">
        <v>70</v>
      </c>
      <c r="F768" s="13">
        <f>'Приложение_7 '!G963</f>
        <v>118245.3</v>
      </c>
      <c r="G768" s="2"/>
      <c r="I768" s="13">
        <v>118245.3</v>
      </c>
      <c r="J768" s="2"/>
      <c r="L768" s="114">
        <f t="shared" si="22"/>
        <v>0</v>
      </c>
      <c r="M768" s="114">
        <f t="shared" si="23"/>
        <v>0</v>
      </c>
    </row>
    <row r="769" spans="1:13" ht="47.25" outlineLevel="2">
      <c r="A769" s="82" t="s">
        <v>661</v>
      </c>
      <c r="B769" s="83" t="s">
        <v>165</v>
      </c>
      <c r="C769" s="83" t="s">
        <v>2</v>
      </c>
      <c r="D769" s="83" t="s">
        <v>279</v>
      </c>
      <c r="E769" s="83" t="s">
        <v>1</v>
      </c>
      <c r="F769" s="12">
        <f>F770+F787+F811+F832</f>
        <v>214428984.9</v>
      </c>
      <c r="G769" s="12">
        <f>G770+G787+G811+G832</f>
        <v>18077130.029999997</v>
      </c>
      <c r="I769" s="12">
        <v>195042282.87</v>
      </c>
      <c r="J769" s="1">
        <f>J770+J787+J811</f>
        <v>17993119.52</v>
      </c>
      <c r="L769" s="114">
        <f t="shared" si="22"/>
        <v>19386702.03</v>
      </c>
      <c r="M769" s="114">
        <f t="shared" si="23"/>
        <v>84010.50999999791</v>
      </c>
    </row>
    <row r="770" spans="1:13" ht="47.25" outlineLevel="3">
      <c r="A770" s="82" t="s">
        <v>643</v>
      </c>
      <c r="B770" s="83" t="s">
        <v>165</v>
      </c>
      <c r="C770" s="83" t="s">
        <v>2</v>
      </c>
      <c r="D770" s="83" t="s">
        <v>280</v>
      </c>
      <c r="E770" s="83" t="s">
        <v>1</v>
      </c>
      <c r="F770" s="12">
        <f>F771+F775+F784</f>
        <v>122855861.71000001</v>
      </c>
      <c r="G770" s="12">
        <f>G771+G775+G784</f>
        <v>11590400.52</v>
      </c>
      <c r="I770" s="12">
        <v>122805861.71</v>
      </c>
      <c r="J770" s="1">
        <f>J775</f>
        <v>11540400.52</v>
      </c>
      <c r="L770" s="114">
        <f t="shared" si="22"/>
        <v>50000.0000000149</v>
      </c>
      <c r="M770" s="114">
        <f t="shared" si="23"/>
        <v>50000</v>
      </c>
    </row>
    <row r="771" spans="1:13" ht="31.5" outlineLevel="4">
      <c r="A771" s="19" t="s">
        <v>589</v>
      </c>
      <c r="B771" s="20" t="s">
        <v>165</v>
      </c>
      <c r="C771" s="20" t="s">
        <v>2</v>
      </c>
      <c r="D771" s="20" t="s">
        <v>335</v>
      </c>
      <c r="E771" s="20" t="s">
        <v>1</v>
      </c>
      <c r="F771" s="13">
        <f>F772</f>
        <v>4923720</v>
      </c>
      <c r="G771" s="2"/>
      <c r="I771" s="13">
        <v>4923720</v>
      </c>
      <c r="J771" s="2"/>
      <c r="L771" s="114">
        <f t="shared" si="22"/>
        <v>0</v>
      </c>
      <c r="M771" s="114">
        <f t="shared" si="23"/>
        <v>0</v>
      </c>
    </row>
    <row r="772" spans="1:13" ht="31.5" outlineLevel="5">
      <c r="A772" s="19" t="s">
        <v>441</v>
      </c>
      <c r="B772" s="20" t="s">
        <v>165</v>
      </c>
      <c r="C772" s="20" t="s">
        <v>2</v>
      </c>
      <c r="D772" s="20" t="s">
        <v>336</v>
      </c>
      <c r="E772" s="20" t="s">
        <v>1</v>
      </c>
      <c r="F772" s="13">
        <f>F773+F774</f>
        <v>4923720</v>
      </c>
      <c r="G772" s="2"/>
      <c r="I772" s="13">
        <v>4923720</v>
      </c>
      <c r="J772" s="2"/>
      <c r="L772" s="114">
        <f t="shared" si="22"/>
        <v>0</v>
      </c>
      <c r="M772" s="114">
        <f t="shared" si="23"/>
        <v>0</v>
      </c>
    </row>
    <row r="773" spans="1:13" ht="31.5" outlineLevel="6">
      <c r="A773" s="19" t="s">
        <v>693</v>
      </c>
      <c r="B773" s="20" t="s">
        <v>165</v>
      </c>
      <c r="C773" s="20" t="s">
        <v>2</v>
      </c>
      <c r="D773" s="20" t="s">
        <v>336</v>
      </c>
      <c r="E773" s="20" t="s">
        <v>17</v>
      </c>
      <c r="F773" s="13">
        <f>'Приложение_7 '!G968</f>
        <v>1512720</v>
      </c>
      <c r="G773" s="2"/>
      <c r="I773" s="13">
        <v>2262720</v>
      </c>
      <c r="J773" s="2"/>
      <c r="L773" s="114">
        <f t="shared" si="22"/>
        <v>-750000</v>
      </c>
      <c r="M773" s="114">
        <f t="shared" si="23"/>
        <v>0</v>
      </c>
    </row>
    <row r="774" spans="1:13" ht="31.5" outlineLevel="6">
      <c r="A774" s="19" t="s">
        <v>696</v>
      </c>
      <c r="B774" s="20" t="s">
        <v>165</v>
      </c>
      <c r="C774" s="20" t="s">
        <v>2</v>
      </c>
      <c r="D774" s="20" t="s">
        <v>336</v>
      </c>
      <c r="E774" s="20" t="s">
        <v>70</v>
      </c>
      <c r="F774" s="13">
        <f>'Приложение_7 '!G969</f>
        <v>3411000</v>
      </c>
      <c r="G774" s="2"/>
      <c r="I774" s="13">
        <v>2661000</v>
      </c>
      <c r="J774" s="2"/>
      <c r="L774" s="114">
        <f t="shared" si="22"/>
        <v>750000</v>
      </c>
      <c r="M774" s="114">
        <f t="shared" si="23"/>
        <v>0</v>
      </c>
    </row>
    <row r="775" spans="1:13" ht="47.25" outlineLevel="4">
      <c r="A775" s="19" t="s">
        <v>590</v>
      </c>
      <c r="B775" s="20" t="s">
        <v>165</v>
      </c>
      <c r="C775" s="20" t="s">
        <v>2</v>
      </c>
      <c r="D775" s="20" t="s">
        <v>337</v>
      </c>
      <c r="E775" s="20" t="s">
        <v>1</v>
      </c>
      <c r="F775" s="13">
        <f>F776+F778+F780+F782</f>
        <v>116681059.71000001</v>
      </c>
      <c r="G775" s="13">
        <f>G776+G778+G780+G782</f>
        <v>11590400.52</v>
      </c>
      <c r="I775" s="13">
        <v>116631059.71</v>
      </c>
      <c r="J775" s="2">
        <f>J778</f>
        <v>11540400.52</v>
      </c>
      <c r="L775" s="114">
        <f t="shared" si="22"/>
        <v>50000.0000000149</v>
      </c>
      <c r="M775" s="114">
        <f t="shared" si="23"/>
        <v>50000</v>
      </c>
    </row>
    <row r="776" spans="1:13" ht="63" outlineLevel="5">
      <c r="A776" s="19" t="s">
        <v>443</v>
      </c>
      <c r="B776" s="20" t="s">
        <v>165</v>
      </c>
      <c r="C776" s="20" t="s">
        <v>2</v>
      </c>
      <c r="D776" s="20" t="s">
        <v>338</v>
      </c>
      <c r="E776" s="20" t="s">
        <v>1</v>
      </c>
      <c r="F776" s="13">
        <f>F777</f>
        <v>98897170.43</v>
      </c>
      <c r="G776" s="2"/>
      <c r="I776" s="13">
        <v>98897170.43</v>
      </c>
      <c r="J776" s="2"/>
      <c r="L776" s="114">
        <f t="shared" si="22"/>
        <v>0</v>
      </c>
      <c r="M776" s="114">
        <f t="shared" si="23"/>
        <v>0</v>
      </c>
    </row>
    <row r="777" spans="1:13" ht="31.5" outlineLevel="6">
      <c r="A777" s="19" t="s">
        <v>696</v>
      </c>
      <c r="B777" s="20" t="s">
        <v>165</v>
      </c>
      <c r="C777" s="20" t="s">
        <v>2</v>
      </c>
      <c r="D777" s="20" t="s">
        <v>338</v>
      </c>
      <c r="E777" s="20" t="s">
        <v>70</v>
      </c>
      <c r="F777" s="13">
        <f>'Приложение_7 '!G972</f>
        <v>98897170.43</v>
      </c>
      <c r="G777" s="2"/>
      <c r="I777" s="13">
        <v>98897170.43</v>
      </c>
      <c r="J777" s="2"/>
      <c r="L777" s="114">
        <f t="shared" si="22"/>
        <v>0</v>
      </c>
      <c r="M777" s="114">
        <f t="shared" si="23"/>
        <v>0</v>
      </c>
    </row>
    <row r="778" spans="1:13" ht="63" outlineLevel="5">
      <c r="A778" s="19" t="s">
        <v>465</v>
      </c>
      <c r="B778" s="20" t="s">
        <v>165</v>
      </c>
      <c r="C778" s="20" t="s">
        <v>2</v>
      </c>
      <c r="D778" s="20" t="s">
        <v>339</v>
      </c>
      <c r="E778" s="20" t="s">
        <v>1</v>
      </c>
      <c r="F778" s="13">
        <f>F779</f>
        <v>11540400.52</v>
      </c>
      <c r="G778" s="13">
        <f>G779</f>
        <v>11540400.52</v>
      </c>
      <c r="I778" s="13">
        <v>11540400.52</v>
      </c>
      <c r="J778" s="13">
        <v>11540400.52</v>
      </c>
      <c r="L778" s="114">
        <f t="shared" si="22"/>
        <v>0</v>
      </c>
      <c r="M778" s="114">
        <f t="shared" si="23"/>
        <v>0</v>
      </c>
    </row>
    <row r="779" spans="1:13" ht="31.5" outlineLevel="6">
      <c r="A779" s="19" t="s">
        <v>696</v>
      </c>
      <c r="B779" s="20" t="s">
        <v>165</v>
      </c>
      <c r="C779" s="20" t="s">
        <v>2</v>
      </c>
      <c r="D779" s="20" t="s">
        <v>339</v>
      </c>
      <c r="E779" s="20" t="s">
        <v>70</v>
      </c>
      <c r="F779" s="13">
        <f>'Приложение_7 '!G974</f>
        <v>11540400.52</v>
      </c>
      <c r="G779" s="13">
        <f>F779</f>
        <v>11540400.52</v>
      </c>
      <c r="I779" s="13">
        <v>11540400.52</v>
      </c>
      <c r="J779" s="13">
        <v>11540400.52</v>
      </c>
      <c r="L779" s="114">
        <f t="shared" si="22"/>
        <v>0</v>
      </c>
      <c r="M779" s="114">
        <f t="shared" si="23"/>
        <v>0</v>
      </c>
    </row>
    <row r="780" spans="1:13" ht="63" outlineLevel="5">
      <c r="A780" s="19" t="s">
        <v>465</v>
      </c>
      <c r="B780" s="20" t="s">
        <v>165</v>
      </c>
      <c r="C780" s="20" t="s">
        <v>2</v>
      </c>
      <c r="D780" s="20" t="s">
        <v>340</v>
      </c>
      <c r="E780" s="20" t="s">
        <v>1</v>
      </c>
      <c r="F780" s="13">
        <f>F781</f>
        <v>6193488.76</v>
      </c>
      <c r="G780" s="2"/>
      <c r="I780" s="13">
        <v>6193488.76</v>
      </c>
      <c r="J780" s="2"/>
      <c r="L780" s="114">
        <f t="shared" si="22"/>
        <v>0</v>
      </c>
      <c r="M780" s="114">
        <f t="shared" si="23"/>
        <v>0</v>
      </c>
    </row>
    <row r="781" spans="1:13" ht="31.5" outlineLevel="6">
      <c r="A781" s="19" t="s">
        <v>696</v>
      </c>
      <c r="B781" s="20" t="s">
        <v>165</v>
      </c>
      <c r="C781" s="20" t="s">
        <v>2</v>
      </c>
      <c r="D781" s="20" t="s">
        <v>340</v>
      </c>
      <c r="E781" s="20" t="s">
        <v>70</v>
      </c>
      <c r="F781" s="13">
        <f>'Приложение_7 '!G976</f>
        <v>6193488.76</v>
      </c>
      <c r="G781" s="2"/>
      <c r="I781" s="13">
        <v>6193488.76</v>
      </c>
      <c r="J781" s="2"/>
      <c r="L781" s="114">
        <f t="shared" si="22"/>
        <v>0</v>
      </c>
      <c r="M781" s="114">
        <f t="shared" si="23"/>
        <v>0</v>
      </c>
    </row>
    <row r="782" spans="1:13" ht="63" outlineLevel="6">
      <c r="A782" s="76" t="s">
        <v>1302</v>
      </c>
      <c r="B782" s="77" t="s">
        <v>165</v>
      </c>
      <c r="C782" s="77" t="s">
        <v>2</v>
      </c>
      <c r="D782" s="77" t="s">
        <v>1303</v>
      </c>
      <c r="E782" s="77" t="s">
        <v>1</v>
      </c>
      <c r="F782" s="13">
        <f>F783</f>
        <v>50000</v>
      </c>
      <c r="G782" s="2">
        <f>G783</f>
        <v>50000</v>
      </c>
      <c r="I782" s="13"/>
      <c r="J782" s="2"/>
      <c r="L782" s="114"/>
      <c r="M782" s="114"/>
    </row>
    <row r="783" spans="1:13" ht="31.5" outlineLevel="6">
      <c r="A783" s="76" t="s">
        <v>696</v>
      </c>
      <c r="B783" s="77" t="s">
        <v>165</v>
      </c>
      <c r="C783" s="77" t="s">
        <v>2</v>
      </c>
      <c r="D783" s="77" t="s">
        <v>1303</v>
      </c>
      <c r="E783" s="77" t="s">
        <v>70</v>
      </c>
      <c r="F783" s="13">
        <f>'Приложение_7 '!G978</f>
        <v>50000</v>
      </c>
      <c r="G783" s="2">
        <f>F783</f>
        <v>50000</v>
      </c>
      <c r="I783" s="13"/>
      <c r="J783" s="2"/>
      <c r="L783" s="114"/>
      <c r="M783" s="114"/>
    </row>
    <row r="784" spans="1:13" ht="15.75" outlineLevel="4">
      <c r="A784" s="19" t="s">
        <v>562</v>
      </c>
      <c r="B784" s="20" t="s">
        <v>165</v>
      </c>
      <c r="C784" s="20" t="s">
        <v>2</v>
      </c>
      <c r="D784" s="20" t="s">
        <v>341</v>
      </c>
      <c r="E784" s="20" t="s">
        <v>1</v>
      </c>
      <c r="F784" s="13">
        <f>F785</f>
        <v>1251082</v>
      </c>
      <c r="G784" s="2"/>
      <c r="I784" s="13">
        <v>1251082</v>
      </c>
      <c r="J784" s="2"/>
      <c r="L784" s="114">
        <f t="shared" si="22"/>
        <v>0</v>
      </c>
      <c r="M784" s="114">
        <f t="shared" si="23"/>
        <v>0</v>
      </c>
    </row>
    <row r="785" spans="1:13" ht="63" outlineLevel="5">
      <c r="A785" s="19" t="s">
        <v>432</v>
      </c>
      <c r="B785" s="20" t="s">
        <v>165</v>
      </c>
      <c r="C785" s="20" t="s">
        <v>2</v>
      </c>
      <c r="D785" s="20" t="s">
        <v>342</v>
      </c>
      <c r="E785" s="20" t="s">
        <v>1</v>
      </c>
      <c r="F785" s="13">
        <f>F786</f>
        <v>1251082</v>
      </c>
      <c r="G785" s="2"/>
      <c r="I785" s="13">
        <v>1251082</v>
      </c>
      <c r="J785" s="2"/>
      <c r="L785" s="114">
        <f t="shared" si="22"/>
        <v>0</v>
      </c>
      <c r="M785" s="114">
        <f t="shared" si="23"/>
        <v>0</v>
      </c>
    </row>
    <row r="786" spans="1:13" ht="31.5" outlineLevel="6">
      <c r="A786" s="19" t="s">
        <v>696</v>
      </c>
      <c r="B786" s="20" t="s">
        <v>165</v>
      </c>
      <c r="C786" s="20" t="s">
        <v>2</v>
      </c>
      <c r="D786" s="20" t="s">
        <v>342</v>
      </c>
      <c r="E786" s="20" t="s">
        <v>70</v>
      </c>
      <c r="F786" s="13">
        <f>'Приложение_7 '!G981</f>
        <v>1251082</v>
      </c>
      <c r="G786" s="2"/>
      <c r="I786" s="13">
        <v>1251082</v>
      </c>
      <c r="J786" s="2"/>
      <c r="L786" s="114">
        <f t="shared" si="22"/>
        <v>0</v>
      </c>
      <c r="M786" s="114">
        <f t="shared" si="23"/>
        <v>0</v>
      </c>
    </row>
    <row r="787" spans="1:13" ht="31.5" outlineLevel="3">
      <c r="A787" s="82" t="s">
        <v>650</v>
      </c>
      <c r="B787" s="83" t="s">
        <v>165</v>
      </c>
      <c r="C787" s="83" t="s">
        <v>2</v>
      </c>
      <c r="D787" s="83" t="s">
        <v>343</v>
      </c>
      <c r="E787" s="83" t="s">
        <v>1</v>
      </c>
      <c r="F787" s="12">
        <f>F788+F795+F798+F805+F808</f>
        <v>55045530.94</v>
      </c>
      <c r="G787" s="12">
        <f>G788+G795+G798+G805+G808</f>
        <v>5169783.29</v>
      </c>
      <c r="I787" s="12">
        <v>55011520.43</v>
      </c>
      <c r="J787" s="1">
        <f>J788</f>
        <v>5135772.78</v>
      </c>
      <c r="L787" s="114">
        <f t="shared" si="22"/>
        <v>34010.509999997914</v>
      </c>
      <c r="M787" s="114">
        <f t="shared" si="23"/>
        <v>34010.50999999978</v>
      </c>
    </row>
    <row r="788" spans="1:13" ht="47.25" outlineLevel="4">
      <c r="A788" s="19" t="s">
        <v>591</v>
      </c>
      <c r="B788" s="20" t="s">
        <v>165</v>
      </c>
      <c r="C788" s="20" t="s">
        <v>2</v>
      </c>
      <c r="D788" s="20" t="s">
        <v>344</v>
      </c>
      <c r="E788" s="20" t="s">
        <v>1</v>
      </c>
      <c r="F788" s="13">
        <f>F789+F791+F793</f>
        <v>44562339.87</v>
      </c>
      <c r="G788" s="13">
        <f>G789+G791+G793</f>
        <v>5135772.78</v>
      </c>
      <c r="I788" s="13">
        <v>44562339.87</v>
      </c>
      <c r="J788" s="2">
        <f>J791</f>
        <v>5135772.78</v>
      </c>
      <c r="L788" s="114">
        <f t="shared" si="22"/>
        <v>0</v>
      </c>
      <c r="M788" s="114">
        <f t="shared" si="23"/>
        <v>0</v>
      </c>
    </row>
    <row r="789" spans="1:13" ht="63" outlineLevel="5">
      <c r="A789" s="19" t="s">
        <v>443</v>
      </c>
      <c r="B789" s="20" t="s">
        <v>165</v>
      </c>
      <c r="C789" s="20" t="s">
        <v>2</v>
      </c>
      <c r="D789" s="20" t="s">
        <v>345</v>
      </c>
      <c r="E789" s="20" t="s">
        <v>1</v>
      </c>
      <c r="F789" s="13">
        <f>F790</f>
        <v>37937563.69</v>
      </c>
      <c r="G789" s="13"/>
      <c r="I789" s="13">
        <v>37937563.69</v>
      </c>
      <c r="J789" s="13"/>
      <c r="L789" s="114">
        <f t="shared" si="22"/>
        <v>0</v>
      </c>
      <c r="M789" s="114">
        <f t="shared" si="23"/>
        <v>0</v>
      </c>
    </row>
    <row r="790" spans="1:13" ht="31.5" outlineLevel="6">
      <c r="A790" s="19" t="s">
        <v>696</v>
      </c>
      <c r="B790" s="20" t="s">
        <v>165</v>
      </c>
      <c r="C790" s="20" t="s">
        <v>2</v>
      </c>
      <c r="D790" s="20" t="s">
        <v>345</v>
      </c>
      <c r="E790" s="20" t="s">
        <v>70</v>
      </c>
      <c r="F790" s="13">
        <f>'Приложение_7 '!G985</f>
        <v>37937563.69</v>
      </c>
      <c r="G790" s="13"/>
      <c r="I790" s="13">
        <v>37937563.69</v>
      </c>
      <c r="J790" s="13"/>
      <c r="L790" s="114">
        <f t="shared" si="22"/>
        <v>0</v>
      </c>
      <c r="M790" s="114">
        <f t="shared" si="23"/>
        <v>0</v>
      </c>
    </row>
    <row r="791" spans="1:13" ht="63" outlineLevel="5">
      <c r="A791" s="19" t="s">
        <v>465</v>
      </c>
      <c r="B791" s="20" t="s">
        <v>165</v>
      </c>
      <c r="C791" s="20" t="s">
        <v>2</v>
      </c>
      <c r="D791" s="20" t="s">
        <v>346</v>
      </c>
      <c r="E791" s="20" t="s">
        <v>1</v>
      </c>
      <c r="F791" s="13">
        <f>F792</f>
        <v>5135772.78</v>
      </c>
      <c r="G791" s="13">
        <f>G792</f>
        <v>5135772.78</v>
      </c>
      <c r="I791" s="13">
        <v>5135772.78</v>
      </c>
      <c r="J791" s="13">
        <v>5135772.78</v>
      </c>
      <c r="L791" s="114">
        <f t="shared" si="22"/>
        <v>0</v>
      </c>
      <c r="M791" s="114">
        <f t="shared" si="23"/>
        <v>0</v>
      </c>
    </row>
    <row r="792" spans="1:13" ht="31.5" outlineLevel="6">
      <c r="A792" s="19" t="s">
        <v>696</v>
      </c>
      <c r="B792" s="20" t="s">
        <v>165</v>
      </c>
      <c r="C792" s="20" t="s">
        <v>2</v>
      </c>
      <c r="D792" s="20" t="s">
        <v>346</v>
      </c>
      <c r="E792" s="20" t="s">
        <v>70</v>
      </c>
      <c r="F792" s="13">
        <f>'Приложение_7 '!G987</f>
        <v>5135772.78</v>
      </c>
      <c r="G792" s="13">
        <f>F792</f>
        <v>5135772.78</v>
      </c>
      <c r="I792" s="13">
        <v>5135772.78</v>
      </c>
      <c r="J792" s="13">
        <v>5135772.78</v>
      </c>
      <c r="L792" s="114">
        <f t="shared" si="22"/>
        <v>0</v>
      </c>
      <c r="M792" s="114">
        <f t="shared" si="23"/>
        <v>0</v>
      </c>
    </row>
    <row r="793" spans="1:13" ht="63" outlineLevel="5">
      <c r="A793" s="19" t="s">
        <v>465</v>
      </c>
      <c r="B793" s="20" t="s">
        <v>165</v>
      </c>
      <c r="C793" s="20" t="s">
        <v>2</v>
      </c>
      <c r="D793" s="20" t="s">
        <v>347</v>
      </c>
      <c r="E793" s="20" t="s">
        <v>1</v>
      </c>
      <c r="F793" s="13">
        <f>F794</f>
        <v>1489003.4</v>
      </c>
      <c r="G793" s="2"/>
      <c r="I793" s="13">
        <v>1489003.4</v>
      </c>
      <c r="J793" s="2"/>
      <c r="L793" s="114">
        <f t="shared" si="22"/>
        <v>0</v>
      </c>
      <c r="M793" s="114">
        <f t="shared" si="23"/>
        <v>0</v>
      </c>
    </row>
    <row r="794" spans="1:13" ht="31.5" outlineLevel="6">
      <c r="A794" s="19" t="s">
        <v>696</v>
      </c>
      <c r="B794" s="20" t="s">
        <v>165</v>
      </c>
      <c r="C794" s="20" t="s">
        <v>2</v>
      </c>
      <c r="D794" s="20" t="s">
        <v>347</v>
      </c>
      <c r="E794" s="20" t="s">
        <v>70</v>
      </c>
      <c r="F794" s="13">
        <f>'Приложение_7 '!G989</f>
        <v>1489003.4</v>
      </c>
      <c r="G794" s="2"/>
      <c r="I794" s="13">
        <v>1489003.4</v>
      </c>
      <c r="J794" s="2"/>
      <c r="L794" s="114">
        <f t="shared" si="22"/>
        <v>0</v>
      </c>
      <c r="M794" s="114">
        <f t="shared" si="23"/>
        <v>0</v>
      </c>
    </row>
    <row r="795" spans="1:13" ht="15.75" outlineLevel="4">
      <c r="A795" s="19" t="s">
        <v>562</v>
      </c>
      <c r="B795" s="20" t="s">
        <v>165</v>
      </c>
      <c r="C795" s="20" t="s">
        <v>2</v>
      </c>
      <c r="D795" s="20" t="s">
        <v>348</v>
      </c>
      <c r="E795" s="20" t="s">
        <v>1</v>
      </c>
      <c r="F795" s="13">
        <f>F796</f>
        <v>949162</v>
      </c>
      <c r="G795" s="2"/>
      <c r="I795" s="13">
        <v>949162</v>
      </c>
      <c r="J795" s="2"/>
      <c r="L795" s="114">
        <f t="shared" si="22"/>
        <v>0</v>
      </c>
      <c r="M795" s="114">
        <f t="shared" si="23"/>
        <v>0</v>
      </c>
    </row>
    <row r="796" spans="1:13" ht="63" outlineLevel="5">
      <c r="A796" s="19" t="s">
        <v>432</v>
      </c>
      <c r="B796" s="20" t="s">
        <v>165</v>
      </c>
      <c r="C796" s="20" t="s">
        <v>2</v>
      </c>
      <c r="D796" s="20" t="s">
        <v>349</v>
      </c>
      <c r="E796" s="20" t="s">
        <v>1</v>
      </c>
      <c r="F796" s="13">
        <f>F797</f>
        <v>949162</v>
      </c>
      <c r="G796" s="2"/>
      <c r="I796" s="13">
        <v>949162</v>
      </c>
      <c r="J796" s="2"/>
      <c r="L796" s="114">
        <f t="shared" si="22"/>
        <v>0</v>
      </c>
      <c r="M796" s="114">
        <f t="shared" si="23"/>
        <v>0</v>
      </c>
    </row>
    <row r="797" spans="1:13" ht="31.5" outlineLevel="6">
      <c r="A797" s="19" t="s">
        <v>696</v>
      </c>
      <c r="B797" s="20" t="s">
        <v>165</v>
      </c>
      <c r="C797" s="20" t="s">
        <v>2</v>
      </c>
      <c r="D797" s="20" t="s">
        <v>349</v>
      </c>
      <c r="E797" s="20" t="s">
        <v>70</v>
      </c>
      <c r="F797" s="13">
        <f>'Приложение_7 '!G992</f>
        <v>949162</v>
      </c>
      <c r="G797" s="2"/>
      <c r="I797" s="13">
        <v>949162</v>
      </c>
      <c r="J797" s="2"/>
      <c r="L797" s="114">
        <f t="shared" si="22"/>
        <v>0</v>
      </c>
      <c r="M797" s="114">
        <f t="shared" si="23"/>
        <v>0</v>
      </c>
    </row>
    <row r="798" spans="1:13" ht="47.25" outlineLevel="4">
      <c r="A798" s="19" t="s">
        <v>592</v>
      </c>
      <c r="B798" s="20" t="s">
        <v>165</v>
      </c>
      <c r="C798" s="20" t="s">
        <v>2</v>
      </c>
      <c r="D798" s="20" t="s">
        <v>350</v>
      </c>
      <c r="E798" s="20" t="s">
        <v>1</v>
      </c>
      <c r="F798" s="13">
        <f>F799+F801+F803</f>
        <v>5282577.76</v>
      </c>
      <c r="G798" s="13">
        <f>G799+G801+G803</f>
        <v>34010.51</v>
      </c>
      <c r="I798" s="13">
        <v>5248567.25</v>
      </c>
      <c r="J798" s="2"/>
      <c r="L798" s="114">
        <f t="shared" si="22"/>
        <v>34010.50999999978</v>
      </c>
      <c r="M798" s="114">
        <f t="shared" si="23"/>
        <v>34010.51</v>
      </c>
    </row>
    <row r="799" spans="1:13" ht="63" outlineLevel="5">
      <c r="A799" s="19" t="s">
        <v>443</v>
      </c>
      <c r="B799" s="20" t="s">
        <v>165</v>
      </c>
      <c r="C799" s="20" t="s">
        <v>2</v>
      </c>
      <c r="D799" s="20" t="s">
        <v>351</v>
      </c>
      <c r="E799" s="20" t="s">
        <v>1</v>
      </c>
      <c r="F799" s="13">
        <f>F800</f>
        <v>4804616.25</v>
      </c>
      <c r="G799" s="2"/>
      <c r="I799" s="13">
        <v>5248567.25</v>
      </c>
      <c r="J799" s="2"/>
      <c r="L799" s="114">
        <f t="shared" si="22"/>
        <v>-443951</v>
      </c>
      <c r="M799" s="114">
        <f t="shared" si="23"/>
        <v>0</v>
      </c>
    </row>
    <row r="800" spans="1:13" ht="31.5" outlineLevel="6">
      <c r="A800" s="19" t="s">
        <v>696</v>
      </c>
      <c r="B800" s="20" t="s">
        <v>165</v>
      </c>
      <c r="C800" s="20" t="s">
        <v>2</v>
      </c>
      <c r="D800" s="20" t="s">
        <v>351</v>
      </c>
      <c r="E800" s="20" t="s">
        <v>70</v>
      </c>
      <c r="F800" s="13">
        <f>'Приложение_7 '!G995</f>
        <v>4804616.25</v>
      </c>
      <c r="G800" s="2"/>
      <c r="I800" s="13">
        <v>5248567.25</v>
      </c>
      <c r="J800" s="2"/>
      <c r="L800" s="114">
        <f t="shared" si="22"/>
        <v>-443951</v>
      </c>
      <c r="M800" s="114">
        <f t="shared" si="23"/>
        <v>0</v>
      </c>
    </row>
    <row r="801" spans="1:13" ht="78.75" outlineLevel="6">
      <c r="A801" s="76" t="s">
        <v>1256</v>
      </c>
      <c r="B801" s="77" t="s">
        <v>165</v>
      </c>
      <c r="C801" s="77" t="s">
        <v>2</v>
      </c>
      <c r="D801" s="77" t="s">
        <v>1257</v>
      </c>
      <c r="E801" s="77" t="s">
        <v>1</v>
      </c>
      <c r="F801" s="13">
        <f>F802</f>
        <v>443951</v>
      </c>
      <c r="G801" s="2"/>
      <c r="I801" s="13"/>
      <c r="J801" s="2"/>
      <c r="L801" s="114"/>
      <c r="M801" s="114"/>
    </row>
    <row r="802" spans="1:13" ht="31.5" outlineLevel="6">
      <c r="A802" s="76" t="s">
        <v>696</v>
      </c>
      <c r="B802" s="77" t="s">
        <v>165</v>
      </c>
      <c r="C802" s="77" t="s">
        <v>2</v>
      </c>
      <c r="D802" s="77" t="s">
        <v>1257</v>
      </c>
      <c r="E802" s="77" t="s">
        <v>70</v>
      </c>
      <c r="F802" s="13">
        <f>'Приложение_7 '!G997</f>
        <v>443951</v>
      </c>
      <c r="G802" s="2"/>
      <c r="I802" s="13"/>
      <c r="J802" s="2"/>
      <c r="L802" s="114"/>
      <c r="M802" s="114"/>
    </row>
    <row r="803" spans="1:13" ht="78.75" outlineLevel="6">
      <c r="A803" s="76" t="s">
        <v>1256</v>
      </c>
      <c r="B803" s="77" t="s">
        <v>165</v>
      </c>
      <c r="C803" s="77" t="s">
        <v>2</v>
      </c>
      <c r="D803" s="77" t="s">
        <v>1258</v>
      </c>
      <c r="E803" s="77" t="s">
        <v>1</v>
      </c>
      <c r="F803" s="13">
        <f>F804</f>
        <v>34010.51</v>
      </c>
      <c r="G803" s="2">
        <f>G804</f>
        <v>34010.51</v>
      </c>
      <c r="I803" s="13"/>
      <c r="J803" s="2"/>
      <c r="L803" s="114"/>
      <c r="M803" s="114"/>
    </row>
    <row r="804" spans="1:13" ht="31.5" outlineLevel="6">
      <c r="A804" s="76" t="s">
        <v>696</v>
      </c>
      <c r="B804" s="77" t="s">
        <v>165</v>
      </c>
      <c r="C804" s="77" t="s">
        <v>2</v>
      </c>
      <c r="D804" s="77" t="s">
        <v>1258</v>
      </c>
      <c r="E804" s="77" t="s">
        <v>70</v>
      </c>
      <c r="F804" s="13">
        <f>'Приложение_7 '!G999</f>
        <v>34010.51</v>
      </c>
      <c r="G804" s="2">
        <f>F804</f>
        <v>34010.51</v>
      </c>
      <c r="I804" s="13"/>
      <c r="J804" s="2"/>
      <c r="L804" s="114"/>
      <c r="M804" s="114"/>
    </row>
    <row r="805" spans="1:13" ht="31.5" outlineLevel="4">
      <c r="A805" s="19" t="s">
        <v>593</v>
      </c>
      <c r="B805" s="20" t="s">
        <v>165</v>
      </c>
      <c r="C805" s="20" t="s">
        <v>2</v>
      </c>
      <c r="D805" s="20" t="s">
        <v>352</v>
      </c>
      <c r="E805" s="20" t="s">
        <v>1</v>
      </c>
      <c r="F805" s="13">
        <f>F806</f>
        <v>4142944.31</v>
      </c>
      <c r="G805" s="2"/>
      <c r="I805" s="13">
        <v>4142944.31</v>
      </c>
      <c r="J805" s="2"/>
      <c r="L805" s="114">
        <f t="shared" si="22"/>
        <v>0</v>
      </c>
      <c r="M805" s="114">
        <f t="shared" si="23"/>
        <v>0</v>
      </c>
    </row>
    <row r="806" spans="1:13" ht="63" outlineLevel="5">
      <c r="A806" s="19" t="s">
        <v>443</v>
      </c>
      <c r="B806" s="20" t="s">
        <v>165</v>
      </c>
      <c r="C806" s="20" t="s">
        <v>2</v>
      </c>
      <c r="D806" s="20" t="s">
        <v>353</v>
      </c>
      <c r="E806" s="20" t="s">
        <v>1</v>
      </c>
      <c r="F806" s="13">
        <f>F807</f>
        <v>4142944.31</v>
      </c>
      <c r="G806" s="2"/>
      <c r="I806" s="13">
        <v>4142944.31</v>
      </c>
      <c r="J806" s="2"/>
      <c r="L806" s="114">
        <f t="shared" si="22"/>
        <v>0</v>
      </c>
      <c r="M806" s="114">
        <f t="shared" si="23"/>
        <v>0</v>
      </c>
    </row>
    <row r="807" spans="1:13" ht="31.5" outlineLevel="6">
      <c r="A807" s="19" t="s">
        <v>696</v>
      </c>
      <c r="B807" s="20" t="s">
        <v>165</v>
      </c>
      <c r="C807" s="20" t="s">
        <v>2</v>
      </c>
      <c r="D807" s="20" t="s">
        <v>353</v>
      </c>
      <c r="E807" s="20" t="s">
        <v>70</v>
      </c>
      <c r="F807" s="13">
        <f>'Приложение_7 '!G1002</f>
        <v>4142944.31</v>
      </c>
      <c r="G807" s="2"/>
      <c r="I807" s="13">
        <v>4142944.31</v>
      </c>
      <c r="J807" s="2"/>
      <c r="L807" s="114">
        <f t="shared" si="22"/>
        <v>0</v>
      </c>
      <c r="M807" s="114">
        <f t="shared" si="23"/>
        <v>0</v>
      </c>
    </row>
    <row r="808" spans="1:13" ht="31.5" outlineLevel="4">
      <c r="A808" s="19" t="s">
        <v>594</v>
      </c>
      <c r="B808" s="20" t="s">
        <v>165</v>
      </c>
      <c r="C808" s="20" t="s">
        <v>2</v>
      </c>
      <c r="D808" s="20" t="s">
        <v>354</v>
      </c>
      <c r="E808" s="20" t="s">
        <v>1</v>
      </c>
      <c r="F808" s="13">
        <f>F809</f>
        <v>108507</v>
      </c>
      <c r="G808" s="2"/>
      <c r="I808" s="13">
        <v>108507</v>
      </c>
      <c r="J808" s="2"/>
      <c r="L808" s="114">
        <f t="shared" si="22"/>
        <v>0</v>
      </c>
      <c r="M808" s="114">
        <f t="shared" si="23"/>
        <v>0</v>
      </c>
    </row>
    <row r="809" spans="1:13" ht="63" outlineLevel="5">
      <c r="A809" s="19" t="s">
        <v>443</v>
      </c>
      <c r="B809" s="20" t="s">
        <v>165</v>
      </c>
      <c r="C809" s="20" t="s">
        <v>2</v>
      </c>
      <c r="D809" s="20" t="s">
        <v>355</v>
      </c>
      <c r="E809" s="20" t="s">
        <v>1</v>
      </c>
      <c r="F809" s="13">
        <f>F810</f>
        <v>108507</v>
      </c>
      <c r="G809" s="2"/>
      <c r="I809" s="13">
        <v>108507</v>
      </c>
      <c r="J809" s="2"/>
      <c r="L809" s="114">
        <f t="shared" si="22"/>
        <v>0</v>
      </c>
      <c r="M809" s="114">
        <f t="shared" si="23"/>
        <v>0</v>
      </c>
    </row>
    <row r="810" spans="1:13" ht="31.5" outlineLevel="6">
      <c r="A810" s="19" t="s">
        <v>696</v>
      </c>
      <c r="B810" s="20" t="s">
        <v>165</v>
      </c>
      <c r="C810" s="20" t="s">
        <v>2</v>
      </c>
      <c r="D810" s="20" t="s">
        <v>355</v>
      </c>
      <c r="E810" s="20" t="s">
        <v>70</v>
      </c>
      <c r="F810" s="13">
        <f>'Приложение_7 '!G1005</f>
        <v>108507</v>
      </c>
      <c r="G810" s="1"/>
      <c r="I810" s="13">
        <v>108507</v>
      </c>
      <c r="J810" s="1"/>
      <c r="L810" s="114">
        <f t="shared" si="22"/>
        <v>0</v>
      </c>
      <c r="M810" s="114">
        <f t="shared" si="23"/>
        <v>0</v>
      </c>
    </row>
    <row r="811" spans="1:13" ht="31.5" outlineLevel="3">
      <c r="A811" s="82" t="s">
        <v>651</v>
      </c>
      <c r="B811" s="83" t="s">
        <v>165</v>
      </c>
      <c r="C811" s="83" t="s">
        <v>2</v>
      </c>
      <c r="D811" s="83" t="s">
        <v>356</v>
      </c>
      <c r="E811" s="83" t="s">
        <v>1</v>
      </c>
      <c r="F811" s="12">
        <f>F812+F815+F822+F829</f>
        <v>15626673.809999999</v>
      </c>
      <c r="G811" s="12">
        <f>G812+G815+G822+G829</f>
        <v>1316946.22</v>
      </c>
      <c r="I811" s="12">
        <v>15626673.81</v>
      </c>
      <c r="J811" s="1">
        <f>J815+J822</f>
        <v>1316946.22</v>
      </c>
      <c r="L811" s="114">
        <f t="shared" si="22"/>
        <v>0</v>
      </c>
      <c r="M811" s="114">
        <f t="shared" si="23"/>
        <v>0</v>
      </c>
    </row>
    <row r="812" spans="1:13" ht="47.25" outlineLevel="4">
      <c r="A812" s="19" t="s">
        <v>595</v>
      </c>
      <c r="B812" s="20" t="s">
        <v>165</v>
      </c>
      <c r="C812" s="20" t="s">
        <v>2</v>
      </c>
      <c r="D812" s="20" t="s">
        <v>357</v>
      </c>
      <c r="E812" s="20" t="s">
        <v>1</v>
      </c>
      <c r="F812" s="13">
        <f>F813</f>
        <v>403464</v>
      </c>
      <c r="G812" s="2"/>
      <c r="I812" s="13">
        <v>403464</v>
      </c>
      <c r="J812" s="2"/>
      <c r="L812" s="114">
        <f t="shared" si="22"/>
        <v>0</v>
      </c>
      <c r="M812" s="114">
        <f t="shared" si="23"/>
        <v>0</v>
      </c>
    </row>
    <row r="813" spans="1:13" ht="63" outlineLevel="5">
      <c r="A813" s="19" t="s">
        <v>443</v>
      </c>
      <c r="B813" s="20" t="s">
        <v>165</v>
      </c>
      <c r="C813" s="20" t="s">
        <v>2</v>
      </c>
      <c r="D813" s="20" t="s">
        <v>358</v>
      </c>
      <c r="E813" s="20" t="s">
        <v>1</v>
      </c>
      <c r="F813" s="13">
        <f>F814</f>
        <v>403464</v>
      </c>
      <c r="G813" s="2"/>
      <c r="I813" s="13">
        <v>403464</v>
      </c>
      <c r="J813" s="2"/>
      <c r="L813" s="114">
        <f t="shared" si="22"/>
        <v>0</v>
      </c>
      <c r="M813" s="114">
        <f t="shared" si="23"/>
        <v>0</v>
      </c>
    </row>
    <row r="814" spans="1:13" ht="31.5" outlineLevel="6">
      <c r="A814" s="19" t="s">
        <v>696</v>
      </c>
      <c r="B814" s="20" t="s">
        <v>165</v>
      </c>
      <c r="C814" s="20" t="s">
        <v>2</v>
      </c>
      <c r="D814" s="20" t="s">
        <v>358</v>
      </c>
      <c r="E814" s="20" t="s">
        <v>70</v>
      </c>
      <c r="F814" s="13">
        <f>'Приложение_7 '!G1009</f>
        <v>403464</v>
      </c>
      <c r="G814" s="2"/>
      <c r="I814" s="13">
        <v>403464</v>
      </c>
      <c r="J814" s="2"/>
      <c r="L814" s="114">
        <f t="shared" si="22"/>
        <v>0</v>
      </c>
      <c r="M814" s="114">
        <f t="shared" si="23"/>
        <v>0</v>
      </c>
    </row>
    <row r="815" spans="1:13" ht="31.5" outlineLevel="4">
      <c r="A815" s="19" t="s">
        <v>596</v>
      </c>
      <c r="B815" s="20" t="s">
        <v>165</v>
      </c>
      <c r="C815" s="20" t="s">
        <v>2</v>
      </c>
      <c r="D815" s="20" t="s">
        <v>359</v>
      </c>
      <c r="E815" s="20" t="s">
        <v>1</v>
      </c>
      <c r="F815" s="13">
        <f>F816+F818+F820</f>
        <v>10653011.069999998</v>
      </c>
      <c r="G815" s="13">
        <f>G816+G818+G820</f>
        <v>940214.59</v>
      </c>
      <c r="I815" s="13">
        <v>10653011.07</v>
      </c>
      <c r="J815" s="2">
        <f>J818</f>
        <v>940214.59</v>
      </c>
      <c r="L815" s="114">
        <f t="shared" si="22"/>
        <v>0</v>
      </c>
      <c r="M815" s="114">
        <f t="shared" si="23"/>
        <v>0</v>
      </c>
    </row>
    <row r="816" spans="1:13" ht="63" outlineLevel="5">
      <c r="A816" s="19" t="s">
        <v>443</v>
      </c>
      <c r="B816" s="20" t="s">
        <v>165</v>
      </c>
      <c r="C816" s="20" t="s">
        <v>2</v>
      </c>
      <c r="D816" s="20" t="s">
        <v>360</v>
      </c>
      <c r="E816" s="20" t="s">
        <v>1</v>
      </c>
      <c r="F816" s="13">
        <f>F817</f>
        <v>9438953.53</v>
      </c>
      <c r="G816" s="13"/>
      <c r="I816" s="13">
        <v>9438953.53</v>
      </c>
      <c r="J816" s="13"/>
      <c r="L816" s="114">
        <f t="shared" si="22"/>
        <v>0</v>
      </c>
      <c r="M816" s="114">
        <f t="shared" si="23"/>
        <v>0</v>
      </c>
    </row>
    <row r="817" spans="1:13" ht="31.5" outlineLevel="6">
      <c r="A817" s="19" t="s">
        <v>696</v>
      </c>
      <c r="B817" s="20" t="s">
        <v>165</v>
      </c>
      <c r="C817" s="20" t="s">
        <v>2</v>
      </c>
      <c r="D817" s="20" t="s">
        <v>360</v>
      </c>
      <c r="E817" s="20" t="s">
        <v>70</v>
      </c>
      <c r="F817" s="13">
        <f>'Приложение_7 '!G1012</f>
        <v>9438953.53</v>
      </c>
      <c r="G817" s="13"/>
      <c r="I817" s="13">
        <v>9438953.53</v>
      </c>
      <c r="J817" s="13"/>
      <c r="L817" s="114">
        <f t="shared" si="22"/>
        <v>0</v>
      </c>
      <c r="M817" s="114">
        <f t="shared" si="23"/>
        <v>0</v>
      </c>
    </row>
    <row r="818" spans="1:13" ht="63" outlineLevel="5">
      <c r="A818" s="19" t="s">
        <v>465</v>
      </c>
      <c r="B818" s="20" t="s">
        <v>165</v>
      </c>
      <c r="C818" s="20" t="s">
        <v>2</v>
      </c>
      <c r="D818" s="20" t="s">
        <v>361</v>
      </c>
      <c r="E818" s="20" t="s">
        <v>1</v>
      </c>
      <c r="F818" s="13">
        <f>F819</f>
        <v>940214.59</v>
      </c>
      <c r="G818" s="13">
        <f>G819</f>
        <v>940214.59</v>
      </c>
      <c r="I818" s="13">
        <v>940214.59</v>
      </c>
      <c r="J818" s="13">
        <v>940214.59</v>
      </c>
      <c r="L818" s="114">
        <f t="shared" si="22"/>
        <v>0</v>
      </c>
      <c r="M818" s="114">
        <f t="shared" si="23"/>
        <v>0</v>
      </c>
    </row>
    <row r="819" spans="1:13" ht="31.5" outlineLevel="6">
      <c r="A819" s="19" t="s">
        <v>696</v>
      </c>
      <c r="B819" s="20" t="s">
        <v>165</v>
      </c>
      <c r="C819" s="20" t="s">
        <v>2</v>
      </c>
      <c r="D819" s="20" t="s">
        <v>361</v>
      </c>
      <c r="E819" s="20" t="s">
        <v>70</v>
      </c>
      <c r="F819" s="13">
        <f>'Приложение_7 '!G1014</f>
        <v>940214.59</v>
      </c>
      <c r="G819" s="13">
        <f>F819</f>
        <v>940214.59</v>
      </c>
      <c r="I819" s="13">
        <v>940214.59</v>
      </c>
      <c r="J819" s="13">
        <v>940214.59</v>
      </c>
      <c r="L819" s="114">
        <f t="shared" si="22"/>
        <v>0</v>
      </c>
      <c r="M819" s="114">
        <f t="shared" si="23"/>
        <v>0</v>
      </c>
    </row>
    <row r="820" spans="1:13" ht="63" outlineLevel="5">
      <c r="A820" s="19" t="s">
        <v>465</v>
      </c>
      <c r="B820" s="20" t="s">
        <v>165</v>
      </c>
      <c r="C820" s="20" t="s">
        <v>2</v>
      </c>
      <c r="D820" s="20" t="s">
        <v>362</v>
      </c>
      <c r="E820" s="20" t="s">
        <v>1</v>
      </c>
      <c r="F820" s="13">
        <f>F821</f>
        <v>273842.95</v>
      </c>
      <c r="G820" s="2"/>
      <c r="I820" s="13">
        <v>273842.95</v>
      </c>
      <c r="J820" s="2"/>
      <c r="L820" s="114">
        <f t="shared" si="22"/>
        <v>0</v>
      </c>
      <c r="M820" s="114">
        <f t="shared" si="23"/>
        <v>0</v>
      </c>
    </row>
    <row r="821" spans="1:13" ht="31.5" outlineLevel="6">
      <c r="A821" s="19" t="s">
        <v>696</v>
      </c>
      <c r="B821" s="20" t="s">
        <v>165</v>
      </c>
      <c r="C821" s="20" t="s">
        <v>2</v>
      </c>
      <c r="D821" s="20" t="s">
        <v>362</v>
      </c>
      <c r="E821" s="20" t="s">
        <v>70</v>
      </c>
      <c r="F821" s="13">
        <f>'Приложение_7 '!G1016</f>
        <v>273842.95</v>
      </c>
      <c r="G821" s="2"/>
      <c r="I821" s="13">
        <v>273842.95</v>
      </c>
      <c r="J821" s="2"/>
      <c r="L821" s="114">
        <f t="shared" si="22"/>
        <v>0</v>
      </c>
      <c r="M821" s="114">
        <f t="shared" si="23"/>
        <v>0</v>
      </c>
    </row>
    <row r="822" spans="1:13" ht="31.5" outlineLevel="4">
      <c r="A822" s="19" t="s">
        <v>597</v>
      </c>
      <c r="B822" s="20" t="s">
        <v>165</v>
      </c>
      <c r="C822" s="20" t="s">
        <v>2</v>
      </c>
      <c r="D822" s="20" t="s">
        <v>363</v>
      </c>
      <c r="E822" s="20" t="s">
        <v>1</v>
      </c>
      <c r="F822" s="13">
        <f>F823+F825+F827</f>
        <v>4226312.74</v>
      </c>
      <c r="G822" s="13">
        <f>G823+G825+G827</f>
        <v>376731.63</v>
      </c>
      <c r="I822" s="13">
        <v>4226312.74</v>
      </c>
      <c r="J822" s="2">
        <f>J825</f>
        <v>376731.63</v>
      </c>
      <c r="L822" s="114">
        <f t="shared" si="22"/>
        <v>0</v>
      </c>
      <c r="M822" s="114">
        <f t="shared" si="23"/>
        <v>0</v>
      </c>
    </row>
    <row r="823" spans="1:13" ht="63" outlineLevel="5">
      <c r="A823" s="19" t="s">
        <v>443</v>
      </c>
      <c r="B823" s="20" t="s">
        <v>165</v>
      </c>
      <c r="C823" s="20" t="s">
        <v>2</v>
      </c>
      <c r="D823" s="20" t="s">
        <v>364</v>
      </c>
      <c r="E823" s="20" t="s">
        <v>1</v>
      </c>
      <c r="F823" s="13">
        <f>F824</f>
        <v>3757081.49</v>
      </c>
      <c r="G823" s="2"/>
      <c r="I823" s="13">
        <v>3757081.49</v>
      </c>
      <c r="J823" s="2"/>
      <c r="L823" s="114">
        <f t="shared" si="22"/>
        <v>0</v>
      </c>
      <c r="M823" s="114">
        <f t="shared" si="23"/>
        <v>0</v>
      </c>
    </row>
    <row r="824" spans="1:13" ht="31.5" outlineLevel="6">
      <c r="A824" s="19" t="s">
        <v>696</v>
      </c>
      <c r="B824" s="20" t="s">
        <v>165</v>
      </c>
      <c r="C824" s="20" t="s">
        <v>2</v>
      </c>
      <c r="D824" s="20" t="s">
        <v>364</v>
      </c>
      <c r="E824" s="20" t="s">
        <v>70</v>
      </c>
      <c r="F824" s="13">
        <f>'Приложение_7 '!G1019</f>
        <v>3757081.49</v>
      </c>
      <c r="G824" s="2"/>
      <c r="I824" s="13">
        <v>3757081.49</v>
      </c>
      <c r="J824" s="2"/>
      <c r="L824" s="114">
        <f aca="true" t="shared" si="24" ref="L824:L887">F824-I824</f>
        <v>0</v>
      </c>
      <c r="M824" s="114">
        <f aca="true" t="shared" si="25" ref="M824:M887">G824-J824</f>
        <v>0</v>
      </c>
    </row>
    <row r="825" spans="1:13" ht="63" outlineLevel="5">
      <c r="A825" s="19" t="s">
        <v>465</v>
      </c>
      <c r="B825" s="20" t="s">
        <v>165</v>
      </c>
      <c r="C825" s="20" t="s">
        <v>2</v>
      </c>
      <c r="D825" s="20" t="s">
        <v>365</v>
      </c>
      <c r="E825" s="20" t="s">
        <v>1</v>
      </c>
      <c r="F825" s="13">
        <f>F826</f>
        <v>376731.63</v>
      </c>
      <c r="G825" s="13">
        <f>G826</f>
        <v>376731.63</v>
      </c>
      <c r="I825" s="13">
        <v>376731.63</v>
      </c>
      <c r="J825" s="2">
        <f>J826</f>
        <v>376731.63</v>
      </c>
      <c r="L825" s="114">
        <f t="shared" si="24"/>
        <v>0</v>
      </c>
      <c r="M825" s="114">
        <f t="shared" si="25"/>
        <v>0</v>
      </c>
    </row>
    <row r="826" spans="1:13" ht="31.5" outlineLevel="6">
      <c r="A826" s="19" t="s">
        <v>696</v>
      </c>
      <c r="B826" s="20" t="s">
        <v>165</v>
      </c>
      <c r="C826" s="20" t="s">
        <v>2</v>
      </c>
      <c r="D826" s="20" t="s">
        <v>365</v>
      </c>
      <c r="E826" s="20" t="s">
        <v>70</v>
      </c>
      <c r="F826" s="13">
        <f>'Приложение_7 '!G1021</f>
        <v>376731.63</v>
      </c>
      <c r="G826" s="2">
        <f>F826</f>
        <v>376731.63</v>
      </c>
      <c r="I826" s="13">
        <v>376731.63</v>
      </c>
      <c r="J826" s="2">
        <f>I826</f>
        <v>376731.63</v>
      </c>
      <c r="L826" s="114">
        <f t="shared" si="24"/>
        <v>0</v>
      </c>
      <c r="M826" s="114">
        <f t="shared" si="25"/>
        <v>0</v>
      </c>
    </row>
    <row r="827" spans="1:13" ht="63" outlineLevel="5">
      <c r="A827" s="19" t="s">
        <v>465</v>
      </c>
      <c r="B827" s="20" t="s">
        <v>165</v>
      </c>
      <c r="C827" s="20" t="s">
        <v>2</v>
      </c>
      <c r="D827" s="20" t="s">
        <v>366</v>
      </c>
      <c r="E827" s="20" t="s">
        <v>1</v>
      </c>
      <c r="F827" s="13">
        <f>F828</f>
        <v>92499.62</v>
      </c>
      <c r="G827" s="2"/>
      <c r="I827" s="13">
        <v>92499.62</v>
      </c>
      <c r="J827" s="2"/>
      <c r="L827" s="114">
        <f t="shared" si="24"/>
        <v>0</v>
      </c>
      <c r="M827" s="114">
        <f t="shared" si="25"/>
        <v>0</v>
      </c>
    </row>
    <row r="828" spans="1:13" ht="31.5" outlineLevel="6">
      <c r="A828" s="19" t="s">
        <v>696</v>
      </c>
      <c r="B828" s="20" t="s">
        <v>165</v>
      </c>
      <c r="C828" s="20" t="s">
        <v>2</v>
      </c>
      <c r="D828" s="20" t="s">
        <v>366</v>
      </c>
      <c r="E828" s="20" t="s">
        <v>70</v>
      </c>
      <c r="F828" s="13">
        <f>'Приложение_7 '!G1023</f>
        <v>92499.62</v>
      </c>
      <c r="G828" s="2"/>
      <c r="I828" s="13">
        <v>92499.62</v>
      </c>
      <c r="J828" s="2"/>
      <c r="L828" s="114">
        <f t="shared" si="24"/>
        <v>0</v>
      </c>
      <c r="M828" s="114">
        <f t="shared" si="25"/>
        <v>0</v>
      </c>
    </row>
    <row r="829" spans="1:13" ht="15.75" outlineLevel="4">
      <c r="A829" s="19" t="s">
        <v>562</v>
      </c>
      <c r="B829" s="20" t="s">
        <v>165</v>
      </c>
      <c r="C829" s="20" t="s">
        <v>2</v>
      </c>
      <c r="D829" s="20" t="s">
        <v>367</v>
      </c>
      <c r="E829" s="20" t="s">
        <v>1</v>
      </c>
      <c r="F829" s="13">
        <f>F830</f>
        <v>343886</v>
      </c>
      <c r="G829" s="2"/>
      <c r="I829" s="13">
        <v>343886</v>
      </c>
      <c r="J829" s="2"/>
      <c r="L829" s="114">
        <f t="shared" si="24"/>
        <v>0</v>
      </c>
      <c r="M829" s="114">
        <f t="shared" si="25"/>
        <v>0</v>
      </c>
    </row>
    <row r="830" spans="1:13" ht="63" outlineLevel="5">
      <c r="A830" s="19" t="s">
        <v>432</v>
      </c>
      <c r="B830" s="20" t="s">
        <v>165</v>
      </c>
      <c r="C830" s="20" t="s">
        <v>2</v>
      </c>
      <c r="D830" s="20" t="s">
        <v>368</v>
      </c>
      <c r="E830" s="20" t="s">
        <v>1</v>
      </c>
      <c r="F830" s="13">
        <f>F831</f>
        <v>343886</v>
      </c>
      <c r="G830" s="2"/>
      <c r="I830" s="13">
        <v>343886</v>
      </c>
      <c r="J830" s="2"/>
      <c r="L830" s="114">
        <f t="shared" si="24"/>
        <v>0</v>
      </c>
      <c r="M830" s="114">
        <f t="shared" si="25"/>
        <v>0</v>
      </c>
    </row>
    <row r="831" spans="1:13" ht="31.5" outlineLevel="6">
      <c r="A831" s="19" t="s">
        <v>696</v>
      </c>
      <c r="B831" s="20" t="s">
        <v>165</v>
      </c>
      <c r="C831" s="20" t="s">
        <v>2</v>
      </c>
      <c r="D831" s="20" t="s">
        <v>368</v>
      </c>
      <c r="E831" s="20" t="s">
        <v>70</v>
      </c>
      <c r="F831" s="13">
        <f>'Приложение_7 '!G1026</f>
        <v>343886</v>
      </c>
      <c r="G831" s="2"/>
      <c r="I831" s="13">
        <v>343886</v>
      </c>
      <c r="J831" s="2"/>
      <c r="L831" s="114">
        <f t="shared" si="24"/>
        <v>0</v>
      </c>
      <c r="M831" s="114">
        <f t="shared" si="25"/>
        <v>0</v>
      </c>
    </row>
    <row r="832" spans="1:13" ht="47.25" outlineLevel="3">
      <c r="A832" s="82" t="s">
        <v>652</v>
      </c>
      <c r="B832" s="83" t="s">
        <v>165</v>
      </c>
      <c r="C832" s="83" t="s">
        <v>2</v>
      </c>
      <c r="D832" s="83" t="s">
        <v>369</v>
      </c>
      <c r="E832" s="83" t="s">
        <v>1</v>
      </c>
      <c r="F832" s="12">
        <f>F833</f>
        <v>20900918.44</v>
      </c>
      <c r="G832" s="1"/>
      <c r="I832" s="12">
        <v>1598226.92</v>
      </c>
      <c r="J832" s="1"/>
      <c r="L832" s="114">
        <f t="shared" si="24"/>
        <v>19302691.520000003</v>
      </c>
      <c r="M832" s="114">
        <f t="shared" si="25"/>
        <v>0</v>
      </c>
    </row>
    <row r="833" spans="1:13" ht="47.25" outlineLevel="4">
      <c r="A833" s="19" t="s">
        <v>598</v>
      </c>
      <c r="B833" s="20" t="s">
        <v>165</v>
      </c>
      <c r="C833" s="20" t="s">
        <v>2</v>
      </c>
      <c r="D833" s="20" t="s">
        <v>370</v>
      </c>
      <c r="E833" s="20" t="s">
        <v>1</v>
      </c>
      <c r="F833" s="13">
        <f>F834</f>
        <v>20900918.44</v>
      </c>
      <c r="G833" s="2"/>
      <c r="I833" s="13">
        <v>1598226.92</v>
      </c>
      <c r="J833" s="2"/>
      <c r="L833" s="114">
        <f t="shared" si="24"/>
        <v>19302691.520000003</v>
      </c>
      <c r="M833" s="114">
        <f t="shared" si="25"/>
        <v>0</v>
      </c>
    </row>
    <row r="834" spans="1:13" ht="31.5" outlineLevel="5">
      <c r="A834" s="19" t="s">
        <v>456</v>
      </c>
      <c r="B834" s="20" t="s">
        <v>165</v>
      </c>
      <c r="C834" s="20" t="s">
        <v>2</v>
      </c>
      <c r="D834" s="20" t="s">
        <v>371</v>
      </c>
      <c r="E834" s="20" t="s">
        <v>1</v>
      </c>
      <c r="F834" s="13">
        <f>F835</f>
        <v>20900918.44</v>
      </c>
      <c r="G834" s="2"/>
      <c r="I834" s="13">
        <v>1598226.92</v>
      </c>
      <c r="J834" s="2"/>
      <c r="L834" s="114">
        <f t="shared" si="24"/>
        <v>19302691.520000003</v>
      </c>
      <c r="M834" s="114">
        <f t="shared" si="25"/>
        <v>0</v>
      </c>
    </row>
    <row r="835" spans="1:13" ht="31.5" outlineLevel="6">
      <c r="A835" s="19" t="s">
        <v>696</v>
      </c>
      <c r="B835" s="20" t="s">
        <v>165</v>
      </c>
      <c r="C835" s="20" t="s">
        <v>2</v>
      </c>
      <c r="D835" s="20" t="s">
        <v>371</v>
      </c>
      <c r="E835" s="20" t="s">
        <v>70</v>
      </c>
      <c r="F835" s="13">
        <f>'Приложение_7 '!G1030</f>
        <v>20900918.44</v>
      </c>
      <c r="G835" s="2"/>
      <c r="I835" s="13">
        <v>1598226.92</v>
      </c>
      <c r="J835" s="2"/>
      <c r="L835" s="114">
        <f t="shared" si="24"/>
        <v>19302691.520000003</v>
      </c>
      <c r="M835" s="114">
        <f t="shared" si="25"/>
        <v>0</v>
      </c>
    </row>
    <row r="836" spans="1:13" ht="31.5" outlineLevel="2">
      <c r="A836" s="82" t="s">
        <v>659</v>
      </c>
      <c r="B836" s="83" t="s">
        <v>165</v>
      </c>
      <c r="C836" s="83" t="s">
        <v>2</v>
      </c>
      <c r="D836" s="83" t="s">
        <v>90</v>
      </c>
      <c r="E836" s="83" t="s">
        <v>1</v>
      </c>
      <c r="F836" s="12">
        <f>F837</f>
        <v>1008203</v>
      </c>
      <c r="G836" s="1"/>
      <c r="I836" s="12">
        <v>1008203</v>
      </c>
      <c r="J836" s="1"/>
      <c r="L836" s="114">
        <f t="shared" si="24"/>
        <v>0</v>
      </c>
      <c r="M836" s="114">
        <f t="shared" si="25"/>
        <v>0</v>
      </c>
    </row>
    <row r="837" spans="1:13" ht="47.25" outlineLevel="3">
      <c r="A837" s="82" t="s">
        <v>624</v>
      </c>
      <c r="B837" s="83" t="s">
        <v>165</v>
      </c>
      <c r="C837" s="83" t="s">
        <v>2</v>
      </c>
      <c r="D837" s="83" t="s">
        <v>91</v>
      </c>
      <c r="E837" s="83" t="s">
        <v>1</v>
      </c>
      <c r="F837" s="12">
        <f>F838</f>
        <v>1008203</v>
      </c>
      <c r="G837" s="1"/>
      <c r="I837" s="12">
        <v>1008203</v>
      </c>
      <c r="J837" s="1"/>
      <c r="L837" s="114">
        <f t="shared" si="24"/>
        <v>0</v>
      </c>
      <c r="M837" s="114">
        <f t="shared" si="25"/>
        <v>0</v>
      </c>
    </row>
    <row r="838" spans="1:13" ht="31.5" outlineLevel="4">
      <c r="A838" s="19" t="s">
        <v>510</v>
      </c>
      <c r="B838" s="20" t="s">
        <v>165</v>
      </c>
      <c r="C838" s="20" t="s">
        <v>2</v>
      </c>
      <c r="D838" s="20" t="s">
        <v>100</v>
      </c>
      <c r="E838" s="20" t="s">
        <v>1</v>
      </c>
      <c r="F838" s="13">
        <f>F839</f>
        <v>1008203</v>
      </c>
      <c r="G838" s="2"/>
      <c r="I838" s="13">
        <v>1008203</v>
      </c>
      <c r="J838" s="2"/>
      <c r="L838" s="114">
        <f t="shared" si="24"/>
        <v>0</v>
      </c>
      <c r="M838" s="114">
        <f t="shared" si="25"/>
        <v>0</v>
      </c>
    </row>
    <row r="839" spans="1:13" ht="31.5" outlineLevel="5">
      <c r="A839" s="19" t="s">
        <v>441</v>
      </c>
      <c r="B839" s="20" t="s">
        <v>165</v>
      </c>
      <c r="C839" s="20" t="s">
        <v>2</v>
      </c>
      <c r="D839" s="20" t="s">
        <v>101</v>
      </c>
      <c r="E839" s="20" t="s">
        <v>1</v>
      </c>
      <c r="F839" s="13">
        <f>F840</f>
        <v>1008203</v>
      </c>
      <c r="G839" s="2"/>
      <c r="I839" s="13">
        <v>1008203</v>
      </c>
      <c r="J839" s="2"/>
      <c r="L839" s="114">
        <f t="shared" si="24"/>
        <v>0</v>
      </c>
      <c r="M839" s="114">
        <f t="shared" si="25"/>
        <v>0</v>
      </c>
    </row>
    <row r="840" spans="1:13" ht="31.5" outlineLevel="6">
      <c r="A840" s="19" t="s">
        <v>696</v>
      </c>
      <c r="B840" s="20" t="s">
        <v>165</v>
      </c>
      <c r="C840" s="20" t="s">
        <v>2</v>
      </c>
      <c r="D840" s="20" t="s">
        <v>101</v>
      </c>
      <c r="E840" s="20" t="s">
        <v>70</v>
      </c>
      <c r="F840" s="13">
        <f>'Приложение_7 '!G1035</f>
        <v>1008203</v>
      </c>
      <c r="G840" s="2"/>
      <c r="I840" s="13">
        <v>1008203</v>
      </c>
      <c r="J840" s="2"/>
      <c r="L840" s="114">
        <f t="shared" si="24"/>
        <v>0</v>
      </c>
      <c r="M840" s="114">
        <f t="shared" si="25"/>
        <v>0</v>
      </c>
    </row>
    <row r="841" spans="1:13" s="113" customFormat="1" ht="15.75">
      <c r="A841" s="82" t="s">
        <v>703</v>
      </c>
      <c r="B841" s="83" t="s">
        <v>187</v>
      </c>
      <c r="C841" s="83" t="s">
        <v>3</v>
      </c>
      <c r="D841" s="83" t="s">
        <v>4</v>
      </c>
      <c r="E841" s="83" t="s">
        <v>1</v>
      </c>
      <c r="F841" s="12">
        <f>F842+F846+F885</f>
        <v>71666064.61</v>
      </c>
      <c r="G841" s="12">
        <f>G842+G846+G885</f>
        <v>63381200</v>
      </c>
      <c r="I841" s="12">
        <v>71666064.61</v>
      </c>
      <c r="J841" s="1">
        <f>J846+J885</f>
        <v>63381200</v>
      </c>
      <c r="L841" s="114">
        <f t="shared" si="24"/>
        <v>0</v>
      </c>
      <c r="M841" s="114">
        <f t="shared" si="25"/>
        <v>0</v>
      </c>
    </row>
    <row r="842" spans="1:13" s="113" customFormat="1" ht="25.5" customHeight="1" outlineLevel="1">
      <c r="A842" s="82" t="s">
        <v>686</v>
      </c>
      <c r="B842" s="83" t="s">
        <v>187</v>
      </c>
      <c r="C842" s="83" t="s">
        <v>2</v>
      </c>
      <c r="D842" s="83" t="s">
        <v>4</v>
      </c>
      <c r="E842" s="83" t="s">
        <v>1</v>
      </c>
      <c r="F842" s="12">
        <f>F843</f>
        <v>8284864.61</v>
      </c>
      <c r="G842" s="1"/>
      <c r="I842" s="12">
        <v>8284864.61</v>
      </c>
      <c r="J842" s="1"/>
      <c r="L842" s="114">
        <f t="shared" si="24"/>
        <v>0</v>
      </c>
      <c r="M842" s="114">
        <f t="shared" si="25"/>
        <v>0</v>
      </c>
    </row>
    <row r="843" spans="1:13" ht="15.75" outlineLevel="2">
      <c r="A843" s="82" t="s">
        <v>490</v>
      </c>
      <c r="B843" s="83" t="s">
        <v>187</v>
      </c>
      <c r="C843" s="83" t="s">
        <v>2</v>
      </c>
      <c r="D843" s="83" t="s">
        <v>11</v>
      </c>
      <c r="E843" s="83" t="s">
        <v>1</v>
      </c>
      <c r="F843" s="12">
        <f>F844</f>
        <v>8284864.61</v>
      </c>
      <c r="G843" s="1"/>
      <c r="I843" s="12">
        <v>8284864.61</v>
      </c>
      <c r="J843" s="1"/>
      <c r="L843" s="114">
        <f t="shared" si="24"/>
        <v>0</v>
      </c>
      <c r="M843" s="114">
        <f t="shared" si="25"/>
        <v>0</v>
      </c>
    </row>
    <row r="844" spans="1:13" ht="78.75" outlineLevel="5">
      <c r="A844" s="19" t="s">
        <v>472</v>
      </c>
      <c r="B844" s="20" t="s">
        <v>187</v>
      </c>
      <c r="C844" s="20" t="s">
        <v>2</v>
      </c>
      <c r="D844" s="20" t="s">
        <v>372</v>
      </c>
      <c r="E844" s="20" t="s">
        <v>1</v>
      </c>
      <c r="F844" s="13">
        <f>F845</f>
        <v>8284864.61</v>
      </c>
      <c r="G844" s="2"/>
      <c r="I844" s="13">
        <v>8284864.61</v>
      </c>
      <c r="J844" s="2"/>
      <c r="L844" s="114">
        <f t="shared" si="24"/>
        <v>0</v>
      </c>
      <c r="M844" s="114">
        <f t="shared" si="25"/>
        <v>0</v>
      </c>
    </row>
    <row r="845" spans="1:13" ht="31.5" outlineLevel="6">
      <c r="A845" s="19" t="s">
        <v>694</v>
      </c>
      <c r="B845" s="20" t="s">
        <v>187</v>
      </c>
      <c r="C845" s="20" t="s">
        <v>2</v>
      </c>
      <c r="D845" s="20" t="s">
        <v>372</v>
      </c>
      <c r="E845" s="20" t="s">
        <v>47</v>
      </c>
      <c r="F845" s="13">
        <f>'Приложение_7 '!G276</f>
        <v>8284864.61</v>
      </c>
      <c r="G845" s="2"/>
      <c r="I845" s="13">
        <v>8284864.61</v>
      </c>
      <c r="J845" s="2"/>
      <c r="L845" s="114">
        <f t="shared" si="24"/>
        <v>0</v>
      </c>
      <c r="M845" s="114">
        <f t="shared" si="25"/>
        <v>0</v>
      </c>
    </row>
    <row r="846" spans="1:13" s="113" customFormat="1" ht="30.75" customHeight="1" outlineLevel="1">
      <c r="A846" s="82" t="s">
        <v>687</v>
      </c>
      <c r="B846" s="83" t="s">
        <v>187</v>
      </c>
      <c r="C846" s="83" t="s">
        <v>14</v>
      </c>
      <c r="D846" s="83" t="s">
        <v>4</v>
      </c>
      <c r="E846" s="83" t="s">
        <v>1</v>
      </c>
      <c r="F846" s="12">
        <f>F847+F872</f>
        <v>5030800</v>
      </c>
      <c r="G846" s="12">
        <f>G847+G872</f>
        <v>5030800</v>
      </c>
      <c r="I846" s="12">
        <v>5030800</v>
      </c>
      <c r="J846" s="12">
        <v>5030800</v>
      </c>
      <c r="L846" s="114">
        <f t="shared" si="24"/>
        <v>0</v>
      </c>
      <c r="M846" s="114">
        <f t="shared" si="25"/>
        <v>0</v>
      </c>
    </row>
    <row r="847" spans="1:13" ht="31.5" outlineLevel="2">
      <c r="A847" s="82" t="s">
        <v>657</v>
      </c>
      <c r="B847" s="83" t="s">
        <v>187</v>
      </c>
      <c r="C847" s="83" t="s">
        <v>14</v>
      </c>
      <c r="D847" s="83" t="s">
        <v>23</v>
      </c>
      <c r="E847" s="83" t="s">
        <v>1</v>
      </c>
      <c r="F847" s="12">
        <f>F848+F854+F860</f>
        <v>4414636</v>
      </c>
      <c r="G847" s="12">
        <f>G848+G854+G860</f>
        <v>4414636</v>
      </c>
      <c r="I847" s="12">
        <v>4414636</v>
      </c>
      <c r="J847" s="12">
        <v>4414636</v>
      </c>
      <c r="L847" s="114">
        <f t="shared" si="24"/>
        <v>0</v>
      </c>
      <c r="M847" s="114">
        <f t="shared" si="25"/>
        <v>0</v>
      </c>
    </row>
    <row r="848" spans="1:13" ht="31.5" outlineLevel="3">
      <c r="A848" s="82" t="s">
        <v>640</v>
      </c>
      <c r="B848" s="83" t="s">
        <v>187</v>
      </c>
      <c r="C848" s="83" t="s">
        <v>14</v>
      </c>
      <c r="D848" s="83" t="s">
        <v>240</v>
      </c>
      <c r="E848" s="83" t="s">
        <v>1</v>
      </c>
      <c r="F848" s="12">
        <f>F849</f>
        <v>723921.9600000001</v>
      </c>
      <c r="G848" s="12">
        <f>G849</f>
        <v>723921.9600000001</v>
      </c>
      <c r="I848" s="12">
        <v>723921.96</v>
      </c>
      <c r="J848" s="1">
        <f>J849</f>
        <v>723921.96</v>
      </c>
      <c r="L848" s="114">
        <f t="shared" si="24"/>
        <v>0</v>
      </c>
      <c r="M848" s="114">
        <f t="shared" si="25"/>
        <v>0</v>
      </c>
    </row>
    <row r="849" spans="1:13" ht="15.75" outlineLevel="4">
      <c r="A849" s="19" t="s">
        <v>562</v>
      </c>
      <c r="B849" s="20" t="s">
        <v>187</v>
      </c>
      <c r="C849" s="20" t="s">
        <v>14</v>
      </c>
      <c r="D849" s="20" t="s">
        <v>247</v>
      </c>
      <c r="E849" s="20" t="s">
        <v>1</v>
      </c>
      <c r="F849" s="13">
        <f>F850+F852</f>
        <v>723921.9600000001</v>
      </c>
      <c r="G849" s="13">
        <f>G850+G852</f>
        <v>723921.9600000001</v>
      </c>
      <c r="I849" s="13">
        <v>723921.96</v>
      </c>
      <c r="J849" s="2">
        <f>I849</f>
        <v>723921.96</v>
      </c>
      <c r="L849" s="114">
        <f t="shared" si="24"/>
        <v>0</v>
      </c>
      <c r="M849" s="114">
        <f t="shared" si="25"/>
        <v>0</v>
      </c>
    </row>
    <row r="850" spans="1:13" ht="78.75" outlineLevel="5">
      <c r="A850" s="19" t="s">
        <v>473</v>
      </c>
      <c r="B850" s="20" t="s">
        <v>187</v>
      </c>
      <c r="C850" s="20" t="s">
        <v>14</v>
      </c>
      <c r="D850" s="20" t="s">
        <v>373</v>
      </c>
      <c r="E850" s="20" t="s">
        <v>1</v>
      </c>
      <c r="F850" s="13">
        <f>F851</f>
        <v>1887.92</v>
      </c>
      <c r="G850" s="13">
        <f>G851</f>
        <v>1887.92</v>
      </c>
      <c r="I850" s="13">
        <v>1887.92</v>
      </c>
      <c r="J850" s="2">
        <f>J851</f>
        <v>1887.92</v>
      </c>
      <c r="L850" s="114">
        <f t="shared" si="24"/>
        <v>0</v>
      </c>
      <c r="M850" s="114">
        <f t="shared" si="25"/>
        <v>0</v>
      </c>
    </row>
    <row r="851" spans="1:13" ht="31.5" outlineLevel="6">
      <c r="A851" s="19" t="s">
        <v>696</v>
      </c>
      <c r="B851" s="20" t="s">
        <v>187</v>
      </c>
      <c r="C851" s="20" t="s">
        <v>14</v>
      </c>
      <c r="D851" s="20" t="s">
        <v>373</v>
      </c>
      <c r="E851" s="20" t="s">
        <v>70</v>
      </c>
      <c r="F851" s="13">
        <f>'Приложение_7 '!G831</f>
        <v>1887.92</v>
      </c>
      <c r="G851" s="2">
        <f>F851</f>
        <v>1887.92</v>
      </c>
      <c r="I851" s="13">
        <v>1887.92</v>
      </c>
      <c r="J851" s="2">
        <f>I851</f>
        <v>1887.92</v>
      </c>
      <c r="L851" s="114">
        <f t="shared" si="24"/>
        <v>0</v>
      </c>
      <c r="M851" s="114">
        <f t="shared" si="25"/>
        <v>0</v>
      </c>
    </row>
    <row r="852" spans="1:13" ht="78.75" outlineLevel="5">
      <c r="A852" s="19" t="s">
        <v>474</v>
      </c>
      <c r="B852" s="20" t="s">
        <v>187</v>
      </c>
      <c r="C852" s="20" t="s">
        <v>14</v>
      </c>
      <c r="D852" s="20" t="s">
        <v>374</v>
      </c>
      <c r="E852" s="20" t="s">
        <v>1</v>
      </c>
      <c r="F852" s="13">
        <f>F853</f>
        <v>722034.04</v>
      </c>
      <c r="G852" s="13">
        <f>G853</f>
        <v>722034.04</v>
      </c>
      <c r="I852" s="13">
        <v>722034.04</v>
      </c>
      <c r="J852" s="2">
        <f>I852</f>
        <v>722034.04</v>
      </c>
      <c r="L852" s="114">
        <f t="shared" si="24"/>
        <v>0</v>
      </c>
      <c r="M852" s="114">
        <f t="shared" si="25"/>
        <v>0</v>
      </c>
    </row>
    <row r="853" spans="1:13" ht="31.5" outlineLevel="6">
      <c r="A853" s="19" t="s">
        <v>696</v>
      </c>
      <c r="B853" s="20" t="s">
        <v>187</v>
      </c>
      <c r="C853" s="20" t="s">
        <v>14</v>
      </c>
      <c r="D853" s="20" t="s">
        <v>374</v>
      </c>
      <c r="E853" s="20" t="s">
        <v>70</v>
      </c>
      <c r="F853" s="13">
        <f>'Приложение_7 '!G833</f>
        <v>722034.04</v>
      </c>
      <c r="G853" s="13">
        <f>F853</f>
        <v>722034.04</v>
      </c>
      <c r="I853" s="13">
        <v>722034.04</v>
      </c>
      <c r="J853" s="13">
        <v>722034.04</v>
      </c>
      <c r="L853" s="114">
        <f t="shared" si="24"/>
        <v>0</v>
      </c>
      <c r="M853" s="114">
        <f t="shared" si="25"/>
        <v>0</v>
      </c>
    </row>
    <row r="854" spans="1:13" ht="47.25" outlineLevel="3">
      <c r="A854" s="82" t="s">
        <v>642</v>
      </c>
      <c r="B854" s="83" t="s">
        <v>187</v>
      </c>
      <c r="C854" s="83" t="s">
        <v>14</v>
      </c>
      <c r="D854" s="83" t="s">
        <v>256</v>
      </c>
      <c r="E854" s="83" t="s">
        <v>1</v>
      </c>
      <c r="F854" s="12">
        <f>F855</f>
        <v>1360214.04</v>
      </c>
      <c r="G854" s="12">
        <f>G855</f>
        <v>1360214.04</v>
      </c>
      <c r="I854" s="12">
        <v>1360214.04</v>
      </c>
      <c r="J854" s="12">
        <v>1360214.04</v>
      </c>
      <c r="L854" s="114">
        <f t="shared" si="24"/>
        <v>0</v>
      </c>
      <c r="M854" s="114">
        <f t="shared" si="25"/>
        <v>0</v>
      </c>
    </row>
    <row r="855" spans="1:13" ht="15.75" outlineLevel="4">
      <c r="A855" s="19" t="s">
        <v>562</v>
      </c>
      <c r="B855" s="20" t="s">
        <v>187</v>
      </c>
      <c r="C855" s="20" t="s">
        <v>14</v>
      </c>
      <c r="D855" s="20" t="s">
        <v>269</v>
      </c>
      <c r="E855" s="20" t="s">
        <v>1</v>
      </c>
      <c r="F855" s="13">
        <f>F856+F858</f>
        <v>1360214.04</v>
      </c>
      <c r="G855" s="13">
        <f>G856+G858</f>
        <v>1360214.04</v>
      </c>
      <c r="I855" s="13">
        <v>1360214.04</v>
      </c>
      <c r="J855" s="13">
        <v>1360214.04</v>
      </c>
      <c r="L855" s="114">
        <f t="shared" si="24"/>
        <v>0</v>
      </c>
      <c r="M855" s="114">
        <f t="shared" si="25"/>
        <v>0</v>
      </c>
    </row>
    <row r="856" spans="1:13" ht="78.75" outlineLevel="5">
      <c r="A856" s="19" t="s">
        <v>473</v>
      </c>
      <c r="B856" s="20" t="s">
        <v>187</v>
      </c>
      <c r="C856" s="20" t="s">
        <v>14</v>
      </c>
      <c r="D856" s="20" t="s">
        <v>375</v>
      </c>
      <c r="E856" s="20" t="s">
        <v>1</v>
      </c>
      <c r="F856" s="13">
        <f>F857</f>
        <v>3548.08</v>
      </c>
      <c r="G856" s="13">
        <f>G857</f>
        <v>3548.08</v>
      </c>
      <c r="I856" s="13">
        <v>3548.08</v>
      </c>
      <c r="J856" s="13">
        <v>3548.08</v>
      </c>
      <c r="L856" s="114">
        <f t="shared" si="24"/>
        <v>0</v>
      </c>
      <c r="M856" s="114">
        <f t="shared" si="25"/>
        <v>0</v>
      </c>
    </row>
    <row r="857" spans="1:13" ht="31.5" outlineLevel="6">
      <c r="A857" s="19" t="s">
        <v>696</v>
      </c>
      <c r="B857" s="20" t="s">
        <v>187</v>
      </c>
      <c r="C857" s="20" t="s">
        <v>14</v>
      </c>
      <c r="D857" s="20" t="s">
        <v>375</v>
      </c>
      <c r="E857" s="20" t="s">
        <v>70</v>
      </c>
      <c r="F857" s="13">
        <f>'Приложение_7 '!G837</f>
        <v>3548.08</v>
      </c>
      <c r="G857" s="2">
        <f>F857</f>
        <v>3548.08</v>
      </c>
      <c r="I857" s="13">
        <v>3548.08</v>
      </c>
      <c r="J857" s="2">
        <f>I857</f>
        <v>3548.08</v>
      </c>
      <c r="L857" s="114">
        <f t="shared" si="24"/>
        <v>0</v>
      </c>
      <c r="M857" s="114">
        <f t="shared" si="25"/>
        <v>0</v>
      </c>
    </row>
    <row r="858" spans="1:13" ht="78.75" outlineLevel="5">
      <c r="A858" s="19" t="s">
        <v>474</v>
      </c>
      <c r="B858" s="20" t="s">
        <v>187</v>
      </c>
      <c r="C858" s="20" t="s">
        <v>14</v>
      </c>
      <c r="D858" s="20" t="s">
        <v>376</v>
      </c>
      <c r="E858" s="20" t="s">
        <v>1</v>
      </c>
      <c r="F858" s="13">
        <f>F859</f>
        <v>1356665.96</v>
      </c>
      <c r="G858" s="13">
        <f>G859</f>
        <v>1356665.96</v>
      </c>
      <c r="I858" s="13">
        <v>1356665.96</v>
      </c>
      <c r="J858" s="2">
        <f>I858</f>
        <v>1356665.96</v>
      </c>
      <c r="L858" s="114">
        <f t="shared" si="24"/>
        <v>0</v>
      </c>
      <c r="M858" s="114">
        <f t="shared" si="25"/>
        <v>0</v>
      </c>
    </row>
    <row r="859" spans="1:13" ht="31.5" outlineLevel="6">
      <c r="A859" s="19" t="s">
        <v>696</v>
      </c>
      <c r="B859" s="20" t="s">
        <v>187</v>
      </c>
      <c r="C859" s="20" t="s">
        <v>14</v>
      </c>
      <c r="D859" s="20" t="s">
        <v>376</v>
      </c>
      <c r="E859" s="20" t="s">
        <v>70</v>
      </c>
      <c r="F859" s="13">
        <f>'Приложение_7 '!G839</f>
        <v>1356665.96</v>
      </c>
      <c r="G859" s="13">
        <f>F859</f>
        <v>1356665.96</v>
      </c>
      <c r="I859" s="13">
        <v>1356665.96</v>
      </c>
      <c r="J859" s="13">
        <v>1356665.96</v>
      </c>
      <c r="L859" s="114">
        <f t="shared" si="24"/>
        <v>0</v>
      </c>
      <c r="M859" s="114">
        <f t="shared" si="25"/>
        <v>0</v>
      </c>
    </row>
    <row r="860" spans="1:13" ht="47.25" outlineLevel="3">
      <c r="A860" s="82" t="s">
        <v>614</v>
      </c>
      <c r="B860" s="83" t="s">
        <v>187</v>
      </c>
      <c r="C860" s="83" t="s">
        <v>14</v>
      </c>
      <c r="D860" s="83" t="s">
        <v>24</v>
      </c>
      <c r="E860" s="83" t="s">
        <v>1</v>
      </c>
      <c r="F860" s="12">
        <f>F861+F864+F869</f>
        <v>2330500</v>
      </c>
      <c r="G860" s="12">
        <f>G861+G864+G869</f>
        <v>2330500</v>
      </c>
      <c r="I860" s="12">
        <v>2330500</v>
      </c>
      <c r="J860" s="12">
        <v>2330500</v>
      </c>
      <c r="L860" s="114">
        <f t="shared" si="24"/>
        <v>0</v>
      </c>
      <c r="M860" s="114">
        <f t="shared" si="25"/>
        <v>0</v>
      </c>
    </row>
    <row r="861" spans="1:13" ht="157.5" outlineLevel="4">
      <c r="A861" s="19" t="s">
        <v>599</v>
      </c>
      <c r="B861" s="20" t="s">
        <v>187</v>
      </c>
      <c r="C861" s="20" t="s">
        <v>14</v>
      </c>
      <c r="D861" s="20" t="s">
        <v>377</v>
      </c>
      <c r="E861" s="20" t="s">
        <v>1</v>
      </c>
      <c r="F861" s="13">
        <f>F862</f>
        <v>147100</v>
      </c>
      <c r="G861" s="13">
        <f>G862</f>
        <v>147100</v>
      </c>
      <c r="I861" s="13">
        <v>147100</v>
      </c>
      <c r="J861" s="13">
        <v>147100</v>
      </c>
      <c r="L861" s="114">
        <f t="shared" si="24"/>
        <v>0</v>
      </c>
      <c r="M861" s="114">
        <f t="shared" si="25"/>
        <v>0</v>
      </c>
    </row>
    <row r="862" spans="1:13" ht="157.5" outlineLevel="5">
      <c r="A862" s="19" t="s">
        <v>475</v>
      </c>
      <c r="B862" s="20" t="s">
        <v>187</v>
      </c>
      <c r="C862" s="20" t="s">
        <v>14</v>
      </c>
      <c r="D862" s="20" t="s">
        <v>378</v>
      </c>
      <c r="E862" s="20" t="s">
        <v>1</v>
      </c>
      <c r="F862" s="13">
        <f>F863</f>
        <v>147100</v>
      </c>
      <c r="G862" s="13">
        <f>G863</f>
        <v>147100</v>
      </c>
      <c r="I862" s="13">
        <v>147100</v>
      </c>
      <c r="J862" s="13">
        <v>147100</v>
      </c>
      <c r="L862" s="114">
        <f t="shared" si="24"/>
        <v>0</v>
      </c>
      <c r="M862" s="114">
        <f t="shared" si="25"/>
        <v>0</v>
      </c>
    </row>
    <row r="863" spans="1:13" ht="31.5" outlineLevel="6">
      <c r="A863" s="19" t="s">
        <v>694</v>
      </c>
      <c r="B863" s="20" t="s">
        <v>187</v>
      </c>
      <c r="C863" s="20" t="s">
        <v>14</v>
      </c>
      <c r="D863" s="20" t="s">
        <v>378</v>
      </c>
      <c r="E863" s="20" t="s">
        <v>47</v>
      </c>
      <c r="F863" s="13">
        <f>'Приложение_7 '!G843</f>
        <v>147100</v>
      </c>
      <c r="G863" s="13">
        <f>F863</f>
        <v>147100</v>
      </c>
      <c r="I863" s="13">
        <v>147100</v>
      </c>
      <c r="J863" s="13">
        <v>147100</v>
      </c>
      <c r="L863" s="114">
        <f t="shared" si="24"/>
        <v>0</v>
      </c>
      <c r="M863" s="114">
        <f t="shared" si="25"/>
        <v>0</v>
      </c>
    </row>
    <row r="864" spans="1:13" ht="94.5" outlineLevel="4">
      <c r="A864" s="19" t="s">
        <v>600</v>
      </c>
      <c r="B864" s="20" t="s">
        <v>187</v>
      </c>
      <c r="C864" s="20" t="s">
        <v>14</v>
      </c>
      <c r="D864" s="20" t="s">
        <v>379</v>
      </c>
      <c r="E864" s="20" t="s">
        <v>1</v>
      </c>
      <c r="F864" s="13">
        <f>F865+F867</f>
        <v>1869400</v>
      </c>
      <c r="G864" s="13">
        <f>G865+G867</f>
        <v>1869400</v>
      </c>
      <c r="I864" s="13">
        <v>1869400</v>
      </c>
      <c r="J864" s="2">
        <f>I864</f>
        <v>1869400</v>
      </c>
      <c r="L864" s="114">
        <f t="shared" si="24"/>
        <v>0</v>
      </c>
      <c r="M864" s="114">
        <f t="shared" si="25"/>
        <v>0</v>
      </c>
    </row>
    <row r="865" spans="1:13" ht="94.5" outlineLevel="5">
      <c r="A865" s="19" t="s">
        <v>476</v>
      </c>
      <c r="B865" s="20" t="s">
        <v>187</v>
      </c>
      <c r="C865" s="20" t="s">
        <v>14</v>
      </c>
      <c r="D865" s="20" t="s">
        <v>380</v>
      </c>
      <c r="E865" s="20" t="s">
        <v>1</v>
      </c>
      <c r="F865" s="13">
        <f>F866</f>
        <v>1847600</v>
      </c>
      <c r="G865" s="13">
        <f>G866</f>
        <v>1847600</v>
      </c>
      <c r="I865" s="13">
        <v>1847600</v>
      </c>
      <c r="J865" s="2">
        <f>I865</f>
        <v>1847600</v>
      </c>
      <c r="L865" s="114">
        <f t="shared" si="24"/>
        <v>0</v>
      </c>
      <c r="M865" s="114">
        <f t="shared" si="25"/>
        <v>0</v>
      </c>
    </row>
    <row r="866" spans="1:13" ht="31.5" outlineLevel="6">
      <c r="A866" s="19" t="s">
        <v>694</v>
      </c>
      <c r="B866" s="20" t="s">
        <v>187</v>
      </c>
      <c r="C866" s="20" t="s">
        <v>14</v>
      </c>
      <c r="D866" s="20" t="s">
        <v>380</v>
      </c>
      <c r="E866" s="20" t="s">
        <v>47</v>
      </c>
      <c r="F866" s="13">
        <f>'Приложение_7 '!G846</f>
        <v>1847600</v>
      </c>
      <c r="G866" s="2">
        <f>F866</f>
        <v>1847600</v>
      </c>
      <c r="I866" s="13">
        <v>1847600</v>
      </c>
      <c r="J866" s="2">
        <f>I866</f>
        <v>1847600</v>
      </c>
      <c r="L866" s="114">
        <f t="shared" si="24"/>
        <v>0</v>
      </c>
      <c r="M866" s="114">
        <f t="shared" si="25"/>
        <v>0</v>
      </c>
    </row>
    <row r="867" spans="1:13" ht="94.5" outlineLevel="5">
      <c r="A867" s="19" t="s">
        <v>477</v>
      </c>
      <c r="B867" s="20" t="s">
        <v>187</v>
      </c>
      <c r="C867" s="20" t="s">
        <v>14</v>
      </c>
      <c r="D867" s="20" t="s">
        <v>381</v>
      </c>
      <c r="E867" s="20" t="s">
        <v>1</v>
      </c>
      <c r="F867" s="13">
        <f>F868</f>
        <v>21800</v>
      </c>
      <c r="G867" s="13">
        <f>G868</f>
        <v>21800</v>
      </c>
      <c r="I867" s="13">
        <v>21800</v>
      </c>
      <c r="J867" s="13">
        <v>21800</v>
      </c>
      <c r="L867" s="114">
        <f t="shared" si="24"/>
        <v>0</v>
      </c>
      <c r="M867" s="114">
        <f t="shared" si="25"/>
        <v>0</v>
      </c>
    </row>
    <row r="868" spans="1:13" ht="78.75" outlineLevel="6">
      <c r="A868" s="19" t="s">
        <v>708</v>
      </c>
      <c r="B868" s="20" t="s">
        <v>187</v>
      </c>
      <c r="C868" s="20" t="s">
        <v>14</v>
      </c>
      <c r="D868" s="20" t="s">
        <v>381</v>
      </c>
      <c r="E868" s="20" t="s">
        <v>10</v>
      </c>
      <c r="F868" s="13">
        <f>'Приложение_7 '!G848</f>
        <v>21800</v>
      </c>
      <c r="G868" s="13">
        <f>F868</f>
        <v>21800</v>
      </c>
      <c r="I868" s="13">
        <v>21800</v>
      </c>
      <c r="J868" s="13">
        <v>21800</v>
      </c>
      <c r="L868" s="114">
        <f t="shared" si="24"/>
        <v>0</v>
      </c>
      <c r="M868" s="114">
        <f t="shared" si="25"/>
        <v>0</v>
      </c>
    </row>
    <row r="869" spans="1:13" ht="94.5" outlineLevel="4">
      <c r="A869" s="19" t="s">
        <v>601</v>
      </c>
      <c r="B869" s="20" t="s">
        <v>187</v>
      </c>
      <c r="C869" s="20" t="s">
        <v>14</v>
      </c>
      <c r="D869" s="20" t="s">
        <v>382</v>
      </c>
      <c r="E869" s="20" t="s">
        <v>1</v>
      </c>
      <c r="F869" s="13">
        <f>F870</f>
        <v>314000</v>
      </c>
      <c r="G869" s="13">
        <f>G870</f>
        <v>314000</v>
      </c>
      <c r="I869" s="13">
        <v>314000</v>
      </c>
      <c r="J869" s="13">
        <v>314000</v>
      </c>
      <c r="L869" s="114">
        <f t="shared" si="24"/>
        <v>0</v>
      </c>
      <c r="M869" s="114">
        <f t="shared" si="25"/>
        <v>0</v>
      </c>
    </row>
    <row r="870" spans="1:13" ht="141.75" outlineLevel="5">
      <c r="A870" s="19" t="s">
        <v>478</v>
      </c>
      <c r="B870" s="20" t="s">
        <v>187</v>
      </c>
      <c r="C870" s="20" t="s">
        <v>14</v>
      </c>
      <c r="D870" s="20" t="s">
        <v>383</v>
      </c>
      <c r="E870" s="20" t="s">
        <v>1</v>
      </c>
      <c r="F870" s="13">
        <f>F871</f>
        <v>314000</v>
      </c>
      <c r="G870" s="13">
        <f>G871</f>
        <v>314000</v>
      </c>
      <c r="I870" s="13">
        <v>314000</v>
      </c>
      <c r="J870" s="13">
        <v>314000</v>
      </c>
      <c r="L870" s="114">
        <f t="shared" si="24"/>
        <v>0</v>
      </c>
      <c r="M870" s="114">
        <f t="shared" si="25"/>
        <v>0</v>
      </c>
    </row>
    <row r="871" spans="1:13" ht="31.5" outlineLevel="6">
      <c r="A871" s="19" t="s">
        <v>694</v>
      </c>
      <c r="B871" s="20" t="s">
        <v>187</v>
      </c>
      <c r="C871" s="20" t="s">
        <v>14</v>
      </c>
      <c r="D871" s="20" t="s">
        <v>383</v>
      </c>
      <c r="E871" s="20" t="s">
        <v>47</v>
      </c>
      <c r="F871" s="13">
        <f>'Приложение_7 '!G851</f>
        <v>314000</v>
      </c>
      <c r="G871" s="13">
        <f>F871</f>
        <v>314000</v>
      </c>
      <c r="I871" s="13">
        <v>314000</v>
      </c>
      <c r="J871" s="13">
        <v>314000</v>
      </c>
      <c r="L871" s="114">
        <f t="shared" si="24"/>
        <v>0</v>
      </c>
      <c r="M871" s="114">
        <f t="shared" si="25"/>
        <v>0</v>
      </c>
    </row>
    <row r="872" spans="1:13" ht="47.25" outlineLevel="2">
      <c r="A872" s="82" t="s">
        <v>661</v>
      </c>
      <c r="B872" s="83" t="s">
        <v>187</v>
      </c>
      <c r="C872" s="83" t="s">
        <v>14</v>
      </c>
      <c r="D872" s="83" t="s">
        <v>279</v>
      </c>
      <c r="E872" s="83" t="s">
        <v>1</v>
      </c>
      <c r="F872" s="12">
        <f>F873+F879</f>
        <v>616164</v>
      </c>
      <c r="G872" s="12">
        <f>G873+G879</f>
        <v>616164</v>
      </c>
      <c r="I872" s="12">
        <v>616164</v>
      </c>
      <c r="J872" s="12">
        <v>616164</v>
      </c>
      <c r="L872" s="114">
        <f t="shared" si="24"/>
        <v>0</v>
      </c>
      <c r="M872" s="114">
        <f t="shared" si="25"/>
        <v>0</v>
      </c>
    </row>
    <row r="873" spans="1:13" ht="47.25" outlineLevel="3">
      <c r="A873" s="82" t="s">
        <v>643</v>
      </c>
      <c r="B873" s="83" t="s">
        <v>187</v>
      </c>
      <c r="C873" s="83" t="s">
        <v>14</v>
      </c>
      <c r="D873" s="83" t="s">
        <v>280</v>
      </c>
      <c r="E873" s="83" t="s">
        <v>1</v>
      </c>
      <c r="F873" s="12">
        <f>F874</f>
        <v>493936</v>
      </c>
      <c r="G873" s="12">
        <f>G874</f>
        <v>493936</v>
      </c>
      <c r="I873" s="12">
        <v>493936</v>
      </c>
      <c r="J873" s="12">
        <v>493936</v>
      </c>
      <c r="L873" s="114">
        <f t="shared" si="24"/>
        <v>0</v>
      </c>
      <c r="M873" s="114">
        <f t="shared" si="25"/>
        <v>0</v>
      </c>
    </row>
    <row r="874" spans="1:13" ht="15.75" outlineLevel="4">
      <c r="A874" s="19" t="s">
        <v>562</v>
      </c>
      <c r="B874" s="20" t="s">
        <v>187</v>
      </c>
      <c r="C874" s="20" t="s">
        <v>14</v>
      </c>
      <c r="D874" s="20" t="s">
        <v>341</v>
      </c>
      <c r="E874" s="20" t="s">
        <v>1</v>
      </c>
      <c r="F874" s="13">
        <f>F875+F877</f>
        <v>493936</v>
      </c>
      <c r="G874" s="13">
        <f>G875+G877</f>
        <v>493936</v>
      </c>
      <c r="I874" s="13">
        <v>493936</v>
      </c>
      <c r="J874" s="13">
        <v>493936</v>
      </c>
      <c r="L874" s="114">
        <f t="shared" si="24"/>
        <v>0</v>
      </c>
      <c r="M874" s="114">
        <f t="shared" si="25"/>
        <v>0</v>
      </c>
    </row>
    <row r="875" spans="1:13" ht="78.75" outlineLevel="5">
      <c r="A875" s="19" t="s">
        <v>473</v>
      </c>
      <c r="B875" s="20" t="s">
        <v>187</v>
      </c>
      <c r="C875" s="20" t="s">
        <v>14</v>
      </c>
      <c r="D875" s="20" t="s">
        <v>384</v>
      </c>
      <c r="E875" s="20" t="s">
        <v>1</v>
      </c>
      <c r="F875" s="13">
        <f>F876</f>
        <v>5536</v>
      </c>
      <c r="G875" s="13">
        <f>G876</f>
        <v>5536</v>
      </c>
      <c r="I875" s="13">
        <v>5536</v>
      </c>
      <c r="J875" s="13">
        <v>5536</v>
      </c>
      <c r="L875" s="114">
        <f t="shared" si="24"/>
        <v>0</v>
      </c>
      <c r="M875" s="114">
        <f t="shared" si="25"/>
        <v>0</v>
      </c>
    </row>
    <row r="876" spans="1:13" ht="31.5" outlineLevel="6">
      <c r="A876" s="19" t="s">
        <v>696</v>
      </c>
      <c r="B876" s="20" t="s">
        <v>187</v>
      </c>
      <c r="C876" s="20" t="s">
        <v>14</v>
      </c>
      <c r="D876" s="20" t="s">
        <v>384</v>
      </c>
      <c r="E876" s="20" t="s">
        <v>70</v>
      </c>
      <c r="F876" s="13">
        <f>'Приложение_7 '!G1042</f>
        <v>5536</v>
      </c>
      <c r="G876" s="13">
        <f>F876</f>
        <v>5536</v>
      </c>
      <c r="I876" s="13">
        <v>5536</v>
      </c>
      <c r="J876" s="13">
        <v>5536</v>
      </c>
      <c r="L876" s="114">
        <f t="shared" si="24"/>
        <v>0</v>
      </c>
      <c r="M876" s="114">
        <f t="shared" si="25"/>
        <v>0</v>
      </c>
    </row>
    <row r="877" spans="1:13" ht="78.75" outlineLevel="5">
      <c r="A877" s="19" t="s">
        <v>474</v>
      </c>
      <c r="B877" s="20" t="s">
        <v>187</v>
      </c>
      <c r="C877" s="20" t="s">
        <v>14</v>
      </c>
      <c r="D877" s="20" t="s">
        <v>385</v>
      </c>
      <c r="E877" s="20" t="s">
        <v>1</v>
      </c>
      <c r="F877" s="13">
        <f>F878</f>
        <v>488400</v>
      </c>
      <c r="G877" s="13">
        <f>G878</f>
        <v>488400</v>
      </c>
      <c r="I877" s="13">
        <v>488400</v>
      </c>
      <c r="J877" s="13">
        <v>488400</v>
      </c>
      <c r="L877" s="114">
        <f t="shared" si="24"/>
        <v>0</v>
      </c>
      <c r="M877" s="114">
        <f t="shared" si="25"/>
        <v>0</v>
      </c>
    </row>
    <row r="878" spans="1:13" ht="31.5" outlineLevel="6">
      <c r="A878" s="19" t="s">
        <v>696</v>
      </c>
      <c r="B878" s="20" t="s">
        <v>187</v>
      </c>
      <c r="C878" s="20" t="s">
        <v>14</v>
      </c>
      <c r="D878" s="20" t="s">
        <v>385</v>
      </c>
      <c r="E878" s="20" t="s">
        <v>70</v>
      </c>
      <c r="F878" s="13">
        <f>'Приложение_7 '!G1044</f>
        <v>488400</v>
      </c>
      <c r="G878" s="13">
        <f>F878</f>
        <v>488400</v>
      </c>
      <c r="I878" s="13">
        <v>488400</v>
      </c>
      <c r="J878" s="13">
        <v>488400</v>
      </c>
      <c r="L878" s="114">
        <f t="shared" si="24"/>
        <v>0</v>
      </c>
      <c r="M878" s="114">
        <f t="shared" si="25"/>
        <v>0</v>
      </c>
    </row>
    <row r="879" spans="1:13" ht="31.5" outlineLevel="3">
      <c r="A879" s="82" t="s">
        <v>650</v>
      </c>
      <c r="B879" s="83" t="s">
        <v>187</v>
      </c>
      <c r="C879" s="83" t="s">
        <v>14</v>
      </c>
      <c r="D879" s="83" t="s">
        <v>343</v>
      </c>
      <c r="E879" s="83" t="s">
        <v>1</v>
      </c>
      <c r="F879" s="12">
        <f>F880</f>
        <v>122228</v>
      </c>
      <c r="G879" s="12">
        <f>G880</f>
        <v>122228</v>
      </c>
      <c r="I879" s="12">
        <v>122228</v>
      </c>
      <c r="J879" s="12">
        <v>122228</v>
      </c>
      <c r="L879" s="114">
        <f t="shared" si="24"/>
        <v>0</v>
      </c>
      <c r="M879" s="114">
        <f t="shared" si="25"/>
        <v>0</v>
      </c>
    </row>
    <row r="880" spans="1:13" ht="15.75" outlineLevel="4">
      <c r="A880" s="19" t="s">
        <v>562</v>
      </c>
      <c r="B880" s="20" t="s">
        <v>187</v>
      </c>
      <c r="C880" s="20" t="s">
        <v>14</v>
      </c>
      <c r="D880" s="20" t="s">
        <v>348</v>
      </c>
      <c r="E880" s="20" t="s">
        <v>1</v>
      </c>
      <c r="F880" s="13">
        <f>F881+F883</f>
        <v>122228</v>
      </c>
      <c r="G880" s="13">
        <f>G881+G883</f>
        <v>122228</v>
      </c>
      <c r="I880" s="13">
        <v>122228</v>
      </c>
      <c r="J880" s="13">
        <v>122228</v>
      </c>
      <c r="L880" s="114">
        <f t="shared" si="24"/>
        <v>0</v>
      </c>
      <c r="M880" s="114">
        <f t="shared" si="25"/>
        <v>0</v>
      </c>
    </row>
    <row r="881" spans="1:13" ht="78.75" outlineLevel="5">
      <c r="A881" s="19" t="s">
        <v>473</v>
      </c>
      <c r="B881" s="20" t="s">
        <v>187</v>
      </c>
      <c r="C881" s="20" t="s">
        <v>14</v>
      </c>
      <c r="D881" s="20" t="s">
        <v>386</v>
      </c>
      <c r="E881" s="20" t="s">
        <v>1</v>
      </c>
      <c r="F881" s="13">
        <f>F882</f>
        <v>2228</v>
      </c>
      <c r="G881" s="13">
        <f>G882</f>
        <v>2228</v>
      </c>
      <c r="I881" s="13">
        <v>2228</v>
      </c>
      <c r="J881" s="13">
        <v>2228</v>
      </c>
      <c r="L881" s="114">
        <f t="shared" si="24"/>
        <v>0</v>
      </c>
      <c r="M881" s="114">
        <f t="shared" si="25"/>
        <v>0</v>
      </c>
    </row>
    <row r="882" spans="1:13" ht="31.5" outlineLevel="6">
      <c r="A882" s="19" t="s">
        <v>696</v>
      </c>
      <c r="B882" s="20" t="s">
        <v>187</v>
      </c>
      <c r="C882" s="20" t="s">
        <v>14</v>
      </c>
      <c r="D882" s="20" t="s">
        <v>386</v>
      </c>
      <c r="E882" s="20" t="s">
        <v>70</v>
      </c>
      <c r="F882" s="13">
        <f>'Приложение_7 '!G1048</f>
        <v>2228</v>
      </c>
      <c r="G882" s="13">
        <f>F882</f>
        <v>2228</v>
      </c>
      <c r="I882" s="13">
        <v>2228</v>
      </c>
      <c r="J882" s="13">
        <v>2228</v>
      </c>
      <c r="L882" s="114">
        <f t="shared" si="24"/>
        <v>0</v>
      </c>
      <c r="M882" s="114">
        <f t="shared" si="25"/>
        <v>0</v>
      </c>
    </row>
    <row r="883" spans="1:13" ht="78.75" outlineLevel="5">
      <c r="A883" s="19" t="s">
        <v>474</v>
      </c>
      <c r="B883" s="20" t="s">
        <v>187</v>
      </c>
      <c r="C883" s="20" t="s">
        <v>14</v>
      </c>
      <c r="D883" s="20" t="s">
        <v>387</v>
      </c>
      <c r="E883" s="20" t="s">
        <v>1</v>
      </c>
      <c r="F883" s="13">
        <f>F884</f>
        <v>120000</v>
      </c>
      <c r="G883" s="13">
        <f>G884</f>
        <v>120000</v>
      </c>
      <c r="I883" s="13">
        <v>120000</v>
      </c>
      <c r="J883" s="13">
        <v>120000</v>
      </c>
      <c r="L883" s="114">
        <f t="shared" si="24"/>
        <v>0</v>
      </c>
      <c r="M883" s="114">
        <f t="shared" si="25"/>
        <v>0</v>
      </c>
    </row>
    <row r="884" spans="1:13" ht="31.5" outlineLevel="6">
      <c r="A884" s="19" t="s">
        <v>696</v>
      </c>
      <c r="B884" s="20" t="s">
        <v>187</v>
      </c>
      <c r="C884" s="20" t="s">
        <v>14</v>
      </c>
      <c r="D884" s="20" t="s">
        <v>387</v>
      </c>
      <c r="E884" s="20" t="s">
        <v>70</v>
      </c>
      <c r="F884" s="13">
        <f>'Приложение_7 '!G1050</f>
        <v>120000</v>
      </c>
      <c r="G884" s="13">
        <f>F884</f>
        <v>120000</v>
      </c>
      <c r="I884" s="13">
        <v>120000</v>
      </c>
      <c r="J884" s="13">
        <v>120000</v>
      </c>
      <c r="L884" s="114">
        <f t="shared" si="24"/>
        <v>0</v>
      </c>
      <c r="M884" s="114">
        <f t="shared" si="25"/>
        <v>0</v>
      </c>
    </row>
    <row r="885" spans="1:13" s="113" customFormat="1" ht="27" customHeight="1" outlineLevel="1">
      <c r="A885" s="115" t="s">
        <v>688</v>
      </c>
      <c r="B885" s="116" t="s">
        <v>187</v>
      </c>
      <c r="C885" s="116" t="s">
        <v>22</v>
      </c>
      <c r="D885" s="116" t="s">
        <v>4</v>
      </c>
      <c r="E885" s="116" t="s">
        <v>1</v>
      </c>
      <c r="F885" s="117">
        <f>F886+F906</f>
        <v>58350400</v>
      </c>
      <c r="G885" s="117">
        <f>G886+G906</f>
        <v>58350400</v>
      </c>
      <c r="I885" s="117">
        <v>58350400</v>
      </c>
      <c r="J885" s="117">
        <v>58350400</v>
      </c>
      <c r="L885" s="114">
        <f t="shared" si="24"/>
        <v>0</v>
      </c>
      <c r="M885" s="114">
        <f t="shared" si="25"/>
        <v>0</v>
      </c>
    </row>
    <row r="886" spans="1:13" ht="31.5" outlineLevel="2">
      <c r="A886" s="82" t="s">
        <v>657</v>
      </c>
      <c r="B886" s="83" t="s">
        <v>187</v>
      </c>
      <c r="C886" s="83" t="s">
        <v>22</v>
      </c>
      <c r="D886" s="83" t="s">
        <v>23</v>
      </c>
      <c r="E886" s="83" t="s">
        <v>1</v>
      </c>
      <c r="F886" s="12">
        <f>F887+F895</f>
        <v>56883700</v>
      </c>
      <c r="G886" s="12">
        <f>G887+G895</f>
        <v>56883700</v>
      </c>
      <c r="I886" s="12">
        <v>56883700</v>
      </c>
      <c r="J886" s="12">
        <v>56883700</v>
      </c>
      <c r="L886" s="114">
        <f t="shared" si="24"/>
        <v>0</v>
      </c>
      <c r="M886" s="114">
        <f t="shared" si="25"/>
        <v>0</v>
      </c>
    </row>
    <row r="887" spans="1:13" ht="31.5" outlineLevel="3">
      <c r="A887" s="82" t="s">
        <v>640</v>
      </c>
      <c r="B887" s="83" t="s">
        <v>187</v>
      </c>
      <c r="C887" s="83" t="s">
        <v>22</v>
      </c>
      <c r="D887" s="83" t="s">
        <v>240</v>
      </c>
      <c r="E887" s="83" t="s">
        <v>1</v>
      </c>
      <c r="F887" s="12">
        <f>F888+F892</f>
        <v>17444400</v>
      </c>
      <c r="G887" s="12">
        <f>G888+G892</f>
        <v>17444400</v>
      </c>
      <c r="I887" s="12">
        <v>17444400</v>
      </c>
      <c r="J887" s="12">
        <v>17444400</v>
      </c>
      <c r="L887" s="114">
        <f t="shared" si="24"/>
        <v>0</v>
      </c>
      <c r="M887" s="114">
        <f t="shared" si="25"/>
        <v>0</v>
      </c>
    </row>
    <row r="888" spans="1:13" ht="47.25" outlineLevel="4">
      <c r="A888" s="19" t="s">
        <v>602</v>
      </c>
      <c r="B888" s="20" t="s">
        <v>187</v>
      </c>
      <c r="C888" s="20" t="s">
        <v>22</v>
      </c>
      <c r="D888" s="20" t="s">
        <v>388</v>
      </c>
      <c r="E888" s="20" t="s">
        <v>1</v>
      </c>
      <c r="F888" s="13">
        <f>F889</f>
        <v>425500</v>
      </c>
      <c r="G888" s="13">
        <f>G889</f>
        <v>425500</v>
      </c>
      <c r="I888" s="13">
        <v>425500</v>
      </c>
      <c r="J888" s="13">
        <v>425500</v>
      </c>
      <c r="L888" s="114">
        <f aca="true" t="shared" si="26" ref="L888:L942">F888-I888</f>
        <v>0</v>
      </c>
      <c r="M888" s="114">
        <f aca="true" t="shared" si="27" ref="M888:M942">G888-J888</f>
        <v>0</v>
      </c>
    </row>
    <row r="889" spans="1:13" ht="126" outlineLevel="5">
      <c r="A889" s="19" t="s">
        <v>479</v>
      </c>
      <c r="B889" s="20" t="s">
        <v>187</v>
      </c>
      <c r="C889" s="20" t="s">
        <v>22</v>
      </c>
      <c r="D889" s="20" t="s">
        <v>389</v>
      </c>
      <c r="E889" s="20" t="s">
        <v>1</v>
      </c>
      <c r="F889" s="13">
        <f>F890+F891</f>
        <v>425500</v>
      </c>
      <c r="G889" s="13">
        <f>G890+G891</f>
        <v>425500</v>
      </c>
      <c r="I889" s="13">
        <v>425500</v>
      </c>
      <c r="J889" s="13">
        <v>425500</v>
      </c>
      <c r="L889" s="114">
        <f t="shared" si="26"/>
        <v>0</v>
      </c>
      <c r="M889" s="114">
        <f t="shared" si="27"/>
        <v>0</v>
      </c>
    </row>
    <row r="890" spans="1:13" ht="31.5" outlineLevel="6">
      <c r="A890" s="19" t="s">
        <v>693</v>
      </c>
      <c r="B890" s="20" t="s">
        <v>187</v>
      </c>
      <c r="C890" s="20" t="s">
        <v>22</v>
      </c>
      <c r="D890" s="20" t="s">
        <v>389</v>
      </c>
      <c r="E890" s="20" t="s">
        <v>17</v>
      </c>
      <c r="F890" s="13">
        <f>'Приложение_7 '!G857</f>
        <v>170216.5</v>
      </c>
      <c r="G890" s="13">
        <f>F890</f>
        <v>170216.5</v>
      </c>
      <c r="I890" s="13">
        <v>170216.5</v>
      </c>
      <c r="J890" s="13">
        <v>170216.5</v>
      </c>
      <c r="L890" s="114">
        <f t="shared" si="26"/>
        <v>0</v>
      </c>
      <c r="M890" s="114">
        <f t="shared" si="27"/>
        <v>0</v>
      </c>
    </row>
    <row r="891" spans="1:13" ht="31.5" outlineLevel="6">
      <c r="A891" s="19" t="s">
        <v>696</v>
      </c>
      <c r="B891" s="20" t="s">
        <v>187</v>
      </c>
      <c r="C891" s="20" t="s">
        <v>22</v>
      </c>
      <c r="D891" s="20" t="s">
        <v>389</v>
      </c>
      <c r="E891" s="20" t="s">
        <v>70</v>
      </c>
      <c r="F891" s="13">
        <f>'Приложение_7 '!G858</f>
        <v>255283.5</v>
      </c>
      <c r="G891" s="13">
        <f>F891</f>
        <v>255283.5</v>
      </c>
      <c r="I891" s="13">
        <v>255283.5</v>
      </c>
      <c r="J891" s="13">
        <v>255283.5</v>
      </c>
      <c r="L891" s="114">
        <f t="shared" si="26"/>
        <v>0</v>
      </c>
      <c r="M891" s="114">
        <f t="shared" si="27"/>
        <v>0</v>
      </c>
    </row>
    <row r="892" spans="1:13" ht="31.5" outlineLevel="4">
      <c r="A892" s="19" t="s">
        <v>603</v>
      </c>
      <c r="B892" s="20" t="s">
        <v>187</v>
      </c>
      <c r="C892" s="20" t="s">
        <v>22</v>
      </c>
      <c r="D892" s="20" t="s">
        <v>390</v>
      </c>
      <c r="E892" s="20" t="s">
        <v>1</v>
      </c>
      <c r="F892" s="13">
        <f>F893</f>
        <v>17018900</v>
      </c>
      <c r="G892" s="13">
        <f>G893</f>
        <v>17018900</v>
      </c>
      <c r="I892" s="13">
        <v>17018900</v>
      </c>
      <c r="J892" s="13">
        <v>17018900</v>
      </c>
      <c r="L892" s="114">
        <f t="shared" si="26"/>
        <v>0</v>
      </c>
      <c r="M892" s="114">
        <f t="shared" si="27"/>
        <v>0</v>
      </c>
    </row>
    <row r="893" spans="1:13" ht="78.75" outlineLevel="5">
      <c r="A893" s="19" t="s">
        <v>480</v>
      </c>
      <c r="B893" s="20" t="s">
        <v>187</v>
      </c>
      <c r="C893" s="20" t="s">
        <v>22</v>
      </c>
      <c r="D893" s="20" t="s">
        <v>391</v>
      </c>
      <c r="E893" s="20" t="s">
        <v>1</v>
      </c>
      <c r="F893" s="13">
        <f>F894</f>
        <v>17018900</v>
      </c>
      <c r="G893" s="13">
        <f>G894</f>
        <v>17018900</v>
      </c>
      <c r="I893" s="13">
        <v>17018900</v>
      </c>
      <c r="J893" s="13">
        <v>17018900</v>
      </c>
      <c r="L893" s="114">
        <f t="shared" si="26"/>
        <v>0</v>
      </c>
      <c r="M893" s="114">
        <f t="shared" si="27"/>
        <v>0</v>
      </c>
    </row>
    <row r="894" spans="1:14" ht="31.5" outlineLevel="6">
      <c r="A894" s="19" t="s">
        <v>694</v>
      </c>
      <c r="B894" s="20" t="s">
        <v>187</v>
      </c>
      <c r="C894" s="20" t="s">
        <v>22</v>
      </c>
      <c r="D894" s="20" t="s">
        <v>391</v>
      </c>
      <c r="E894" s="20" t="s">
        <v>47</v>
      </c>
      <c r="F894" s="13">
        <f>'Приложение_7 '!G861</f>
        <v>17018900</v>
      </c>
      <c r="G894" s="13">
        <f>F894</f>
        <v>17018900</v>
      </c>
      <c r="I894" s="13">
        <v>17018900</v>
      </c>
      <c r="J894" s="13">
        <v>17018900</v>
      </c>
      <c r="L894" s="114">
        <f t="shared" si="26"/>
        <v>0</v>
      </c>
      <c r="M894" s="114">
        <f t="shared" si="27"/>
        <v>0</v>
      </c>
      <c r="N894" s="260"/>
    </row>
    <row r="895" spans="1:13" ht="47.25" outlineLevel="3">
      <c r="A895" s="82" t="s">
        <v>614</v>
      </c>
      <c r="B895" s="83" t="s">
        <v>187</v>
      </c>
      <c r="C895" s="83" t="s">
        <v>22</v>
      </c>
      <c r="D895" s="83" t="s">
        <v>24</v>
      </c>
      <c r="E895" s="83" t="s">
        <v>1</v>
      </c>
      <c r="F895" s="12">
        <f>F896+F900+F903</f>
        <v>39439300</v>
      </c>
      <c r="G895" s="12">
        <f>G896+G900+G903</f>
        <v>39439300</v>
      </c>
      <c r="I895" s="12">
        <v>39439300</v>
      </c>
      <c r="J895" s="12">
        <v>39439300</v>
      </c>
      <c r="L895" s="114">
        <f t="shared" si="26"/>
        <v>0</v>
      </c>
      <c r="M895" s="114">
        <f t="shared" si="27"/>
        <v>0</v>
      </c>
    </row>
    <row r="896" spans="1:14" ht="47.25" outlineLevel="4">
      <c r="A896" s="19" t="s">
        <v>604</v>
      </c>
      <c r="B896" s="20" t="s">
        <v>187</v>
      </c>
      <c r="C896" s="20" t="s">
        <v>22</v>
      </c>
      <c r="D896" s="20" t="s">
        <v>392</v>
      </c>
      <c r="E896" s="20" t="s">
        <v>1</v>
      </c>
      <c r="F896" s="13">
        <f>F897</f>
        <v>5286000</v>
      </c>
      <c r="G896" s="13">
        <f>G897</f>
        <v>5286000</v>
      </c>
      <c r="I896" s="13">
        <v>5286000</v>
      </c>
      <c r="J896" s="13">
        <v>5286000</v>
      </c>
      <c r="L896" s="114">
        <f t="shared" si="26"/>
        <v>0</v>
      </c>
      <c r="M896" s="114">
        <f t="shared" si="27"/>
        <v>0</v>
      </c>
      <c r="N896" s="260"/>
    </row>
    <row r="897" spans="1:13" ht="110.25" outlineLevel="5">
      <c r="A897" s="19" t="s">
        <v>481</v>
      </c>
      <c r="B897" s="20" t="s">
        <v>187</v>
      </c>
      <c r="C897" s="20" t="s">
        <v>22</v>
      </c>
      <c r="D897" s="20" t="s">
        <v>393</v>
      </c>
      <c r="E897" s="20" t="s">
        <v>1</v>
      </c>
      <c r="F897" s="13">
        <f>F898+F899</f>
        <v>5286000</v>
      </c>
      <c r="G897" s="13">
        <f>G898+G899</f>
        <v>5286000</v>
      </c>
      <c r="I897" s="13">
        <v>5286000</v>
      </c>
      <c r="J897" s="13">
        <v>5286000</v>
      </c>
      <c r="L897" s="114">
        <f t="shared" si="26"/>
        <v>0</v>
      </c>
      <c r="M897" s="114">
        <f t="shared" si="27"/>
        <v>0</v>
      </c>
    </row>
    <row r="898" spans="1:13" ht="78.75" outlineLevel="6">
      <c r="A898" s="19" t="s">
        <v>708</v>
      </c>
      <c r="B898" s="20" t="s">
        <v>187</v>
      </c>
      <c r="C898" s="20" t="s">
        <v>22</v>
      </c>
      <c r="D898" s="20" t="s">
        <v>393</v>
      </c>
      <c r="E898" s="20" t="s">
        <v>10</v>
      </c>
      <c r="F898" s="13">
        <f>'Приложение_7 '!G865</f>
        <v>3774682.59</v>
      </c>
      <c r="G898" s="13">
        <f>F898</f>
        <v>3774682.59</v>
      </c>
      <c r="I898" s="13">
        <v>3774682.59</v>
      </c>
      <c r="J898" s="13">
        <v>3774682.59</v>
      </c>
      <c r="L898" s="114">
        <f t="shared" si="26"/>
        <v>0</v>
      </c>
      <c r="M898" s="114">
        <f t="shared" si="27"/>
        <v>0</v>
      </c>
    </row>
    <row r="899" spans="1:13" ht="31.5" outlineLevel="6">
      <c r="A899" s="19" t="s">
        <v>693</v>
      </c>
      <c r="B899" s="20" t="s">
        <v>187</v>
      </c>
      <c r="C899" s="20" t="s">
        <v>22</v>
      </c>
      <c r="D899" s="20" t="s">
        <v>393</v>
      </c>
      <c r="E899" s="20" t="s">
        <v>17</v>
      </c>
      <c r="F899" s="13">
        <f>'Приложение_7 '!G866</f>
        <v>1511317.41</v>
      </c>
      <c r="G899" s="13">
        <f>F899</f>
        <v>1511317.41</v>
      </c>
      <c r="I899" s="13">
        <v>1511317.41</v>
      </c>
      <c r="J899" s="13">
        <v>1511317.41</v>
      </c>
      <c r="L899" s="114">
        <f t="shared" si="26"/>
        <v>0</v>
      </c>
      <c r="M899" s="114">
        <f t="shared" si="27"/>
        <v>0</v>
      </c>
    </row>
    <row r="900" spans="1:13" ht="63" outlineLevel="4">
      <c r="A900" s="19" t="s">
        <v>605</v>
      </c>
      <c r="B900" s="20" t="s">
        <v>187</v>
      </c>
      <c r="C900" s="20" t="s">
        <v>22</v>
      </c>
      <c r="D900" s="20" t="s">
        <v>394</v>
      </c>
      <c r="E900" s="20" t="s">
        <v>1</v>
      </c>
      <c r="F900" s="13">
        <f>F901</f>
        <v>756100</v>
      </c>
      <c r="G900" s="13">
        <f>G901</f>
        <v>756100</v>
      </c>
      <c r="I900" s="13">
        <v>756100</v>
      </c>
      <c r="J900" s="13">
        <v>756100</v>
      </c>
      <c r="L900" s="114">
        <f t="shared" si="26"/>
        <v>0</v>
      </c>
      <c r="M900" s="114">
        <f t="shared" si="27"/>
        <v>0</v>
      </c>
    </row>
    <row r="901" spans="1:13" ht="94.5" outlineLevel="5">
      <c r="A901" s="19" t="s">
        <v>482</v>
      </c>
      <c r="B901" s="20" t="s">
        <v>187</v>
      </c>
      <c r="C901" s="20" t="s">
        <v>22</v>
      </c>
      <c r="D901" s="20" t="s">
        <v>395</v>
      </c>
      <c r="E901" s="20" t="s">
        <v>1</v>
      </c>
      <c r="F901" s="13">
        <f>F902</f>
        <v>756100</v>
      </c>
      <c r="G901" s="13">
        <f>G902</f>
        <v>756100</v>
      </c>
      <c r="I901" s="13">
        <v>756100</v>
      </c>
      <c r="J901" s="13">
        <v>756100</v>
      </c>
      <c r="L901" s="114">
        <f t="shared" si="26"/>
        <v>0</v>
      </c>
      <c r="M901" s="114">
        <f t="shared" si="27"/>
        <v>0</v>
      </c>
    </row>
    <row r="902" spans="1:13" ht="31.5" outlineLevel="6">
      <c r="A902" s="19" t="s">
        <v>694</v>
      </c>
      <c r="B902" s="20" t="s">
        <v>187</v>
      </c>
      <c r="C902" s="20" t="s">
        <v>22</v>
      </c>
      <c r="D902" s="20" t="s">
        <v>395</v>
      </c>
      <c r="E902" s="20" t="s">
        <v>47</v>
      </c>
      <c r="F902" s="13">
        <f>'Приложение_7 '!G869</f>
        <v>756100</v>
      </c>
      <c r="G902" s="13">
        <f>F902</f>
        <v>756100</v>
      </c>
      <c r="I902" s="13">
        <v>756100</v>
      </c>
      <c r="J902" s="13">
        <v>756100</v>
      </c>
      <c r="L902" s="114">
        <f t="shared" si="26"/>
        <v>0</v>
      </c>
      <c r="M902" s="114">
        <f t="shared" si="27"/>
        <v>0</v>
      </c>
    </row>
    <row r="903" spans="1:13" ht="47.25" outlineLevel="4">
      <c r="A903" s="19" t="s">
        <v>606</v>
      </c>
      <c r="B903" s="20" t="s">
        <v>187</v>
      </c>
      <c r="C903" s="20" t="s">
        <v>22</v>
      </c>
      <c r="D903" s="20" t="s">
        <v>396</v>
      </c>
      <c r="E903" s="20" t="s">
        <v>1</v>
      </c>
      <c r="F903" s="13">
        <f>F904</f>
        <v>33397200</v>
      </c>
      <c r="G903" s="13">
        <f>G904</f>
        <v>33397200</v>
      </c>
      <c r="I903" s="13">
        <v>33397200</v>
      </c>
      <c r="J903" s="13">
        <v>33397200</v>
      </c>
      <c r="L903" s="114">
        <f t="shared" si="26"/>
        <v>0</v>
      </c>
      <c r="M903" s="114">
        <f t="shared" si="27"/>
        <v>0</v>
      </c>
    </row>
    <row r="904" spans="1:13" ht="63" outlineLevel="5">
      <c r="A904" s="19" t="s">
        <v>483</v>
      </c>
      <c r="B904" s="20" t="s">
        <v>187</v>
      </c>
      <c r="C904" s="20" t="s">
        <v>22</v>
      </c>
      <c r="D904" s="20" t="s">
        <v>397</v>
      </c>
      <c r="E904" s="20" t="s">
        <v>1</v>
      </c>
      <c r="F904" s="13">
        <f>F905</f>
        <v>33397200</v>
      </c>
      <c r="G904" s="13">
        <f>G905</f>
        <v>33397200</v>
      </c>
      <c r="I904" s="13">
        <v>33397200</v>
      </c>
      <c r="J904" s="13">
        <v>33397200</v>
      </c>
      <c r="L904" s="114">
        <f t="shared" si="26"/>
        <v>0</v>
      </c>
      <c r="M904" s="114">
        <f t="shared" si="27"/>
        <v>0</v>
      </c>
    </row>
    <row r="905" spans="1:13" ht="31.5" outlineLevel="6">
      <c r="A905" s="19" t="s">
        <v>694</v>
      </c>
      <c r="B905" s="20" t="s">
        <v>187</v>
      </c>
      <c r="C905" s="20" t="s">
        <v>22</v>
      </c>
      <c r="D905" s="20" t="s">
        <v>397</v>
      </c>
      <c r="E905" s="20" t="s">
        <v>47</v>
      </c>
      <c r="F905" s="13">
        <f>'Приложение_7 '!G872</f>
        <v>33397200</v>
      </c>
      <c r="G905" s="13">
        <f>F905</f>
        <v>33397200</v>
      </c>
      <c r="I905" s="13">
        <v>33397200</v>
      </c>
      <c r="J905" s="13">
        <v>33397200</v>
      </c>
      <c r="L905" s="114">
        <f t="shared" si="26"/>
        <v>0</v>
      </c>
      <c r="M905" s="114">
        <f t="shared" si="27"/>
        <v>0</v>
      </c>
    </row>
    <row r="906" spans="1:13" ht="47.25" outlineLevel="2">
      <c r="A906" s="82" t="s">
        <v>656</v>
      </c>
      <c r="B906" s="83" t="s">
        <v>187</v>
      </c>
      <c r="C906" s="83" t="s">
        <v>22</v>
      </c>
      <c r="D906" s="83" t="s">
        <v>6</v>
      </c>
      <c r="E906" s="83" t="s">
        <v>1</v>
      </c>
      <c r="F906" s="12">
        <f>F907</f>
        <v>1466700</v>
      </c>
      <c r="G906" s="12">
        <f>G907</f>
        <v>1466700</v>
      </c>
      <c r="I906" s="12">
        <v>1466700</v>
      </c>
      <c r="J906" s="12">
        <v>1466700</v>
      </c>
      <c r="L906" s="114">
        <f t="shared" si="26"/>
        <v>0</v>
      </c>
      <c r="M906" s="114">
        <f t="shared" si="27"/>
        <v>0</v>
      </c>
    </row>
    <row r="907" spans="1:13" ht="31.5" outlineLevel="3">
      <c r="A907" s="82" t="s">
        <v>616</v>
      </c>
      <c r="B907" s="83" t="s">
        <v>187</v>
      </c>
      <c r="C907" s="83" t="s">
        <v>22</v>
      </c>
      <c r="D907" s="83" t="s">
        <v>43</v>
      </c>
      <c r="E907" s="83" t="s">
        <v>1</v>
      </c>
      <c r="F907" s="12">
        <f>F908+F912</f>
        <v>1466700</v>
      </c>
      <c r="G907" s="12">
        <f>G908+G912</f>
        <v>1466700</v>
      </c>
      <c r="I907" s="12">
        <v>1466700</v>
      </c>
      <c r="J907" s="12">
        <v>1466700</v>
      </c>
      <c r="L907" s="114">
        <f t="shared" si="26"/>
        <v>0</v>
      </c>
      <c r="M907" s="114">
        <f t="shared" si="27"/>
        <v>0</v>
      </c>
    </row>
    <row r="908" spans="1:13" ht="47.25" outlineLevel="4">
      <c r="A908" s="19" t="s">
        <v>607</v>
      </c>
      <c r="B908" s="20" t="s">
        <v>187</v>
      </c>
      <c r="C908" s="20" t="s">
        <v>22</v>
      </c>
      <c r="D908" s="20" t="s">
        <v>398</v>
      </c>
      <c r="E908" s="20" t="s">
        <v>1</v>
      </c>
      <c r="F908" s="13">
        <f>F909</f>
        <v>1321500</v>
      </c>
      <c r="G908" s="13">
        <f>G909</f>
        <v>1321500</v>
      </c>
      <c r="I908" s="13">
        <v>1321500</v>
      </c>
      <c r="J908" s="13">
        <v>1321500</v>
      </c>
      <c r="L908" s="114">
        <f t="shared" si="26"/>
        <v>0</v>
      </c>
      <c r="M908" s="114">
        <f t="shared" si="27"/>
        <v>0</v>
      </c>
    </row>
    <row r="909" spans="1:13" ht="47.25" outlineLevel="5">
      <c r="A909" s="19" t="s">
        <v>484</v>
      </c>
      <c r="B909" s="20" t="s">
        <v>187</v>
      </c>
      <c r="C909" s="20" t="s">
        <v>22</v>
      </c>
      <c r="D909" s="20" t="s">
        <v>399</v>
      </c>
      <c r="E909" s="20" t="s">
        <v>1</v>
      </c>
      <c r="F909" s="13">
        <f>F910+F911</f>
        <v>1321500</v>
      </c>
      <c r="G909" s="13">
        <f>G910+G911</f>
        <v>1321500</v>
      </c>
      <c r="I909" s="13">
        <v>1321500</v>
      </c>
      <c r="J909" s="16">
        <v>1321500</v>
      </c>
      <c r="L909" s="114">
        <f t="shared" si="26"/>
        <v>0</v>
      </c>
      <c r="M909" s="114">
        <f t="shared" si="27"/>
        <v>0</v>
      </c>
    </row>
    <row r="910" spans="1:13" ht="78.75" outlineLevel="6">
      <c r="A910" s="19" t="s">
        <v>708</v>
      </c>
      <c r="B910" s="20" t="s">
        <v>187</v>
      </c>
      <c r="C910" s="20" t="s">
        <v>22</v>
      </c>
      <c r="D910" s="20" t="s">
        <v>399</v>
      </c>
      <c r="E910" s="20" t="s">
        <v>10</v>
      </c>
      <c r="F910" s="15">
        <f>'Приложение_7 '!G282</f>
        <v>1204628.17</v>
      </c>
      <c r="G910" s="18">
        <f>F910</f>
        <v>1204628.17</v>
      </c>
      <c r="I910" s="15">
        <v>1185628.17</v>
      </c>
      <c r="J910" s="18">
        <v>1185628.17</v>
      </c>
      <c r="L910" s="114">
        <f t="shared" si="26"/>
        <v>19000</v>
      </c>
      <c r="M910" s="114">
        <f t="shared" si="27"/>
        <v>19000</v>
      </c>
    </row>
    <row r="911" spans="1:13" ht="31.5" outlineLevel="6">
      <c r="A911" s="19" t="s">
        <v>693</v>
      </c>
      <c r="B911" s="20" t="s">
        <v>187</v>
      </c>
      <c r="C911" s="20" t="s">
        <v>22</v>
      </c>
      <c r="D911" s="20" t="s">
        <v>399</v>
      </c>
      <c r="E911" s="20" t="s">
        <v>17</v>
      </c>
      <c r="F911" s="15">
        <f>'Приложение_7 '!G283</f>
        <v>116871.82999999999</v>
      </c>
      <c r="G911" s="18">
        <f>F911</f>
        <v>116871.82999999999</v>
      </c>
      <c r="I911" s="15">
        <v>135871.83</v>
      </c>
      <c r="J911" s="18">
        <v>135871.83</v>
      </c>
      <c r="L911" s="114">
        <f t="shared" si="26"/>
        <v>-19000</v>
      </c>
      <c r="M911" s="114">
        <f t="shared" si="27"/>
        <v>-19000</v>
      </c>
    </row>
    <row r="912" spans="1:13" ht="110.25" outlineLevel="4">
      <c r="A912" s="19" t="s">
        <v>608</v>
      </c>
      <c r="B912" s="20" t="s">
        <v>187</v>
      </c>
      <c r="C912" s="20" t="s">
        <v>22</v>
      </c>
      <c r="D912" s="20" t="s">
        <v>400</v>
      </c>
      <c r="E912" s="20" t="s">
        <v>1</v>
      </c>
      <c r="F912" s="15">
        <f>F913</f>
        <v>145200</v>
      </c>
      <c r="G912" s="222">
        <f>G913</f>
        <v>145200</v>
      </c>
      <c r="I912" s="15">
        <v>145200</v>
      </c>
      <c r="J912" s="18">
        <v>145200</v>
      </c>
      <c r="L912" s="114">
        <f t="shared" si="26"/>
        <v>0</v>
      </c>
      <c r="M912" s="114">
        <f t="shared" si="27"/>
        <v>0</v>
      </c>
    </row>
    <row r="913" spans="1:13" ht="110.25" outlineLevel="5">
      <c r="A913" s="19" t="s">
        <v>485</v>
      </c>
      <c r="B913" s="20" t="s">
        <v>187</v>
      </c>
      <c r="C913" s="20" t="s">
        <v>22</v>
      </c>
      <c r="D913" s="20" t="s">
        <v>401</v>
      </c>
      <c r="E913" s="20" t="s">
        <v>1</v>
      </c>
      <c r="F913" s="15">
        <f>F914+F915</f>
        <v>145200</v>
      </c>
      <c r="G913" s="223">
        <f>G914+G915</f>
        <v>145200</v>
      </c>
      <c r="I913" s="15">
        <v>145200</v>
      </c>
      <c r="J913" s="18">
        <v>145200</v>
      </c>
      <c r="L913" s="114">
        <f t="shared" si="26"/>
        <v>0</v>
      </c>
      <c r="M913" s="114">
        <f t="shared" si="27"/>
        <v>0</v>
      </c>
    </row>
    <row r="914" spans="1:13" ht="78.75" outlineLevel="6">
      <c r="A914" s="19" t="s">
        <v>708</v>
      </c>
      <c r="B914" s="20" t="s">
        <v>187</v>
      </c>
      <c r="C914" s="20" t="s">
        <v>22</v>
      </c>
      <c r="D914" s="20" t="s">
        <v>401</v>
      </c>
      <c r="E914" s="20" t="s">
        <v>10</v>
      </c>
      <c r="F914" s="15">
        <f>'Приложение_7 '!G286</f>
        <v>128488.7</v>
      </c>
      <c r="G914" s="18">
        <f>F914</f>
        <v>128488.7</v>
      </c>
      <c r="I914" s="15">
        <v>128488.7</v>
      </c>
      <c r="J914" s="18">
        <v>128488.7</v>
      </c>
      <c r="L914" s="114">
        <f t="shared" si="26"/>
        <v>0</v>
      </c>
      <c r="M914" s="114">
        <f t="shared" si="27"/>
        <v>0</v>
      </c>
    </row>
    <row r="915" spans="1:13" ht="31.5" outlineLevel="6">
      <c r="A915" s="19" t="s">
        <v>693</v>
      </c>
      <c r="B915" s="20" t="s">
        <v>187</v>
      </c>
      <c r="C915" s="20" t="s">
        <v>22</v>
      </c>
      <c r="D915" s="20" t="s">
        <v>401</v>
      </c>
      <c r="E915" s="20" t="s">
        <v>17</v>
      </c>
      <c r="F915" s="15">
        <f>'Приложение_7 '!G287</f>
        <v>16711.3</v>
      </c>
      <c r="G915" s="18">
        <f>F915</f>
        <v>16711.3</v>
      </c>
      <c r="I915" s="15">
        <v>16711.3</v>
      </c>
      <c r="J915" s="18">
        <v>16711.3</v>
      </c>
      <c r="L915" s="114">
        <f t="shared" si="26"/>
        <v>0</v>
      </c>
      <c r="M915" s="114">
        <f t="shared" si="27"/>
        <v>0</v>
      </c>
    </row>
    <row r="916" spans="1:13" s="113" customFormat="1" ht="15.75">
      <c r="A916" s="82" t="s">
        <v>704</v>
      </c>
      <c r="B916" s="83" t="s">
        <v>63</v>
      </c>
      <c r="C916" s="83" t="s">
        <v>3</v>
      </c>
      <c r="D916" s="83" t="s">
        <v>4</v>
      </c>
      <c r="E916" s="83" t="s">
        <v>1</v>
      </c>
      <c r="F916" s="119">
        <f>F917</f>
        <v>1400050</v>
      </c>
      <c r="G916" s="120"/>
      <c r="I916" s="119">
        <v>1400050</v>
      </c>
      <c r="J916" s="120"/>
      <c r="L916" s="114">
        <f t="shared" si="26"/>
        <v>0</v>
      </c>
      <c r="M916" s="114">
        <f t="shared" si="27"/>
        <v>0</v>
      </c>
    </row>
    <row r="917" spans="1:13" s="113" customFormat="1" ht="31.5" outlineLevel="1">
      <c r="A917" s="82" t="s">
        <v>689</v>
      </c>
      <c r="B917" s="83" t="s">
        <v>63</v>
      </c>
      <c r="C917" s="83" t="s">
        <v>2</v>
      </c>
      <c r="D917" s="83" t="s">
        <v>4</v>
      </c>
      <c r="E917" s="83" t="s">
        <v>1</v>
      </c>
      <c r="F917" s="119">
        <f>F918</f>
        <v>1400050</v>
      </c>
      <c r="G917" s="120"/>
      <c r="I917" s="119">
        <v>1400050</v>
      </c>
      <c r="J917" s="120"/>
      <c r="L917" s="114">
        <f t="shared" si="26"/>
        <v>0</v>
      </c>
      <c r="M917" s="114">
        <f t="shared" si="27"/>
        <v>0</v>
      </c>
    </row>
    <row r="918" spans="1:13" ht="47.25" outlineLevel="2">
      <c r="A918" s="82" t="s">
        <v>662</v>
      </c>
      <c r="B918" s="83" t="s">
        <v>63</v>
      </c>
      <c r="C918" s="83" t="s">
        <v>2</v>
      </c>
      <c r="D918" s="83" t="s">
        <v>297</v>
      </c>
      <c r="E918" s="83" t="s">
        <v>1</v>
      </c>
      <c r="F918" s="119">
        <f>F919</f>
        <v>1400050</v>
      </c>
      <c r="G918" s="120"/>
      <c r="I918" s="119">
        <v>1400050</v>
      </c>
      <c r="J918" s="120"/>
      <c r="L918" s="114">
        <f t="shared" si="26"/>
        <v>0</v>
      </c>
      <c r="M918" s="114">
        <f t="shared" si="27"/>
        <v>0</v>
      </c>
    </row>
    <row r="919" spans="1:13" ht="31.5" outlineLevel="3">
      <c r="A919" s="82" t="s">
        <v>653</v>
      </c>
      <c r="B919" s="83" t="s">
        <v>63</v>
      </c>
      <c r="C919" s="83" t="s">
        <v>2</v>
      </c>
      <c r="D919" s="83" t="s">
        <v>402</v>
      </c>
      <c r="E919" s="83" t="s">
        <v>1</v>
      </c>
      <c r="F919" s="119">
        <f>F920+F924</f>
        <v>1400050</v>
      </c>
      <c r="G919" s="120"/>
      <c r="I919" s="119">
        <v>1400050</v>
      </c>
      <c r="J919" s="120"/>
      <c r="L919" s="114">
        <f t="shared" si="26"/>
        <v>0</v>
      </c>
      <c r="M919" s="114">
        <f t="shared" si="27"/>
        <v>0</v>
      </c>
    </row>
    <row r="920" spans="1:13" ht="47.25" outlineLevel="4">
      <c r="A920" s="19" t="s">
        <v>609</v>
      </c>
      <c r="B920" s="20" t="s">
        <v>63</v>
      </c>
      <c r="C920" s="20" t="s">
        <v>2</v>
      </c>
      <c r="D920" s="20" t="s">
        <v>403</v>
      </c>
      <c r="E920" s="20" t="s">
        <v>1</v>
      </c>
      <c r="F920" s="15">
        <f>F921</f>
        <v>893050</v>
      </c>
      <c r="G920" s="17"/>
      <c r="I920" s="15">
        <v>880050</v>
      </c>
      <c r="J920" s="17"/>
      <c r="L920" s="114">
        <f t="shared" si="26"/>
        <v>13000</v>
      </c>
      <c r="M920" s="114">
        <f t="shared" si="27"/>
        <v>0</v>
      </c>
    </row>
    <row r="921" spans="1:13" ht="31.5" outlineLevel="5">
      <c r="A921" s="19" t="s">
        <v>441</v>
      </c>
      <c r="B921" s="20" t="s">
        <v>63</v>
      </c>
      <c r="C921" s="20" t="s">
        <v>2</v>
      </c>
      <c r="D921" s="20" t="s">
        <v>404</v>
      </c>
      <c r="E921" s="20" t="s">
        <v>1</v>
      </c>
      <c r="F921" s="15">
        <f>F922+F923</f>
        <v>893050</v>
      </c>
      <c r="G921" s="17"/>
      <c r="I921" s="15">
        <v>880050</v>
      </c>
      <c r="J921" s="17"/>
      <c r="L921" s="114">
        <f t="shared" si="26"/>
        <v>13000</v>
      </c>
      <c r="M921" s="114">
        <f t="shared" si="27"/>
        <v>0</v>
      </c>
    </row>
    <row r="922" spans="1:13" ht="78.75" outlineLevel="6">
      <c r="A922" s="19" t="s">
        <v>708</v>
      </c>
      <c r="B922" s="20" t="s">
        <v>63</v>
      </c>
      <c r="C922" s="20" t="s">
        <v>2</v>
      </c>
      <c r="D922" s="20" t="s">
        <v>404</v>
      </c>
      <c r="E922" s="20" t="s">
        <v>10</v>
      </c>
      <c r="F922" s="15">
        <f>'Приложение_7 '!G1057</f>
        <v>240000</v>
      </c>
      <c r="G922" s="17"/>
      <c r="I922" s="15">
        <v>300000</v>
      </c>
      <c r="J922" s="17"/>
      <c r="L922" s="114">
        <f t="shared" si="26"/>
        <v>-60000</v>
      </c>
      <c r="M922" s="114">
        <f t="shared" si="27"/>
        <v>0</v>
      </c>
    </row>
    <row r="923" spans="1:13" ht="31.5" outlineLevel="6">
      <c r="A923" s="19" t="s">
        <v>693</v>
      </c>
      <c r="B923" s="20" t="s">
        <v>63</v>
      </c>
      <c r="C923" s="20" t="s">
        <v>2</v>
      </c>
      <c r="D923" s="20" t="s">
        <v>404</v>
      </c>
      <c r="E923" s="20" t="s">
        <v>17</v>
      </c>
      <c r="F923" s="15">
        <f>'Приложение_7 '!G1058</f>
        <v>653050</v>
      </c>
      <c r="G923" s="17"/>
      <c r="I923" s="15">
        <v>580050</v>
      </c>
      <c r="J923" s="17"/>
      <c r="L923" s="114">
        <f t="shared" si="26"/>
        <v>73000</v>
      </c>
      <c r="M923" s="114">
        <f t="shared" si="27"/>
        <v>0</v>
      </c>
    </row>
    <row r="924" spans="1:13" ht="63" outlineLevel="4">
      <c r="A924" s="19" t="s">
        <v>610</v>
      </c>
      <c r="B924" s="20" t="s">
        <v>63</v>
      </c>
      <c r="C924" s="20" t="s">
        <v>2</v>
      </c>
      <c r="D924" s="20" t="s">
        <v>405</v>
      </c>
      <c r="E924" s="20" t="s">
        <v>1</v>
      </c>
      <c r="F924" s="15">
        <f>F925</f>
        <v>507000</v>
      </c>
      <c r="G924" s="17"/>
      <c r="I924" s="15">
        <v>520000</v>
      </c>
      <c r="J924" s="17"/>
      <c r="L924" s="114">
        <f t="shared" si="26"/>
        <v>-13000</v>
      </c>
      <c r="M924" s="114">
        <f t="shared" si="27"/>
        <v>0</v>
      </c>
    </row>
    <row r="925" spans="1:13" ht="31.5" outlineLevel="5">
      <c r="A925" s="19" t="s">
        <v>441</v>
      </c>
      <c r="B925" s="20" t="s">
        <v>63</v>
      </c>
      <c r="C925" s="20" t="s">
        <v>2</v>
      </c>
      <c r="D925" s="20" t="s">
        <v>406</v>
      </c>
      <c r="E925" s="20" t="s">
        <v>1</v>
      </c>
      <c r="F925" s="15">
        <f>F926+F927</f>
        <v>507000</v>
      </c>
      <c r="G925" s="17"/>
      <c r="I925" s="15">
        <v>520000</v>
      </c>
      <c r="J925" s="17"/>
      <c r="L925" s="114">
        <f t="shared" si="26"/>
        <v>-13000</v>
      </c>
      <c r="M925" s="114">
        <f t="shared" si="27"/>
        <v>0</v>
      </c>
    </row>
    <row r="926" spans="1:13" ht="78.75" outlineLevel="6">
      <c r="A926" s="19" t="s">
        <v>708</v>
      </c>
      <c r="B926" s="20" t="s">
        <v>63</v>
      </c>
      <c r="C926" s="20" t="s">
        <v>2</v>
      </c>
      <c r="D926" s="20" t="s">
        <v>406</v>
      </c>
      <c r="E926" s="20" t="s">
        <v>10</v>
      </c>
      <c r="F926" s="15">
        <f>'Приложение_7 '!G1061</f>
        <v>240000</v>
      </c>
      <c r="G926" s="17"/>
      <c r="I926" s="15">
        <v>240000</v>
      </c>
      <c r="J926" s="17"/>
      <c r="L926" s="114">
        <f t="shared" si="26"/>
        <v>0</v>
      </c>
      <c r="M926" s="114">
        <f t="shared" si="27"/>
        <v>0</v>
      </c>
    </row>
    <row r="927" spans="1:13" ht="31.5" outlineLevel="6">
      <c r="A927" s="19" t="s">
        <v>693</v>
      </c>
      <c r="B927" s="20" t="s">
        <v>63</v>
      </c>
      <c r="C927" s="20" t="s">
        <v>2</v>
      </c>
      <c r="D927" s="20" t="s">
        <v>406</v>
      </c>
      <c r="E927" s="20" t="s">
        <v>17</v>
      </c>
      <c r="F927" s="15">
        <f>'Приложение_7 '!G1062</f>
        <v>267000</v>
      </c>
      <c r="G927" s="17"/>
      <c r="I927" s="15">
        <v>280000</v>
      </c>
      <c r="J927" s="17"/>
      <c r="L927" s="114">
        <f t="shared" si="26"/>
        <v>-13000</v>
      </c>
      <c r="M927" s="114">
        <f t="shared" si="27"/>
        <v>0</v>
      </c>
    </row>
    <row r="928" spans="1:13" s="113" customFormat="1" ht="15.75">
      <c r="A928" s="82" t="s">
        <v>705</v>
      </c>
      <c r="B928" s="83" t="s">
        <v>192</v>
      </c>
      <c r="C928" s="83" t="s">
        <v>3</v>
      </c>
      <c r="D928" s="83" t="s">
        <v>4</v>
      </c>
      <c r="E928" s="83" t="s">
        <v>1</v>
      </c>
      <c r="F928" s="119">
        <f aca="true" t="shared" si="28" ref="F928:F933">F929</f>
        <v>1425000</v>
      </c>
      <c r="G928" s="120"/>
      <c r="I928" s="119">
        <v>1425000</v>
      </c>
      <c r="J928" s="120"/>
      <c r="L928" s="114">
        <f t="shared" si="26"/>
        <v>0</v>
      </c>
      <c r="M928" s="114">
        <f t="shared" si="27"/>
        <v>0</v>
      </c>
    </row>
    <row r="929" spans="1:13" s="113" customFormat="1" ht="23.25" customHeight="1" outlineLevel="1">
      <c r="A929" s="82" t="s">
        <v>690</v>
      </c>
      <c r="B929" s="83" t="s">
        <v>192</v>
      </c>
      <c r="C929" s="83" t="s">
        <v>5</v>
      </c>
      <c r="D929" s="83" t="s">
        <v>4</v>
      </c>
      <c r="E929" s="83" t="s">
        <v>1</v>
      </c>
      <c r="F929" s="119">
        <f t="shared" si="28"/>
        <v>1425000</v>
      </c>
      <c r="G929" s="120"/>
      <c r="I929" s="119">
        <v>1425000</v>
      </c>
      <c r="J929" s="120"/>
      <c r="L929" s="114">
        <f t="shared" si="26"/>
        <v>0</v>
      </c>
      <c r="M929" s="114">
        <f t="shared" si="27"/>
        <v>0</v>
      </c>
    </row>
    <row r="930" spans="1:13" ht="31.5" outlineLevel="2">
      <c r="A930" s="82" t="s">
        <v>659</v>
      </c>
      <c r="B930" s="83" t="s">
        <v>192</v>
      </c>
      <c r="C930" s="83" t="s">
        <v>5</v>
      </c>
      <c r="D930" s="83" t="s">
        <v>90</v>
      </c>
      <c r="E930" s="83" t="s">
        <v>1</v>
      </c>
      <c r="F930" s="119">
        <f t="shared" si="28"/>
        <v>1425000</v>
      </c>
      <c r="G930" s="120"/>
      <c r="I930" s="119">
        <v>1425000</v>
      </c>
      <c r="J930" s="120"/>
      <c r="L930" s="114">
        <f t="shared" si="26"/>
        <v>0</v>
      </c>
      <c r="M930" s="114">
        <f t="shared" si="27"/>
        <v>0</v>
      </c>
    </row>
    <row r="931" spans="1:13" ht="78.75" outlineLevel="3">
      <c r="A931" s="82" t="s">
        <v>654</v>
      </c>
      <c r="B931" s="83" t="s">
        <v>192</v>
      </c>
      <c r="C931" s="83" t="s">
        <v>5</v>
      </c>
      <c r="D931" s="83" t="s">
        <v>407</v>
      </c>
      <c r="E931" s="83" t="s">
        <v>1</v>
      </c>
      <c r="F931" s="119">
        <f t="shared" si="28"/>
        <v>1425000</v>
      </c>
      <c r="G931" s="120"/>
      <c r="I931" s="119">
        <v>1425000</v>
      </c>
      <c r="J931" s="120"/>
      <c r="L931" s="114">
        <f t="shared" si="26"/>
        <v>0</v>
      </c>
      <c r="M931" s="114">
        <f t="shared" si="27"/>
        <v>0</v>
      </c>
    </row>
    <row r="932" spans="1:13" ht="63" outlineLevel="4">
      <c r="A932" s="19" t="s">
        <v>611</v>
      </c>
      <c r="B932" s="20" t="s">
        <v>192</v>
      </c>
      <c r="C932" s="20" t="s">
        <v>5</v>
      </c>
      <c r="D932" s="20" t="s">
        <v>408</v>
      </c>
      <c r="E932" s="20" t="s">
        <v>1</v>
      </c>
      <c r="F932" s="15">
        <f t="shared" si="28"/>
        <v>1425000</v>
      </c>
      <c r="G932" s="17"/>
      <c r="I932" s="15">
        <v>1425000</v>
      </c>
      <c r="J932" s="17"/>
      <c r="L932" s="114">
        <f t="shared" si="26"/>
        <v>0</v>
      </c>
      <c r="M932" s="114">
        <f t="shared" si="27"/>
        <v>0</v>
      </c>
    </row>
    <row r="933" spans="1:13" ht="31.5" outlineLevel="5">
      <c r="A933" s="19" t="s">
        <v>441</v>
      </c>
      <c r="B933" s="20" t="s">
        <v>192</v>
      </c>
      <c r="C933" s="20" t="s">
        <v>5</v>
      </c>
      <c r="D933" s="20" t="s">
        <v>409</v>
      </c>
      <c r="E933" s="20" t="s">
        <v>1</v>
      </c>
      <c r="F933" s="15">
        <f t="shared" si="28"/>
        <v>1425000</v>
      </c>
      <c r="G933" s="17"/>
      <c r="I933" s="15">
        <v>1425000</v>
      </c>
      <c r="J933" s="17"/>
      <c r="L933" s="114">
        <f t="shared" si="26"/>
        <v>0</v>
      </c>
      <c r="M933" s="114">
        <f t="shared" si="27"/>
        <v>0</v>
      </c>
    </row>
    <row r="934" spans="1:13" ht="31.5" outlineLevel="6">
      <c r="A934" s="19" t="s">
        <v>693</v>
      </c>
      <c r="B934" s="20" t="s">
        <v>192</v>
      </c>
      <c r="C934" s="20" t="s">
        <v>5</v>
      </c>
      <c r="D934" s="20" t="s">
        <v>409</v>
      </c>
      <c r="E934" s="20" t="s">
        <v>17</v>
      </c>
      <c r="F934" s="15">
        <f>'Приложение_7 '!G294</f>
        <v>1425000</v>
      </c>
      <c r="G934" s="17"/>
      <c r="I934" s="15">
        <v>1425000</v>
      </c>
      <c r="J934" s="17"/>
      <c r="L934" s="114">
        <f t="shared" si="26"/>
        <v>0</v>
      </c>
      <c r="M934" s="114">
        <f t="shared" si="27"/>
        <v>0</v>
      </c>
    </row>
    <row r="935" spans="1:13" ht="31.5">
      <c r="A935" s="82" t="s">
        <v>706</v>
      </c>
      <c r="B935" s="83" t="s">
        <v>66</v>
      </c>
      <c r="C935" s="83" t="s">
        <v>3</v>
      </c>
      <c r="D935" s="83" t="s">
        <v>4</v>
      </c>
      <c r="E935" s="83" t="s">
        <v>1</v>
      </c>
      <c r="F935" s="119">
        <f aca="true" t="shared" si="29" ref="F935:F940">F936</f>
        <v>11801646.99</v>
      </c>
      <c r="G935" s="120"/>
      <c r="I935" s="119">
        <v>11801646.99</v>
      </c>
      <c r="J935" s="120"/>
      <c r="L935" s="114">
        <f t="shared" si="26"/>
        <v>0</v>
      </c>
      <c r="M935" s="114">
        <f t="shared" si="27"/>
        <v>0</v>
      </c>
    </row>
    <row r="936" spans="1:13" ht="31.5" outlineLevel="1">
      <c r="A936" s="82" t="s">
        <v>691</v>
      </c>
      <c r="B936" s="83" t="s">
        <v>66</v>
      </c>
      <c r="C936" s="83" t="s">
        <v>2</v>
      </c>
      <c r="D936" s="83" t="s">
        <v>4</v>
      </c>
      <c r="E936" s="83" t="s">
        <v>1</v>
      </c>
      <c r="F936" s="119">
        <f t="shared" si="29"/>
        <v>11801646.99</v>
      </c>
      <c r="G936" s="120"/>
      <c r="I936" s="119">
        <v>11801646.99</v>
      </c>
      <c r="J936" s="120"/>
      <c r="L936" s="114">
        <f t="shared" si="26"/>
        <v>0</v>
      </c>
      <c r="M936" s="114">
        <f t="shared" si="27"/>
        <v>0</v>
      </c>
    </row>
    <row r="937" spans="1:13" ht="63" outlineLevel="2">
      <c r="A937" s="82" t="s">
        <v>486</v>
      </c>
      <c r="B937" s="83" t="s">
        <v>66</v>
      </c>
      <c r="C937" s="83" t="s">
        <v>2</v>
      </c>
      <c r="D937" s="83" t="s">
        <v>38</v>
      </c>
      <c r="E937" s="83" t="s">
        <v>1</v>
      </c>
      <c r="F937" s="119">
        <f t="shared" si="29"/>
        <v>11801646.99</v>
      </c>
      <c r="G937" s="120"/>
      <c r="I937" s="119">
        <v>11801646.99</v>
      </c>
      <c r="J937" s="120"/>
      <c r="L937" s="114">
        <f t="shared" si="26"/>
        <v>0</v>
      </c>
      <c r="M937" s="114">
        <f t="shared" si="27"/>
        <v>0</v>
      </c>
    </row>
    <row r="938" spans="1:13" ht="31.5" outlineLevel="3">
      <c r="A938" s="82" t="s">
        <v>655</v>
      </c>
      <c r="B938" s="83" t="s">
        <v>66</v>
      </c>
      <c r="C938" s="83" t="s">
        <v>2</v>
      </c>
      <c r="D938" s="83" t="s">
        <v>410</v>
      </c>
      <c r="E938" s="83" t="s">
        <v>1</v>
      </c>
      <c r="F938" s="119">
        <f t="shared" si="29"/>
        <v>11801646.99</v>
      </c>
      <c r="G938" s="120"/>
      <c r="I938" s="119">
        <v>11801646.99</v>
      </c>
      <c r="J938" s="120"/>
      <c r="L938" s="114">
        <f t="shared" si="26"/>
        <v>0</v>
      </c>
      <c r="M938" s="114">
        <f t="shared" si="27"/>
        <v>0</v>
      </c>
    </row>
    <row r="939" spans="1:13" ht="47.25" outlineLevel="4">
      <c r="A939" s="19" t="s">
        <v>612</v>
      </c>
      <c r="B939" s="20" t="s">
        <v>66</v>
      </c>
      <c r="C939" s="20" t="s">
        <v>2</v>
      </c>
      <c r="D939" s="20" t="s">
        <v>411</v>
      </c>
      <c r="E939" s="20" t="s">
        <v>1</v>
      </c>
      <c r="F939" s="15">
        <f t="shared" si="29"/>
        <v>11801646.99</v>
      </c>
      <c r="G939" s="17"/>
      <c r="I939" s="15">
        <v>11801646.99</v>
      </c>
      <c r="J939" s="17"/>
      <c r="L939" s="114">
        <f t="shared" si="26"/>
        <v>0</v>
      </c>
      <c r="M939" s="114">
        <f t="shared" si="27"/>
        <v>0</v>
      </c>
    </row>
    <row r="940" spans="1:13" ht="15.75" outlineLevel="5">
      <c r="A940" s="19" t="s">
        <v>429</v>
      </c>
      <c r="B940" s="20" t="s">
        <v>66</v>
      </c>
      <c r="C940" s="20" t="s">
        <v>2</v>
      </c>
      <c r="D940" s="20" t="s">
        <v>412</v>
      </c>
      <c r="E940" s="20" t="s">
        <v>1</v>
      </c>
      <c r="F940" s="15">
        <f t="shared" si="29"/>
        <v>11801646.99</v>
      </c>
      <c r="G940" s="17"/>
      <c r="I940" s="15">
        <v>11801646.99</v>
      </c>
      <c r="J940" s="17"/>
      <c r="L940" s="114">
        <f t="shared" si="26"/>
        <v>0</v>
      </c>
      <c r="M940" s="114">
        <f t="shared" si="27"/>
        <v>0</v>
      </c>
    </row>
    <row r="941" spans="1:13" ht="31.5" outlineLevel="6">
      <c r="A941" s="19" t="s">
        <v>707</v>
      </c>
      <c r="B941" s="20" t="s">
        <v>66</v>
      </c>
      <c r="C941" s="20" t="s">
        <v>2</v>
      </c>
      <c r="D941" s="20" t="s">
        <v>412</v>
      </c>
      <c r="E941" s="20" t="s">
        <v>413</v>
      </c>
      <c r="F941" s="15">
        <f>'Приложение_7 '!G621</f>
        <v>11801646.99</v>
      </c>
      <c r="G941" s="17"/>
      <c r="I941" s="15">
        <v>11801646.99</v>
      </c>
      <c r="J941" s="17"/>
      <c r="L941" s="114">
        <f t="shared" si="26"/>
        <v>0</v>
      </c>
      <c r="M941" s="114">
        <f t="shared" si="27"/>
        <v>0</v>
      </c>
    </row>
    <row r="942" spans="1:13" ht="22.5" customHeight="1">
      <c r="A942" s="325" t="s">
        <v>414</v>
      </c>
      <c r="B942" s="326"/>
      <c r="C942" s="326"/>
      <c r="D942" s="326"/>
      <c r="E942" s="3"/>
      <c r="F942" s="3">
        <f>F11+F290+F329+F442+F549+F761+F841+F916+F928+F935+F543</f>
        <v>2324477065.5299997</v>
      </c>
      <c r="G942" s="3">
        <f>G11+G290+G329+G442+G549+G761+G841+G916+G928+G935+G543</f>
        <v>855338484.55</v>
      </c>
      <c r="H942" s="260"/>
      <c r="I942" s="3">
        <v>2220551930.88</v>
      </c>
      <c r="J942" s="3">
        <f>J841+J761+J549+J329+J290+J11</f>
        <v>805103202.53</v>
      </c>
      <c r="L942" s="114">
        <f t="shared" si="26"/>
        <v>103925134.64999962</v>
      </c>
      <c r="M942" s="114">
        <f t="shared" si="27"/>
        <v>50235282.01999998</v>
      </c>
    </row>
    <row r="943" spans="1:9" ht="12.75" customHeight="1">
      <c r="A943" s="14"/>
      <c r="B943" s="14"/>
      <c r="C943" s="14"/>
      <c r="D943" s="14"/>
      <c r="E943" s="14"/>
      <c r="F943" s="14"/>
      <c r="I943" s="14"/>
    </row>
    <row r="944" spans="1:10" ht="15" customHeight="1" hidden="1">
      <c r="A944" s="323"/>
      <c r="B944" s="324"/>
      <c r="C944" s="324"/>
      <c r="D944" s="324"/>
      <c r="E944" s="324"/>
      <c r="F944" s="324"/>
      <c r="G944" s="324"/>
      <c r="I944" s="21"/>
      <c r="J944" s="21"/>
    </row>
    <row r="945" spans="6:7" ht="15.75" hidden="1">
      <c r="F945" s="99">
        <f>'Приложение_7 '!G1093</f>
        <v>2324477065.53</v>
      </c>
      <c r="G945" s="99">
        <f>'Приложение_7 '!H1093</f>
        <v>855338484.5500001</v>
      </c>
    </row>
    <row r="946" spans="6:7" ht="15.75" hidden="1">
      <c r="F946" s="99">
        <f>F942-F945</f>
        <v>0</v>
      </c>
      <c r="G946" s="99">
        <f>G942-G945</f>
        <v>0</v>
      </c>
    </row>
    <row r="947" spans="6:9" ht="15.75" hidden="1">
      <c r="F947" s="99"/>
      <c r="I947" s="99"/>
    </row>
    <row r="948" ht="15.75" hidden="1">
      <c r="F948" s="99">
        <f>'Приложение_7 '!G1093</f>
        <v>2324477065.53</v>
      </c>
    </row>
    <row r="949" ht="15.75" hidden="1">
      <c r="F949" s="99">
        <f>F942-F948</f>
        <v>0</v>
      </c>
    </row>
    <row r="950" spans="6:7" ht="15.75">
      <c r="F950" s="99">
        <f>'Приложение_7 '!G1093</f>
        <v>2324477065.53</v>
      </c>
      <c r="G950" s="99">
        <f>'Приложение_7 '!H1093</f>
        <v>855338484.5500001</v>
      </c>
    </row>
    <row r="951" spans="6:7" ht="15.75">
      <c r="F951" s="99">
        <f>F942-F950</f>
        <v>0</v>
      </c>
      <c r="G951" s="99">
        <f>G942-G950</f>
        <v>0</v>
      </c>
    </row>
    <row r="952" spans="6:7" ht="15.75">
      <c r="F952" s="99"/>
      <c r="G952" s="99"/>
    </row>
  </sheetData>
  <sheetProtection/>
  <mergeCells count="8">
    <mergeCell ref="D3:G3"/>
    <mergeCell ref="D1:G1"/>
    <mergeCell ref="D2:G2"/>
    <mergeCell ref="A7:G7"/>
    <mergeCell ref="A944:G944"/>
    <mergeCell ref="A942:D942"/>
    <mergeCell ref="A4:G4"/>
    <mergeCell ref="A5:G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7" r:id="rId1"/>
  <headerFooter>
    <oddFooter>&amp;CСтраница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0"/>
  <sheetViews>
    <sheetView zoomScaleSheetLayoutView="75" zoomScalePageLayoutView="0" workbookViewId="0" topLeftCell="A10">
      <pane xSplit="1" ySplit="2" topLeftCell="B735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G772" sqref="G772"/>
    </sheetView>
  </sheetViews>
  <sheetFormatPr defaultColWidth="9.140625" defaultRowHeight="15" outlineLevelRow="7"/>
  <cols>
    <col min="1" max="1" width="49.7109375" style="68" customWidth="1"/>
    <col min="2" max="2" width="7.7109375" style="68" customWidth="1"/>
    <col min="3" max="3" width="10.00390625" style="68" customWidth="1"/>
    <col min="4" max="4" width="10.421875" style="68" customWidth="1"/>
    <col min="5" max="5" width="18.57421875" style="68" customWidth="1"/>
    <col min="6" max="6" width="7.28125" style="68" customWidth="1"/>
    <col min="7" max="7" width="19.8515625" style="68" customWidth="1"/>
    <col min="8" max="8" width="19.7109375" style="68" customWidth="1"/>
    <col min="9" max="9" width="17.28125" style="80" bestFit="1" customWidth="1"/>
    <col min="10" max="16384" width="9.140625" style="68" customWidth="1"/>
  </cols>
  <sheetData>
    <row r="1" spans="1:8" ht="15.75">
      <c r="A1" s="319" t="s">
        <v>1173</v>
      </c>
      <c r="B1" s="319"/>
      <c r="C1" s="319"/>
      <c r="D1" s="319"/>
      <c r="E1" s="319"/>
      <c r="F1" s="319"/>
      <c r="G1" s="319"/>
      <c r="H1" s="319"/>
    </row>
    <row r="2" spans="1:8" ht="15.75">
      <c r="A2" s="319" t="s">
        <v>710</v>
      </c>
      <c r="B2" s="319"/>
      <c r="C2" s="319"/>
      <c r="D2" s="319"/>
      <c r="E2" s="319"/>
      <c r="F2" s="319"/>
      <c r="G2" s="319"/>
      <c r="H2" s="319"/>
    </row>
    <row r="3" spans="1:8" ht="15.75">
      <c r="A3" s="319" t="s">
        <v>711</v>
      </c>
      <c r="B3" s="319"/>
      <c r="C3" s="319"/>
      <c r="D3" s="319"/>
      <c r="E3" s="319"/>
      <c r="F3" s="319"/>
      <c r="G3" s="319"/>
      <c r="H3" s="319"/>
    </row>
    <row r="4" spans="1:8" ht="15.75" customHeight="1">
      <c r="A4" s="319" t="s">
        <v>712</v>
      </c>
      <c r="B4" s="319"/>
      <c r="C4" s="319"/>
      <c r="D4" s="319"/>
      <c r="E4" s="319"/>
      <c r="F4" s="319"/>
      <c r="G4" s="319"/>
      <c r="H4" s="319"/>
    </row>
    <row r="5" spans="1:8" ht="15.75" customHeight="1">
      <c r="A5" s="319"/>
      <c r="B5" s="319"/>
      <c r="C5" s="319"/>
      <c r="D5" s="319"/>
      <c r="E5" s="319"/>
      <c r="F5" s="319"/>
      <c r="G5" s="319"/>
      <c r="H5" s="319"/>
    </row>
    <row r="6" spans="1:8" ht="15.75" customHeight="1">
      <c r="A6" s="23"/>
      <c r="B6" s="23"/>
      <c r="C6" s="23"/>
      <c r="D6" s="23"/>
      <c r="E6" s="23"/>
      <c r="F6" s="23"/>
      <c r="G6" s="23"/>
      <c r="H6" s="23"/>
    </row>
    <row r="7" spans="1:8" ht="68.25" customHeight="1">
      <c r="A7" s="332" t="s">
        <v>1174</v>
      </c>
      <c r="B7" s="332"/>
      <c r="C7" s="332"/>
      <c r="D7" s="332"/>
      <c r="E7" s="332"/>
      <c r="F7" s="332"/>
      <c r="G7" s="332"/>
      <c r="H7" s="332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6.5" customHeight="1">
      <c r="A9" s="69"/>
      <c r="B9" s="70"/>
      <c r="C9" s="70"/>
      <c r="D9" s="70"/>
      <c r="E9" s="70"/>
      <c r="F9" s="70"/>
      <c r="G9" s="70"/>
      <c r="H9" s="81" t="s">
        <v>1194</v>
      </c>
    </row>
    <row r="10" spans="1:8" ht="126">
      <c r="A10" s="106" t="s">
        <v>424</v>
      </c>
      <c r="B10" s="106" t="s">
        <v>1061</v>
      </c>
      <c r="C10" s="71" t="s">
        <v>1175</v>
      </c>
      <c r="D10" s="71" t="s">
        <v>1176</v>
      </c>
      <c r="E10" s="106" t="s">
        <v>427</v>
      </c>
      <c r="F10" s="106" t="s">
        <v>1177</v>
      </c>
      <c r="G10" s="71" t="s">
        <v>796</v>
      </c>
      <c r="H10" s="71" t="s">
        <v>419</v>
      </c>
    </row>
    <row r="11" spans="1:8" ht="15.75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</row>
    <row r="12" spans="1:9" s="75" customFormat="1" ht="15.75">
      <c r="A12" s="72" t="s">
        <v>719</v>
      </c>
      <c r="B12" s="73" t="s">
        <v>718</v>
      </c>
      <c r="C12" s="73" t="s">
        <v>3</v>
      </c>
      <c r="D12" s="73" t="s">
        <v>3</v>
      </c>
      <c r="E12" s="73" t="s">
        <v>4</v>
      </c>
      <c r="F12" s="73" t="s">
        <v>1</v>
      </c>
      <c r="G12" s="74">
        <f>G13</f>
        <v>6208757.46</v>
      </c>
      <c r="H12" s="74"/>
      <c r="I12" s="206"/>
    </row>
    <row r="13" spans="1:9" s="75" customFormat="1" ht="15.75" outlineLevel="1">
      <c r="A13" s="72" t="s">
        <v>692</v>
      </c>
      <c r="B13" s="73" t="s">
        <v>718</v>
      </c>
      <c r="C13" s="73" t="s">
        <v>2</v>
      </c>
      <c r="D13" s="73" t="s">
        <v>3</v>
      </c>
      <c r="E13" s="73" t="s">
        <v>4</v>
      </c>
      <c r="F13" s="73" t="s">
        <v>1</v>
      </c>
      <c r="G13" s="74">
        <f>G14+G32+G51</f>
        <v>6208757.46</v>
      </c>
      <c r="H13" s="74"/>
      <c r="I13" s="206"/>
    </row>
    <row r="14" spans="1:9" s="75" customFormat="1" ht="47.25" outlineLevel="2">
      <c r="A14" s="72" t="s">
        <v>663</v>
      </c>
      <c r="B14" s="73" t="s">
        <v>718</v>
      </c>
      <c r="C14" s="73" t="s">
        <v>2</v>
      </c>
      <c r="D14" s="73" t="s">
        <v>5</v>
      </c>
      <c r="E14" s="73" t="s">
        <v>4</v>
      </c>
      <c r="F14" s="73" t="s">
        <v>1</v>
      </c>
      <c r="G14" s="74">
        <f>G15+G24</f>
        <v>2309803</v>
      </c>
      <c r="H14" s="74"/>
      <c r="I14" s="206"/>
    </row>
    <row r="15" spans="1:9" s="75" customFormat="1" ht="63" hidden="1" outlineLevel="3">
      <c r="A15" s="72" t="s">
        <v>656</v>
      </c>
      <c r="B15" s="73" t="s">
        <v>718</v>
      </c>
      <c r="C15" s="73" t="s">
        <v>2</v>
      </c>
      <c r="D15" s="73" t="s">
        <v>5</v>
      </c>
      <c r="E15" s="73" t="s">
        <v>6</v>
      </c>
      <c r="F15" s="73" t="s">
        <v>1</v>
      </c>
      <c r="G15" s="74">
        <f>G16</f>
        <v>0</v>
      </c>
      <c r="H15" s="74"/>
      <c r="I15" s="206"/>
    </row>
    <row r="16" spans="1:9" s="75" customFormat="1" ht="31.5" hidden="1" outlineLevel="4">
      <c r="A16" s="72" t="s">
        <v>613</v>
      </c>
      <c r="B16" s="73" t="s">
        <v>718</v>
      </c>
      <c r="C16" s="73" t="s">
        <v>2</v>
      </c>
      <c r="D16" s="73" t="s">
        <v>5</v>
      </c>
      <c r="E16" s="73" t="s">
        <v>7</v>
      </c>
      <c r="F16" s="73" t="s">
        <v>1</v>
      </c>
      <c r="G16" s="74">
        <f>G21+G17</f>
        <v>0</v>
      </c>
      <c r="H16" s="74"/>
      <c r="I16" s="206"/>
    </row>
    <row r="17" spans="1:9" s="75" customFormat="1" ht="63" hidden="1" outlineLevel="4">
      <c r="A17" s="76" t="s">
        <v>488</v>
      </c>
      <c r="B17" s="77" t="s">
        <v>718</v>
      </c>
      <c r="C17" s="77" t="s">
        <v>2</v>
      </c>
      <c r="D17" s="77" t="s">
        <v>5</v>
      </c>
      <c r="E17" s="77" t="s">
        <v>15</v>
      </c>
      <c r="F17" s="77" t="s">
        <v>1</v>
      </c>
      <c r="G17" s="78">
        <f>G18</f>
        <v>0</v>
      </c>
      <c r="H17" s="78"/>
      <c r="I17" s="206"/>
    </row>
    <row r="18" spans="1:9" s="75" customFormat="1" ht="31.5" hidden="1" outlineLevel="4">
      <c r="A18" s="76" t="s">
        <v>430</v>
      </c>
      <c r="B18" s="77" t="s">
        <v>718</v>
      </c>
      <c r="C18" s="77" t="s">
        <v>2</v>
      </c>
      <c r="D18" s="77" t="s">
        <v>5</v>
      </c>
      <c r="E18" s="77" t="s">
        <v>16</v>
      </c>
      <c r="F18" s="77" t="s">
        <v>1</v>
      </c>
      <c r="G18" s="78">
        <f>G19+G20</f>
        <v>0</v>
      </c>
      <c r="H18" s="78"/>
      <c r="I18" s="206"/>
    </row>
    <row r="19" spans="1:9" s="75" customFormat="1" ht="94.5" hidden="1" outlineLevel="4">
      <c r="A19" s="76" t="s">
        <v>708</v>
      </c>
      <c r="B19" s="77" t="s">
        <v>718</v>
      </c>
      <c r="C19" s="77" t="s">
        <v>2</v>
      </c>
      <c r="D19" s="77" t="s">
        <v>5</v>
      </c>
      <c r="E19" s="77" t="s">
        <v>16</v>
      </c>
      <c r="F19" s="77" t="s">
        <v>10</v>
      </c>
      <c r="G19" s="78">
        <f>27706-27706</f>
        <v>0</v>
      </c>
      <c r="H19" s="78"/>
      <c r="I19" s="206"/>
    </row>
    <row r="20" spans="1:9" s="75" customFormat="1" ht="31.5" hidden="1" outlineLevel="4">
      <c r="A20" s="76" t="s">
        <v>693</v>
      </c>
      <c r="B20" s="77" t="s">
        <v>718</v>
      </c>
      <c r="C20" s="77" t="s">
        <v>2</v>
      </c>
      <c r="D20" s="77" t="s">
        <v>5</v>
      </c>
      <c r="E20" s="77" t="s">
        <v>16</v>
      </c>
      <c r="F20" s="77" t="s">
        <v>17</v>
      </c>
      <c r="G20" s="78">
        <f>24000-24000</f>
        <v>0</v>
      </c>
      <c r="H20" s="78"/>
      <c r="I20" s="206"/>
    </row>
    <row r="21" spans="1:8" ht="47.25" hidden="1" outlineLevel="5">
      <c r="A21" s="76" t="s">
        <v>1062</v>
      </c>
      <c r="B21" s="77" t="s">
        <v>718</v>
      </c>
      <c r="C21" s="77" t="s">
        <v>2</v>
      </c>
      <c r="D21" s="77" t="s">
        <v>5</v>
      </c>
      <c r="E21" s="77" t="s">
        <v>8</v>
      </c>
      <c r="F21" s="77" t="s">
        <v>1</v>
      </c>
      <c r="G21" s="78">
        <f>G22</f>
        <v>0</v>
      </c>
      <c r="H21" s="78"/>
    </row>
    <row r="22" spans="1:8" ht="31.5" hidden="1" outlineLevel="6">
      <c r="A22" s="76" t="s">
        <v>430</v>
      </c>
      <c r="B22" s="77" t="s">
        <v>718</v>
      </c>
      <c r="C22" s="77" t="s">
        <v>2</v>
      </c>
      <c r="D22" s="77" t="s">
        <v>5</v>
      </c>
      <c r="E22" s="77" t="s">
        <v>9</v>
      </c>
      <c r="F22" s="77" t="s">
        <v>1</v>
      </c>
      <c r="G22" s="78">
        <f>G23</f>
        <v>0</v>
      </c>
      <c r="H22" s="78"/>
    </row>
    <row r="23" spans="1:8" ht="94.5" hidden="1" outlineLevel="7">
      <c r="A23" s="76" t="s">
        <v>708</v>
      </c>
      <c r="B23" s="77" t="s">
        <v>718</v>
      </c>
      <c r="C23" s="77" t="s">
        <v>2</v>
      </c>
      <c r="D23" s="77" t="s">
        <v>5</v>
      </c>
      <c r="E23" s="77" t="s">
        <v>9</v>
      </c>
      <c r="F23" s="77" t="s">
        <v>10</v>
      </c>
      <c r="G23" s="78">
        <f>96826.49-51706+18922.51-64043</f>
        <v>0</v>
      </c>
      <c r="H23" s="78"/>
    </row>
    <row r="24" spans="1:9" s="75" customFormat="1" ht="15.75" outlineLevel="3" collapsed="1">
      <c r="A24" s="72" t="s">
        <v>490</v>
      </c>
      <c r="B24" s="73" t="s">
        <v>718</v>
      </c>
      <c r="C24" s="73" t="s">
        <v>2</v>
      </c>
      <c r="D24" s="73" t="s">
        <v>5</v>
      </c>
      <c r="E24" s="73" t="s">
        <v>11</v>
      </c>
      <c r="F24" s="73" t="s">
        <v>1</v>
      </c>
      <c r="G24" s="74">
        <f>G25+G30+G27</f>
        <v>2309803</v>
      </c>
      <c r="H24" s="74"/>
      <c r="I24" s="206"/>
    </row>
    <row r="25" spans="1:8" ht="31.5" outlineLevel="6">
      <c r="A25" s="76" t="s">
        <v>431</v>
      </c>
      <c r="B25" s="77" t="s">
        <v>718</v>
      </c>
      <c r="C25" s="77" t="s">
        <v>2</v>
      </c>
      <c r="D25" s="77" t="s">
        <v>5</v>
      </c>
      <c r="E25" s="77" t="s">
        <v>12</v>
      </c>
      <c r="F25" s="77" t="s">
        <v>1</v>
      </c>
      <c r="G25" s="78">
        <f>G26</f>
        <v>2124303</v>
      </c>
      <c r="H25" s="78"/>
    </row>
    <row r="26" spans="1:8" ht="94.5" outlineLevel="7">
      <c r="A26" s="76" t="s">
        <v>708</v>
      </c>
      <c r="B26" s="77" t="s">
        <v>718</v>
      </c>
      <c r="C26" s="77" t="s">
        <v>2</v>
      </c>
      <c r="D26" s="77" t="s">
        <v>5</v>
      </c>
      <c r="E26" s="77" t="s">
        <v>12</v>
      </c>
      <c r="F26" s="77" t="s">
        <v>10</v>
      </c>
      <c r="G26" s="78">
        <v>2124303</v>
      </c>
      <c r="H26" s="78"/>
    </row>
    <row r="27" spans="1:8" ht="31.5" outlineLevel="7">
      <c r="A27" s="76" t="s">
        <v>1313</v>
      </c>
      <c r="B27" s="77" t="s">
        <v>718</v>
      </c>
      <c r="C27" s="77" t="s">
        <v>2</v>
      </c>
      <c r="D27" s="77" t="s">
        <v>5</v>
      </c>
      <c r="E27" s="77" t="s">
        <v>1314</v>
      </c>
      <c r="F27" s="77" t="s">
        <v>1</v>
      </c>
      <c r="G27" s="78">
        <f>G29+G28</f>
        <v>160500</v>
      </c>
      <c r="H27" s="78"/>
    </row>
    <row r="28" spans="1:8" ht="94.5" outlineLevel="7">
      <c r="A28" s="76" t="s">
        <v>708</v>
      </c>
      <c r="B28" s="77" t="s">
        <v>718</v>
      </c>
      <c r="C28" s="77" t="s">
        <v>2</v>
      </c>
      <c r="D28" s="77" t="s">
        <v>5</v>
      </c>
      <c r="E28" s="77" t="s">
        <v>1314</v>
      </c>
      <c r="F28" s="77" t="s">
        <v>10</v>
      </c>
      <c r="G28" s="78">
        <v>136500</v>
      </c>
      <c r="H28" s="78"/>
    </row>
    <row r="29" spans="1:8" ht="31.5" outlineLevel="7">
      <c r="A29" s="76" t="s">
        <v>693</v>
      </c>
      <c r="B29" s="77" t="s">
        <v>718</v>
      </c>
      <c r="C29" s="77" t="s">
        <v>2</v>
      </c>
      <c r="D29" s="77" t="s">
        <v>5</v>
      </c>
      <c r="E29" s="77" t="s">
        <v>1314</v>
      </c>
      <c r="F29" s="77" t="s">
        <v>17</v>
      </c>
      <c r="G29" s="78">
        <f>24000</f>
        <v>24000</v>
      </c>
      <c r="H29" s="78"/>
    </row>
    <row r="30" spans="1:8" ht="78.75" outlineLevel="6">
      <c r="A30" s="76" t="s">
        <v>432</v>
      </c>
      <c r="B30" s="77" t="s">
        <v>718</v>
      </c>
      <c r="C30" s="77" t="s">
        <v>2</v>
      </c>
      <c r="D30" s="77" t="s">
        <v>5</v>
      </c>
      <c r="E30" s="77" t="s">
        <v>13</v>
      </c>
      <c r="F30" s="77" t="s">
        <v>1</v>
      </c>
      <c r="G30" s="78">
        <f>G31</f>
        <v>25000</v>
      </c>
      <c r="H30" s="78"/>
    </row>
    <row r="31" spans="1:8" ht="94.5" outlineLevel="7">
      <c r="A31" s="76" t="s">
        <v>708</v>
      </c>
      <c r="B31" s="77" t="s">
        <v>718</v>
      </c>
      <c r="C31" s="77" t="s">
        <v>2</v>
      </c>
      <c r="D31" s="77" t="s">
        <v>5</v>
      </c>
      <c r="E31" s="77" t="s">
        <v>13</v>
      </c>
      <c r="F31" s="77" t="s">
        <v>10</v>
      </c>
      <c r="G31" s="78">
        <v>25000</v>
      </c>
      <c r="H31" s="78"/>
    </row>
    <row r="32" spans="1:9" s="75" customFormat="1" ht="63" outlineLevel="2">
      <c r="A32" s="72" t="s">
        <v>664</v>
      </c>
      <c r="B32" s="73" t="s">
        <v>718</v>
      </c>
      <c r="C32" s="73" t="s">
        <v>2</v>
      </c>
      <c r="D32" s="73" t="s">
        <v>14</v>
      </c>
      <c r="E32" s="73" t="s">
        <v>4</v>
      </c>
      <c r="F32" s="73" t="s">
        <v>1</v>
      </c>
      <c r="G32" s="74">
        <f>G33+G42</f>
        <v>3463148.9699999997</v>
      </c>
      <c r="H32" s="74"/>
      <c r="I32" s="206"/>
    </row>
    <row r="33" spans="1:9" s="75" customFormat="1" ht="63" outlineLevel="3">
      <c r="A33" s="72" t="s">
        <v>656</v>
      </c>
      <c r="B33" s="73" t="s">
        <v>718</v>
      </c>
      <c r="C33" s="73" t="s">
        <v>2</v>
      </c>
      <c r="D33" s="73" t="s">
        <v>14</v>
      </c>
      <c r="E33" s="73" t="s">
        <v>6</v>
      </c>
      <c r="F33" s="73" t="s">
        <v>1</v>
      </c>
      <c r="G33" s="74">
        <f>G34</f>
        <v>36181</v>
      </c>
      <c r="H33" s="74"/>
      <c r="I33" s="206"/>
    </row>
    <row r="34" spans="1:9" s="75" customFormat="1" ht="31.5" outlineLevel="4">
      <c r="A34" s="72" t="s">
        <v>613</v>
      </c>
      <c r="B34" s="73" t="s">
        <v>718</v>
      </c>
      <c r="C34" s="73" t="s">
        <v>2</v>
      </c>
      <c r="D34" s="73" t="s">
        <v>14</v>
      </c>
      <c r="E34" s="73" t="s">
        <v>7</v>
      </c>
      <c r="F34" s="73" t="s">
        <v>1</v>
      </c>
      <c r="G34" s="74">
        <f>G35+G39</f>
        <v>36181</v>
      </c>
      <c r="H34" s="74"/>
      <c r="I34" s="206"/>
    </row>
    <row r="35" spans="1:8" ht="63" outlineLevel="5">
      <c r="A35" s="76" t="s">
        <v>1063</v>
      </c>
      <c r="B35" s="77" t="s">
        <v>718</v>
      </c>
      <c r="C35" s="77" t="s">
        <v>2</v>
      </c>
      <c r="D35" s="77" t="s">
        <v>14</v>
      </c>
      <c r="E35" s="77" t="s">
        <v>15</v>
      </c>
      <c r="F35" s="77" t="s">
        <v>1</v>
      </c>
      <c r="G35" s="78">
        <f>G36</f>
        <v>27049</v>
      </c>
      <c r="H35" s="78"/>
    </row>
    <row r="36" spans="1:8" ht="31.5" outlineLevel="6">
      <c r="A36" s="76" t="s">
        <v>430</v>
      </c>
      <c r="B36" s="77" t="s">
        <v>718</v>
      </c>
      <c r="C36" s="77" t="s">
        <v>2</v>
      </c>
      <c r="D36" s="77" t="s">
        <v>14</v>
      </c>
      <c r="E36" s="77" t="s">
        <v>16</v>
      </c>
      <c r="F36" s="77" t="s">
        <v>1</v>
      </c>
      <c r="G36" s="78">
        <f>G37+G38</f>
        <v>27049</v>
      </c>
      <c r="H36" s="78"/>
    </row>
    <row r="37" spans="1:8" ht="94.5" outlineLevel="7">
      <c r="A37" s="76" t="s">
        <v>708</v>
      </c>
      <c r="B37" s="77" t="s">
        <v>718</v>
      </c>
      <c r="C37" s="77" t="s">
        <v>2</v>
      </c>
      <c r="D37" s="77" t="s">
        <v>14</v>
      </c>
      <c r="E37" s="77" t="s">
        <v>16</v>
      </c>
      <c r="F37" s="77" t="s">
        <v>10</v>
      </c>
      <c r="G37" s="78">
        <f>32300-22751</f>
        <v>9549</v>
      </c>
      <c r="H37" s="78"/>
    </row>
    <row r="38" spans="1:8" ht="31.5" outlineLevel="7">
      <c r="A38" s="76" t="s">
        <v>693</v>
      </c>
      <c r="B38" s="77" t="s">
        <v>718</v>
      </c>
      <c r="C38" s="77" t="s">
        <v>2</v>
      </c>
      <c r="D38" s="77" t="s">
        <v>14</v>
      </c>
      <c r="E38" s="77" t="s">
        <v>16</v>
      </c>
      <c r="F38" s="77" t="s">
        <v>17</v>
      </c>
      <c r="G38" s="78">
        <f>39500-22000</f>
        <v>17500</v>
      </c>
      <c r="H38" s="78"/>
    </row>
    <row r="39" spans="1:8" ht="15.75" outlineLevel="5">
      <c r="A39" s="76" t="s">
        <v>1064</v>
      </c>
      <c r="B39" s="77" t="s">
        <v>718</v>
      </c>
      <c r="C39" s="77" t="s">
        <v>2</v>
      </c>
      <c r="D39" s="77" t="s">
        <v>14</v>
      </c>
      <c r="E39" s="77" t="s">
        <v>18</v>
      </c>
      <c r="F39" s="77" t="s">
        <v>1</v>
      </c>
      <c r="G39" s="78">
        <f>G40</f>
        <v>9132</v>
      </c>
      <c r="H39" s="78"/>
    </row>
    <row r="40" spans="1:8" ht="31.5" outlineLevel="6">
      <c r="A40" s="76" t="s">
        <v>430</v>
      </c>
      <c r="B40" s="77" t="s">
        <v>718</v>
      </c>
      <c r="C40" s="77" t="s">
        <v>2</v>
      </c>
      <c r="D40" s="77" t="s">
        <v>14</v>
      </c>
      <c r="E40" s="77" t="s">
        <v>19</v>
      </c>
      <c r="F40" s="77" t="s">
        <v>1</v>
      </c>
      <c r="G40" s="78">
        <f>G41</f>
        <v>9132</v>
      </c>
      <c r="H40" s="78"/>
    </row>
    <row r="41" spans="1:8" ht="31.5" outlineLevel="7">
      <c r="A41" s="76" t="s">
        <v>693</v>
      </c>
      <c r="B41" s="77" t="s">
        <v>718</v>
      </c>
      <c r="C41" s="77" t="s">
        <v>2</v>
      </c>
      <c r="D41" s="77" t="s">
        <v>14</v>
      </c>
      <c r="E41" s="77" t="s">
        <v>19</v>
      </c>
      <c r="F41" s="77" t="s">
        <v>17</v>
      </c>
      <c r="G41" s="78">
        <v>9132</v>
      </c>
      <c r="H41" s="78"/>
    </row>
    <row r="42" spans="1:9" s="75" customFormat="1" ht="15.75" outlineLevel="3">
      <c r="A42" s="72" t="s">
        <v>490</v>
      </c>
      <c r="B42" s="73" t="s">
        <v>718</v>
      </c>
      <c r="C42" s="73" t="s">
        <v>2</v>
      </c>
      <c r="D42" s="73" t="s">
        <v>14</v>
      </c>
      <c r="E42" s="73" t="s">
        <v>11</v>
      </c>
      <c r="F42" s="73" t="s">
        <v>1</v>
      </c>
      <c r="G42" s="74">
        <f>G43+G45+G49+G48</f>
        <v>3426967.9699999997</v>
      </c>
      <c r="H42" s="74"/>
      <c r="I42" s="206"/>
    </row>
    <row r="43" spans="1:8" ht="47.25" hidden="1" outlineLevel="6">
      <c r="A43" s="76" t="s">
        <v>433</v>
      </c>
      <c r="B43" s="77" t="s">
        <v>718</v>
      </c>
      <c r="C43" s="77" t="s">
        <v>2</v>
      </c>
      <c r="D43" s="77" t="s">
        <v>14</v>
      </c>
      <c r="E43" s="77" t="s">
        <v>20</v>
      </c>
      <c r="F43" s="77" t="s">
        <v>1</v>
      </c>
      <c r="G43" s="78">
        <f>G44</f>
        <v>0</v>
      </c>
      <c r="H43" s="78"/>
    </row>
    <row r="44" spans="1:8" ht="94.5" hidden="1" outlineLevel="7">
      <c r="A44" s="76" t="s">
        <v>708</v>
      </c>
      <c r="B44" s="77" t="s">
        <v>718</v>
      </c>
      <c r="C44" s="77" t="s">
        <v>2</v>
      </c>
      <c r="D44" s="77" t="s">
        <v>14</v>
      </c>
      <c r="E44" s="77" t="s">
        <v>20</v>
      </c>
      <c r="F44" s="77" t="s">
        <v>10</v>
      </c>
      <c r="G44" s="78">
        <f>1714645-235321.02-71066.95-1408257.03</f>
        <v>0</v>
      </c>
      <c r="H44" s="78"/>
    </row>
    <row r="45" spans="1:8" ht="31.5" outlineLevel="6" collapsed="1">
      <c r="A45" s="76" t="s">
        <v>434</v>
      </c>
      <c r="B45" s="77" t="s">
        <v>718</v>
      </c>
      <c r="C45" s="77" t="s">
        <v>2</v>
      </c>
      <c r="D45" s="77" t="s">
        <v>14</v>
      </c>
      <c r="E45" s="77" t="s">
        <v>21</v>
      </c>
      <c r="F45" s="77" t="s">
        <v>1</v>
      </c>
      <c r="G45" s="78">
        <f>G46</f>
        <v>2987580</v>
      </c>
      <c r="H45" s="78"/>
    </row>
    <row r="46" spans="1:8" ht="94.5" outlineLevel="7">
      <c r="A46" s="76" t="s">
        <v>708</v>
      </c>
      <c r="B46" s="77" t="s">
        <v>718</v>
      </c>
      <c r="C46" s="77" t="s">
        <v>2</v>
      </c>
      <c r="D46" s="77" t="s">
        <v>14</v>
      </c>
      <c r="E46" s="77" t="s">
        <v>21</v>
      </c>
      <c r="F46" s="77" t="s">
        <v>10</v>
      </c>
      <c r="G46" s="78">
        <v>2987580</v>
      </c>
      <c r="H46" s="78"/>
    </row>
    <row r="47" spans="1:8" ht="63" outlineLevel="7">
      <c r="A47" s="76" t="s">
        <v>436</v>
      </c>
      <c r="B47" s="77" t="s">
        <v>718</v>
      </c>
      <c r="C47" s="77" t="s">
        <v>2</v>
      </c>
      <c r="D47" s="77" t="s">
        <v>14</v>
      </c>
      <c r="E47" s="77" t="s">
        <v>62</v>
      </c>
      <c r="F47" s="77" t="s">
        <v>1</v>
      </c>
      <c r="G47" s="78">
        <f>G48</f>
        <v>306387.97</v>
      </c>
      <c r="H47" s="78"/>
    </row>
    <row r="48" spans="1:8" ht="94.5" outlineLevel="7">
      <c r="A48" s="76" t="s">
        <v>708</v>
      </c>
      <c r="B48" s="77" t="s">
        <v>718</v>
      </c>
      <c r="C48" s="77" t="s">
        <v>2</v>
      </c>
      <c r="D48" s="77" t="s">
        <v>14</v>
      </c>
      <c r="E48" s="77" t="s">
        <v>62</v>
      </c>
      <c r="F48" s="77" t="s">
        <v>10</v>
      </c>
      <c r="G48" s="78">
        <f>235321.02+71066.95</f>
        <v>306387.97</v>
      </c>
      <c r="H48" s="78"/>
    </row>
    <row r="49" spans="1:8" ht="78.75" outlineLevel="6">
      <c r="A49" s="76" t="s">
        <v>432</v>
      </c>
      <c r="B49" s="77" t="s">
        <v>718</v>
      </c>
      <c r="C49" s="77" t="s">
        <v>2</v>
      </c>
      <c r="D49" s="77" t="s">
        <v>14</v>
      </c>
      <c r="E49" s="77" t="s">
        <v>13</v>
      </c>
      <c r="F49" s="77" t="s">
        <v>1</v>
      </c>
      <c r="G49" s="78">
        <f>G50</f>
        <v>133000</v>
      </c>
      <c r="H49" s="78"/>
    </row>
    <row r="50" spans="1:8" ht="94.5" outlineLevel="7">
      <c r="A50" s="76" t="s">
        <v>708</v>
      </c>
      <c r="B50" s="77" t="s">
        <v>718</v>
      </c>
      <c r="C50" s="77" t="s">
        <v>2</v>
      </c>
      <c r="D50" s="77" t="s">
        <v>14</v>
      </c>
      <c r="E50" s="77" t="s">
        <v>13</v>
      </c>
      <c r="F50" s="77" t="s">
        <v>10</v>
      </c>
      <c r="G50" s="78">
        <v>133000</v>
      </c>
      <c r="H50" s="78"/>
    </row>
    <row r="51" spans="1:9" s="75" customFormat="1" ht="15.75" outlineLevel="2">
      <c r="A51" s="72" t="s">
        <v>668</v>
      </c>
      <c r="B51" s="73" t="s">
        <v>718</v>
      </c>
      <c r="C51" s="73" t="s">
        <v>2</v>
      </c>
      <c r="D51" s="73" t="s">
        <v>66</v>
      </c>
      <c r="E51" s="73" t="s">
        <v>4</v>
      </c>
      <c r="F51" s="73" t="s">
        <v>1</v>
      </c>
      <c r="G51" s="74">
        <f>G52+G60</f>
        <v>435805.49</v>
      </c>
      <c r="H51" s="74"/>
      <c r="I51" s="206"/>
    </row>
    <row r="52" spans="1:9" s="75" customFormat="1" ht="47.25" outlineLevel="3">
      <c r="A52" s="72" t="s">
        <v>659</v>
      </c>
      <c r="B52" s="73" t="s">
        <v>718</v>
      </c>
      <c r="C52" s="73" t="s">
        <v>2</v>
      </c>
      <c r="D52" s="73" t="s">
        <v>66</v>
      </c>
      <c r="E52" s="73" t="s">
        <v>90</v>
      </c>
      <c r="F52" s="73" t="s">
        <v>1</v>
      </c>
      <c r="G52" s="74">
        <f>G53</f>
        <v>235450.49</v>
      </c>
      <c r="H52" s="74"/>
      <c r="I52" s="206"/>
    </row>
    <row r="53" spans="1:9" s="75" customFormat="1" ht="47.25" outlineLevel="4">
      <c r="A53" s="72" t="s">
        <v>624</v>
      </c>
      <c r="B53" s="73" t="s">
        <v>718</v>
      </c>
      <c r="C53" s="73" t="s">
        <v>2</v>
      </c>
      <c r="D53" s="73" t="s">
        <v>66</v>
      </c>
      <c r="E53" s="73" t="s">
        <v>91</v>
      </c>
      <c r="F53" s="73" t="s">
        <v>1</v>
      </c>
      <c r="G53" s="74">
        <f>G54+G57</f>
        <v>235450.49</v>
      </c>
      <c r="H53" s="74"/>
      <c r="I53" s="206"/>
    </row>
    <row r="54" spans="1:8" ht="47.25" outlineLevel="5">
      <c r="A54" s="76" t="s">
        <v>1065</v>
      </c>
      <c r="B54" s="77" t="s">
        <v>718</v>
      </c>
      <c r="C54" s="77" t="s">
        <v>2</v>
      </c>
      <c r="D54" s="77" t="s">
        <v>66</v>
      </c>
      <c r="E54" s="77" t="s">
        <v>92</v>
      </c>
      <c r="F54" s="77" t="s">
        <v>1</v>
      </c>
      <c r="G54" s="78">
        <f>G55</f>
        <v>17040.49</v>
      </c>
      <c r="H54" s="78"/>
    </row>
    <row r="55" spans="1:8" ht="31.5" outlineLevel="6">
      <c r="A55" s="76" t="s">
        <v>441</v>
      </c>
      <c r="B55" s="77" t="s">
        <v>718</v>
      </c>
      <c r="C55" s="77" t="s">
        <v>2</v>
      </c>
      <c r="D55" s="77" t="s">
        <v>66</v>
      </c>
      <c r="E55" s="77" t="s">
        <v>93</v>
      </c>
      <c r="F55" s="77" t="s">
        <v>1</v>
      </c>
      <c r="G55" s="78">
        <f>G56</f>
        <v>17040.49</v>
      </c>
      <c r="H55" s="78"/>
    </row>
    <row r="56" spans="1:8" ht="31.5" outlineLevel="7">
      <c r="A56" s="76" t="s">
        <v>693</v>
      </c>
      <c r="B56" s="77" t="s">
        <v>718</v>
      </c>
      <c r="C56" s="77" t="s">
        <v>2</v>
      </c>
      <c r="D56" s="77" t="s">
        <v>66</v>
      </c>
      <c r="E56" s="77" t="s">
        <v>93</v>
      </c>
      <c r="F56" s="77" t="s">
        <v>17</v>
      </c>
      <c r="G56" s="78">
        <f>35963-18922.51</f>
        <v>17040.49</v>
      </c>
      <c r="H56" s="78"/>
    </row>
    <row r="57" spans="1:8" ht="47.25" outlineLevel="5">
      <c r="A57" s="76" t="s">
        <v>1066</v>
      </c>
      <c r="B57" s="77" t="s">
        <v>718</v>
      </c>
      <c r="C57" s="77" t="s">
        <v>2</v>
      </c>
      <c r="D57" s="77" t="s">
        <v>66</v>
      </c>
      <c r="E57" s="77" t="s">
        <v>94</v>
      </c>
      <c r="F57" s="77" t="s">
        <v>1</v>
      </c>
      <c r="G57" s="78">
        <f>G58</f>
        <v>218410</v>
      </c>
      <c r="H57" s="78"/>
    </row>
    <row r="58" spans="1:8" ht="31.5" outlineLevel="6">
      <c r="A58" s="76" t="s">
        <v>441</v>
      </c>
      <c r="B58" s="77" t="s">
        <v>718</v>
      </c>
      <c r="C58" s="77" t="s">
        <v>2</v>
      </c>
      <c r="D58" s="77" t="s">
        <v>66</v>
      </c>
      <c r="E58" s="77" t="s">
        <v>95</v>
      </c>
      <c r="F58" s="77" t="s">
        <v>1</v>
      </c>
      <c r="G58" s="78">
        <f>G59</f>
        <v>218410</v>
      </c>
      <c r="H58" s="78"/>
    </row>
    <row r="59" spans="1:8" ht="31.5" outlineLevel="7">
      <c r="A59" s="76" t="s">
        <v>693</v>
      </c>
      <c r="B59" s="77" t="s">
        <v>718</v>
      </c>
      <c r="C59" s="77" t="s">
        <v>2</v>
      </c>
      <c r="D59" s="77" t="s">
        <v>66</v>
      </c>
      <c r="E59" s="77" t="s">
        <v>95</v>
      </c>
      <c r="F59" s="77" t="s">
        <v>17</v>
      </c>
      <c r="G59" s="78">
        <v>218410</v>
      </c>
      <c r="H59" s="78"/>
    </row>
    <row r="60" spans="1:9" s="75" customFormat="1" ht="63" outlineLevel="3">
      <c r="A60" s="72" t="s">
        <v>656</v>
      </c>
      <c r="B60" s="73" t="s">
        <v>718</v>
      </c>
      <c r="C60" s="73" t="s">
        <v>2</v>
      </c>
      <c r="D60" s="73" t="s">
        <v>66</v>
      </c>
      <c r="E60" s="73" t="s">
        <v>6</v>
      </c>
      <c r="F60" s="73" t="s">
        <v>1</v>
      </c>
      <c r="G60" s="74">
        <f>G61</f>
        <v>200355</v>
      </c>
      <c r="H60" s="74"/>
      <c r="I60" s="206"/>
    </row>
    <row r="61" spans="1:9" s="75" customFormat="1" ht="47.25" outlineLevel="4">
      <c r="A61" s="72" t="s">
        <v>628</v>
      </c>
      <c r="B61" s="73" t="s">
        <v>718</v>
      </c>
      <c r="C61" s="73" t="s">
        <v>2</v>
      </c>
      <c r="D61" s="73" t="s">
        <v>66</v>
      </c>
      <c r="E61" s="73" t="s">
        <v>131</v>
      </c>
      <c r="F61" s="73" t="s">
        <v>1</v>
      </c>
      <c r="G61" s="74">
        <f>G62</f>
        <v>200355</v>
      </c>
      <c r="H61" s="74"/>
      <c r="I61" s="206"/>
    </row>
    <row r="62" spans="1:8" ht="31.5" outlineLevel="5">
      <c r="A62" s="76" t="s">
        <v>1067</v>
      </c>
      <c r="B62" s="77" t="s">
        <v>718</v>
      </c>
      <c r="C62" s="77" t="s">
        <v>2</v>
      </c>
      <c r="D62" s="77" t="s">
        <v>66</v>
      </c>
      <c r="E62" s="77" t="s">
        <v>138</v>
      </c>
      <c r="F62" s="77" t="s">
        <v>1</v>
      </c>
      <c r="G62" s="78">
        <f>G63</f>
        <v>200355</v>
      </c>
      <c r="H62" s="78"/>
    </row>
    <row r="63" spans="1:8" ht="31.5" outlineLevel="6">
      <c r="A63" s="76" t="s">
        <v>441</v>
      </c>
      <c r="B63" s="77" t="s">
        <v>718</v>
      </c>
      <c r="C63" s="77" t="s">
        <v>2</v>
      </c>
      <c r="D63" s="77" t="s">
        <v>66</v>
      </c>
      <c r="E63" s="77" t="s">
        <v>140</v>
      </c>
      <c r="F63" s="77" t="s">
        <v>1</v>
      </c>
      <c r="G63" s="78">
        <f>G64</f>
        <v>200355</v>
      </c>
      <c r="H63" s="78"/>
    </row>
    <row r="64" spans="1:8" ht="31.5" outlineLevel="7">
      <c r="A64" s="76" t="s">
        <v>693</v>
      </c>
      <c r="B64" s="77" t="s">
        <v>718</v>
      </c>
      <c r="C64" s="77" t="s">
        <v>2</v>
      </c>
      <c r="D64" s="77" t="s">
        <v>66</v>
      </c>
      <c r="E64" s="77" t="s">
        <v>140</v>
      </c>
      <c r="F64" s="77" t="s">
        <v>17</v>
      </c>
      <c r="G64" s="78">
        <v>200355</v>
      </c>
      <c r="H64" s="78"/>
    </row>
    <row r="65" spans="1:9" s="75" customFormat="1" ht="63">
      <c r="A65" s="72" t="s">
        <v>1068</v>
      </c>
      <c r="B65" s="73" t="s">
        <v>721</v>
      </c>
      <c r="C65" s="73" t="s">
        <v>3</v>
      </c>
      <c r="D65" s="73" t="s">
        <v>3</v>
      </c>
      <c r="E65" s="73" t="s">
        <v>4</v>
      </c>
      <c r="F65" s="73" t="s">
        <v>1</v>
      </c>
      <c r="G65" s="74">
        <f>G66+G193+G232+G272+G288</f>
        <v>192711812.2</v>
      </c>
      <c r="H65" s="74">
        <f>H66+H193+H232+H272</f>
        <v>5995108.8</v>
      </c>
      <c r="I65" s="206"/>
    </row>
    <row r="66" spans="1:9" s="75" customFormat="1" ht="15.75" outlineLevel="1">
      <c r="A66" s="72" t="s">
        <v>692</v>
      </c>
      <c r="B66" s="73" t="s">
        <v>721</v>
      </c>
      <c r="C66" s="73" t="s">
        <v>2</v>
      </c>
      <c r="D66" s="73" t="s">
        <v>3</v>
      </c>
      <c r="E66" s="73" t="s">
        <v>4</v>
      </c>
      <c r="F66" s="73" t="s">
        <v>1</v>
      </c>
      <c r="G66" s="74">
        <f>G67+G98+G94</f>
        <v>102354431.08999999</v>
      </c>
      <c r="H66" s="74">
        <f>H98</f>
        <v>784042</v>
      </c>
      <c r="I66" s="206"/>
    </row>
    <row r="67" spans="1:9" s="75" customFormat="1" ht="78.75" outlineLevel="2">
      <c r="A67" s="72" t="s">
        <v>665</v>
      </c>
      <c r="B67" s="73" t="s">
        <v>721</v>
      </c>
      <c r="C67" s="73" t="s">
        <v>2</v>
      </c>
      <c r="D67" s="73" t="s">
        <v>22</v>
      </c>
      <c r="E67" s="73" t="s">
        <v>4</v>
      </c>
      <c r="F67" s="73" t="s">
        <v>1</v>
      </c>
      <c r="G67" s="74">
        <f>G68</f>
        <v>30915835.25</v>
      </c>
      <c r="H67" s="74"/>
      <c r="I67" s="206"/>
    </row>
    <row r="68" spans="1:9" s="75" customFormat="1" ht="63" outlineLevel="3">
      <c r="A68" s="72" t="s">
        <v>656</v>
      </c>
      <c r="B68" s="73" t="s">
        <v>721</v>
      </c>
      <c r="C68" s="73" t="s">
        <v>2</v>
      </c>
      <c r="D68" s="73" t="s">
        <v>22</v>
      </c>
      <c r="E68" s="73" t="s">
        <v>6</v>
      </c>
      <c r="F68" s="73" t="s">
        <v>1</v>
      </c>
      <c r="G68" s="74">
        <f>G69+G82</f>
        <v>30915835.25</v>
      </c>
      <c r="H68" s="74"/>
      <c r="I68" s="206"/>
    </row>
    <row r="69" spans="1:9" s="75" customFormat="1" ht="31.5" outlineLevel="4">
      <c r="A69" s="72" t="s">
        <v>616</v>
      </c>
      <c r="B69" s="73" t="s">
        <v>721</v>
      </c>
      <c r="C69" s="73" t="s">
        <v>2</v>
      </c>
      <c r="D69" s="73" t="s">
        <v>22</v>
      </c>
      <c r="E69" s="73" t="s">
        <v>43</v>
      </c>
      <c r="F69" s="73" t="s">
        <v>1</v>
      </c>
      <c r="G69" s="74">
        <f>G70</f>
        <v>30139735.25</v>
      </c>
      <c r="H69" s="74"/>
      <c r="I69" s="206"/>
    </row>
    <row r="70" spans="1:8" ht="78.75" outlineLevel="5">
      <c r="A70" s="76" t="s">
        <v>1069</v>
      </c>
      <c r="B70" s="77" t="s">
        <v>721</v>
      </c>
      <c r="C70" s="77" t="s">
        <v>2</v>
      </c>
      <c r="D70" s="77" t="s">
        <v>22</v>
      </c>
      <c r="E70" s="77" t="s">
        <v>44</v>
      </c>
      <c r="F70" s="77" t="s">
        <v>1</v>
      </c>
      <c r="G70" s="78">
        <f>G71+G73+G76+G78+G80</f>
        <v>30139735.25</v>
      </c>
      <c r="H70" s="78"/>
    </row>
    <row r="71" spans="1:8" ht="31.5" outlineLevel="6">
      <c r="A71" s="76" t="s">
        <v>435</v>
      </c>
      <c r="B71" s="77" t="s">
        <v>721</v>
      </c>
      <c r="C71" s="77" t="s">
        <v>2</v>
      </c>
      <c r="D71" s="77" t="s">
        <v>22</v>
      </c>
      <c r="E71" s="77" t="s">
        <v>45</v>
      </c>
      <c r="F71" s="77" t="s">
        <v>1</v>
      </c>
      <c r="G71" s="78">
        <f>G72</f>
        <v>1961844.97</v>
      </c>
      <c r="H71" s="78"/>
    </row>
    <row r="72" spans="1:8" ht="94.5" outlineLevel="7">
      <c r="A72" s="76" t="s">
        <v>708</v>
      </c>
      <c r="B72" s="77" t="s">
        <v>721</v>
      </c>
      <c r="C72" s="77" t="s">
        <v>2</v>
      </c>
      <c r="D72" s="77" t="s">
        <v>22</v>
      </c>
      <c r="E72" s="77" t="s">
        <v>45</v>
      </c>
      <c r="F72" s="77" t="s">
        <v>10</v>
      </c>
      <c r="G72" s="78">
        <f>1925844.89+24458.76+11541.32</f>
        <v>1961844.97</v>
      </c>
      <c r="H72" s="78"/>
    </row>
    <row r="73" spans="1:8" ht="31.5" outlineLevel="6">
      <c r="A73" s="76" t="s">
        <v>434</v>
      </c>
      <c r="B73" s="77" t="s">
        <v>721</v>
      </c>
      <c r="C73" s="77" t="s">
        <v>2</v>
      </c>
      <c r="D73" s="77" t="s">
        <v>22</v>
      </c>
      <c r="E73" s="77" t="s">
        <v>46</v>
      </c>
      <c r="F73" s="77" t="s">
        <v>1</v>
      </c>
      <c r="G73" s="78">
        <f>G74+G75</f>
        <v>27210507.77</v>
      </c>
      <c r="H73" s="78"/>
    </row>
    <row r="74" spans="1:8" ht="94.5" outlineLevel="7">
      <c r="A74" s="76" t="s">
        <v>708</v>
      </c>
      <c r="B74" s="77" t="s">
        <v>721</v>
      </c>
      <c r="C74" s="77" t="s">
        <v>2</v>
      </c>
      <c r="D74" s="77" t="s">
        <v>22</v>
      </c>
      <c r="E74" s="77" t="s">
        <v>46</v>
      </c>
      <c r="F74" s="77" t="s">
        <v>10</v>
      </c>
      <c r="G74" s="78">
        <v>27090389.31</v>
      </c>
      <c r="H74" s="78"/>
    </row>
    <row r="75" spans="1:8" ht="31.5" outlineLevel="7">
      <c r="A75" s="76" t="s">
        <v>694</v>
      </c>
      <c r="B75" s="77" t="s">
        <v>721</v>
      </c>
      <c r="C75" s="77" t="s">
        <v>2</v>
      </c>
      <c r="D75" s="77" t="s">
        <v>22</v>
      </c>
      <c r="E75" s="77" t="s">
        <v>46</v>
      </c>
      <c r="F75" s="77" t="s">
        <v>47</v>
      </c>
      <c r="G75" s="78">
        <v>120118.46</v>
      </c>
      <c r="H75" s="78"/>
    </row>
    <row r="76" spans="1:8" ht="31.5" outlineLevel="6">
      <c r="A76" s="76" t="s">
        <v>430</v>
      </c>
      <c r="B76" s="77" t="s">
        <v>721</v>
      </c>
      <c r="C76" s="77" t="s">
        <v>2</v>
      </c>
      <c r="D76" s="77" t="s">
        <v>22</v>
      </c>
      <c r="E76" s="77" t="s">
        <v>48</v>
      </c>
      <c r="F76" s="77" t="s">
        <v>1</v>
      </c>
      <c r="G76" s="78">
        <f>G77</f>
        <v>3360</v>
      </c>
      <c r="H76" s="78"/>
    </row>
    <row r="77" spans="1:8" ht="94.5" outlineLevel="7">
      <c r="A77" s="76" t="s">
        <v>708</v>
      </c>
      <c r="B77" s="77" t="s">
        <v>721</v>
      </c>
      <c r="C77" s="77" t="s">
        <v>2</v>
      </c>
      <c r="D77" s="77" t="s">
        <v>22</v>
      </c>
      <c r="E77" s="77" t="s">
        <v>48</v>
      </c>
      <c r="F77" s="77" t="s">
        <v>10</v>
      </c>
      <c r="G77" s="78">
        <v>3360</v>
      </c>
      <c r="H77" s="78"/>
    </row>
    <row r="78" spans="1:8" ht="63" outlineLevel="6">
      <c r="A78" s="76" t="s">
        <v>436</v>
      </c>
      <c r="B78" s="77" t="s">
        <v>721</v>
      </c>
      <c r="C78" s="77" t="s">
        <v>2</v>
      </c>
      <c r="D78" s="77" t="s">
        <v>22</v>
      </c>
      <c r="E78" s="77" t="s">
        <v>49</v>
      </c>
      <c r="F78" s="77" t="s">
        <v>1</v>
      </c>
      <c r="G78" s="78">
        <f>G79</f>
        <v>466122.51</v>
      </c>
      <c r="H78" s="78"/>
    </row>
    <row r="79" spans="1:8" ht="94.5" outlineLevel="7">
      <c r="A79" s="76" t="s">
        <v>708</v>
      </c>
      <c r="B79" s="77" t="s">
        <v>721</v>
      </c>
      <c r="C79" s="77" t="s">
        <v>2</v>
      </c>
      <c r="D79" s="77" t="s">
        <v>22</v>
      </c>
      <c r="E79" s="77" t="s">
        <v>49</v>
      </c>
      <c r="F79" s="77" t="s">
        <v>10</v>
      </c>
      <c r="G79" s="78">
        <v>466122.51</v>
      </c>
      <c r="H79" s="78"/>
    </row>
    <row r="80" spans="1:8" ht="78.75" outlineLevel="6">
      <c r="A80" s="76" t="s">
        <v>432</v>
      </c>
      <c r="B80" s="77" t="s">
        <v>721</v>
      </c>
      <c r="C80" s="77" t="s">
        <v>2</v>
      </c>
      <c r="D80" s="77" t="s">
        <v>22</v>
      </c>
      <c r="E80" s="77" t="s">
        <v>50</v>
      </c>
      <c r="F80" s="77" t="s">
        <v>1</v>
      </c>
      <c r="G80" s="78">
        <f>G81</f>
        <v>497900</v>
      </c>
      <c r="H80" s="78"/>
    </row>
    <row r="81" spans="1:8" ht="94.5" outlineLevel="7">
      <c r="A81" s="76" t="s">
        <v>708</v>
      </c>
      <c r="B81" s="77" t="s">
        <v>721</v>
      </c>
      <c r="C81" s="77" t="s">
        <v>2</v>
      </c>
      <c r="D81" s="77" t="s">
        <v>22</v>
      </c>
      <c r="E81" s="77" t="s">
        <v>50</v>
      </c>
      <c r="F81" s="77" t="s">
        <v>10</v>
      </c>
      <c r="G81" s="78">
        <f>422900+75000</f>
        <v>497900</v>
      </c>
      <c r="H81" s="78"/>
    </row>
    <row r="82" spans="1:9" s="75" customFormat="1" ht="31.5" outlineLevel="4">
      <c r="A82" s="72" t="s">
        <v>613</v>
      </c>
      <c r="B82" s="73" t="s">
        <v>721</v>
      </c>
      <c r="C82" s="73" t="s">
        <v>2</v>
      </c>
      <c r="D82" s="73" t="s">
        <v>22</v>
      </c>
      <c r="E82" s="73" t="s">
        <v>7</v>
      </c>
      <c r="F82" s="73" t="s">
        <v>1</v>
      </c>
      <c r="G82" s="74">
        <f>G83+G87+G90</f>
        <v>776100</v>
      </c>
      <c r="H82" s="74"/>
      <c r="I82" s="206"/>
    </row>
    <row r="83" spans="1:8" ht="63" outlineLevel="5">
      <c r="A83" s="76" t="s">
        <v>1063</v>
      </c>
      <c r="B83" s="77" t="s">
        <v>721</v>
      </c>
      <c r="C83" s="77" t="s">
        <v>2</v>
      </c>
      <c r="D83" s="77" t="s">
        <v>22</v>
      </c>
      <c r="E83" s="77" t="s">
        <v>15</v>
      </c>
      <c r="F83" s="77" t="s">
        <v>1</v>
      </c>
      <c r="G83" s="78">
        <f>G84</f>
        <v>195000</v>
      </c>
      <c r="H83" s="78"/>
    </row>
    <row r="84" spans="1:8" ht="31.5" outlineLevel="6">
      <c r="A84" s="76" t="s">
        <v>430</v>
      </c>
      <c r="B84" s="77" t="s">
        <v>721</v>
      </c>
      <c r="C84" s="77" t="s">
        <v>2</v>
      </c>
      <c r="D84" s="77" t="s">
        <v>22</v>
      </c>
      <c r="E84" s="77" t="s">
        <v>16</v>
      </c>
      <c r="F84" s="77" t="s">
        <v>1</v>
      </c>
      <c r="G84" s="78">
        <f>G85+G86</f>
        <v>195000</v>
      </c>
      <c r="H84" s="78"/>
    </row>
    <row r="85" spans="1:8" ht="94.5" outlineLevel="7">
      <c r="A85" s="76" t="s">
        <v>708</v>
      </c>
      <c r="B85" s="77" t="s">
        <v>721</v>
      </c>
      <c r="C85" s="77" t="s">
        <v>2</v>
      </c>
      <c r="D85" s="77" t="s">
        <v>22</v>
      </c>
      <c r="E85" s="77" t="s">
        <v>16</v>
      </c>
      <c r="F85" s="77" t="s">
        <v>10</v>
      </c>
      <c r="G85" s="78">
        <v>43560</v>
      </c>
      <c r="H85" s="78"/>
    </row>
    <row r="86" spans="1:8" ht="31.5" outlineLevel="7">
      <c r="A86" s="76" t="s">
        <v>693</v>
      </c>
      <c r="B86" s="77" t="s">
        <v>721</v>
      </c>
      <c r="C86" s="77" t="s">
        <v>2</v>
      </c>
      <c r="D86" s="77" t="s">
        <v>22</v>
      </c>
      <c r="E86" s="77" t="s">
        <v>16</v>
      </c>
      <c r="F86" s="77" t="s">
        <v>17</v>
      </c>
      <c r="G86" s="78">
        <f>211440-60000</f>
        <v>151440</v>
      </c>
      <c r="H86" s="78"/>
    </row>
    <row r="87" spans="1:8" ht="15.75" outlineLevel="5">
      <c r="A87" s="76" t="s">
        <v>1064</v>
      </c>
      <c r="B87" s="77" t="s">
        <v>721</v>
      </c>
      <c r="C87" s="77" t="s">
        <v>2</v>
      </c>
      <c r="D87" s="77" t="s">
        <v>22</v>
      </c>
      <c r="E87" s="77" t="s">
        <v>18</v>
      </c>
      <c r="F87" s="77" t="s">
        <v>1</v>
      </c>
      <c r="G87" s="78">
        <f>G88</f>
        <v>197100</v>
      </c>
      <c r="H87" s="78"/>
    </row>
    <row r="88" spans="1:8" ht="31.5" outlineLevel="6">
      <c r="A88" s="76" t="s">
        <v>430</v>
      </c>
      <c r="B88" s="77" t="s">
        <v>721</v>
      </c>
      <c r="C88" s="77" t="s">
        <v>2</v>
      </c>
      <c r="D88" s="77" t="s">
        <v>22</v>
      </c>
      <c r="E88" s="77" t="s">
        <v>19</v>
      </c>
      <c r="F88" s="77" t="s">
        <v>1</v>
      </c>
      <c r="G88" s="78">
        <f>G89</f>
        <v>197100</v>
      </c>
      <c r="H88" s="78"/>
    </row>
    <row r="89" spans="1:8" ht="31.5" outlineLevel="7">
      <c r="A89" s="76" t="s">
        <v>693</v>
      </c>
      <c r="B89" s="77" t="s">
        <v>721</v>
      </c>
      <c r="C89" s="77" t="s">
        <v>2</v>
      </c>
      <c r="D89" s="77" t="s">
        <v>22</v>
      </c>
      <c r="E89" s="77" t="s">
        <v>19</v>
      </c>
      <c r="F89" s="77" t="s">
        <v>17</v>
      </c>
      <c r="G89" s="78">
        <f>143100+54000</f>
        <v>197100</v>
      </c>
      <c r="H89" s="78"/>
    </row>
    <row r="90" spans="1:8" ht="47.25" outlineLevel="5">
      <c r="A90" s="76" t="s">
        <v>1062</v>
      </c>
      <c r="B90" s="77" t="s">
        <v>721</v>
      </c>
      <c r="C90" s="77" t="s">
        <v>2</v>
      </c>
      <c r="D90" s="77" t="s">
        <v>22</v>
      </c>
      <c r="E90" s="77" t="s">
        <v>8</v>
      </c>
      <c r="F90" s="77" t="s">
        <v>1</v>
      </c>
      <c r="G90" s="78">
        <f>G91</f>
        <v>384000</v>
      </c>
      <c r="H90" s="78"/>
    </row>
    <row r="91" spans="1:8" ht="31.5" outlineLevel="6">
      <c r="A91" s="76" t="s">
        <v>430</v>
      </c>
      <c r="B91" s="77" t="s">
        <v>721</v>
      </c>
      <c r="C91" s="77" t="s">
        <v>2</v>
      </c>
      <c r="D91" s="77" t="s">
        <v>22</v>
      </c>
      <c r="E91" s="77" t="s">
        <v>9</v>
      </c>
      <c r="F91" s="77" t="s">
        <v>1</v>
      </c>
      <c r="G91" s="78">
        <f>G92+G93</f>
        <v>384000</v>
      </c>
      <c r="H91" s="78"/>
    </row>
    <row r="92" spans="1:8" ht="94.5" outlineLevel="7">
      <c r="A92" s="76" t="s">
        <v>708</v>
      </c>
      <c r="B92" s="77" t="s">
        <v>721</v>
      </c>
      <c r="C92" s="77" t="s">
        <v>2</v>
      </c>
      <c r="D92" s="77" t="s">
        <v>22</v>
      </c>
      <c r="E92" s="77" t="s">
        <v>9</v>
      </c>
      <c r="F92" s="77" t="s">
        <v>10</v>
      </c>
      <c r="G92" s="78">
        <v>294800</v>
      </c>
      <c r="H92" s="78"/>
    </row>
    <row r="93" spans="1:8" ht="31.5" outlineLevel="7">
      <c r="A93" s="208" t="s">
        <v>693</v>
      </c>
      <c r="B93" s="209" t="s">
        <v>721</v>
      </c>
      <c r="C93" s="209" t="s">
        <v>2</v>
      </c>
      <c r="D93" s="209" t="s">
        <v>22</v>
      </c>
      <c r="E93" s="209" t="s">
        <v>9</v>
      </c>
      <c r="F93" s="209" t="s">
        <v>17</v>
      </c>
      <c r="G93" s="210">
        <v>89200</v>
      </c>
      <c r="H93" s="78"/>
    </row>
    <row r="94" spans="1:8" ht="31.5" outlineLevel="7">
      <c r="A94" s="145" t="s">
        <v>1239</v>
      </c>
      <c r="B94" s="146" t="s">
        <v>721</v>
      </c>
      <c r="C94" s="146" t="s">
        <v>2</v>
      </c>
      <c r="D94" s="146" t="s">
        <v>239</v>
      </c>
      <c r="E94" s="214" t="s">
        <v>4</v>
      </c>
      <c r="F94" s="146" t="s">
        <v>1</v>
      </c>
      <c r="G94" s="215">
        <f>G95</f>
        <v>1063600</v>
      </c>
      <c r="H94" s="211"/>
    </row>
    <row r="95" spans="1:8" ht="15.75" outlineLevel="7">
      <c r="A95" s="134" t="s">
        <v>490</v>
      </c>
      <c r="B95" s="135" t="s">
        <v>721</v>
      </c>
      <c r="C95" s="135" t="s">
        <v>2</v>
      </c>
      <c r="D95" s="135" t="s">
        <v>239</v>
      </c>
      <c r="E95" s="135" t="s">
        <v>11</v>
      </c>
      <c r="F95" s="135" t="s">
        <v>1</v>
      </c>
      <c r="G95" s="216">
        <f>G96</f>
        <v>1063600</v>
      </c>
      <c r="H95" s="211"/>
    </row>
    <row r="96" spans="1:8" ht="31.5" outlineLevel="7">
      <c r="A96" s="134" t="s">
        <v>1240</v>
      </c>
      <c r="B96" s="135" t="s">
        <v>721</v>
      </c>
      <c r="C96" s="135" t="s">
        <v>2</v>
      </c>
      <c r="D96" s="135" t="s">
        <v>239</v>
      </c>
      <c r="E96" s="135" t="s">
        <v>1241</v>
      </c>
      <c r="F96" s="135" t="s">
        <v>1</v>
      </c>
      <c r="G96" s="216">
        <f>G97</f>
        <v>1063600</v>
      </c>
      <c r="H96" s="211"/>
    </row>
    <row r="97" spans="1:8" ht="31.5" outlineLevel="7">
      <c r="A97" s="134" t="s">
        <v>693</v>
      </c>
      <c r="B97" s="135" t="s">
        <v>721</v>
      </c>
      <c r="C97" s="135" t="s">
        <v>2</v>
      </c>
      <c r="D97" s="135" t="s">
        <v>239</v>
      </c>
      <c r="E97" s="135" t="s">
        <v>1241</v>
      </c>
      <c r="F97" s="135" t="s">
        <v>65</v>
      </c>
      <c r="G97" s="216">
        <f>900000+163600</f>
        <v>1063600</v>
      </c>
      <c r="H97" s="211"/>
    </row>
    <row r="98" spans="1:9" s="75" customFormat="1" ht="15.75" outlineLevel="2">
      <c r="A98" s="72" t="s">
        <v>668</v>
      </c>
      <c r="B98" s="73" t="s">
        <v>721</v>
      </c>
      <c r="C98" s="73" t="s">
        <v>2</v>
      </c>
      <c r="D98" s="73" t="s">
        <v>66</v>
      </c>
      <c r="E98" s="73" t="s">
        <v>4</v>
      </c>
      <c r="F98" s="73" t="s">
        <v>1</v>
      </c>
      <c r="G98" s="74">
        <f>G99+G103+G111+G115+G119+G147+G185</f>
        <v>70374995.83999999</v>
      </c>
      <c r="H98" s="74">
        <f>H119+H147</f>
        <v>784042</v>
      </c>
      <c r="I98" s="206"/>
    </row>
    <row r="99" spans="1:9" s="75" customFormat="1" ht="63" outlineLevel="4">
      <c r="A99" s="72" t="s">
        <v>619</v>
      </c>
      <c r="B99" s="73" t="s">
        <v>721</v>
      </c>
      <c r="C99" s="73" t="s">
        <v>2</v>
      </c>
      <c r="D99" s="73" t="s">
        <v>66</v>
      </c>
      <c r="E99" s="73" t="s">
        <v>67</v>
      </c>
      <c r="F99" s="73" t="s">
        <v>1</v>
      </c>
      <c r="G99" s="74">
        <f>G100</f>
        <v>318944</v>
      </c>
      <c r="H99" s="74"/>
      <c r="I99" s="206"/>
    </row>
    <row r="100" spans="1:8" ht="63" outlineLevel="5">
      <c r="A100" s="76" t="s">
        <v>1070</v>
      </c>
      <c r="B100" s="77" t="s">
        <v>721</v>
      </c>
      <c r="C100" s="77" t="s">
        <v>2</v>
      </c>
      <c r="D100" s="77" t="s">
        <v>66</v>
      </c>
      <c r="E100" s="77" t="s">
        <v>68</v>
      </c>
      <c r="F100" s="77" t="s">
        <v>1</v>
      </c>
      <c r="G100" s="78">
        <f>G101</f>
        <v>318944</v>
      </c>
      <c r="H100" s="78"/>
    </row>
    <row r="101" spans="1:8" ht="47.25" outlineLevel="6">
      <c r="A101" s="76" t="s">
        <v>439</v>
      </c>
      <c r="B101" s="77" t="s">
        <v>721</v>
      </c>
      <c r="C101" s="77" t="s">
        <v>2</v>
      </c>
      <c r="D101" s="77" t="s">
        <v>66</v>
      </c>
      <c r="E101" s="77" t="s">
        <v>69</v>
      </c>
      <c r="F101" s="77" t="s">
        <v>1</v>
      </c>
      <c r="G101" s="78">
        <f>G102</f>
        <v>318944</v>
      </c>
      <c r="H101" s="78"/>
    </row>
    <row r="102" spans="1:8" ht="47.25" outlineLevel="7">
      <c r="A102" s="76" t="s">
        <v>696</v>
      </c>
      <c r="B102" s="77" t="s">
        <v>721</v>
      </c>
      <c r="C102" s="77" t="s">
        <v>2</v>
      </c>
      <c r="D102" s="77" t="s">
        <v>66</v>
      </c>
      <c r="E102" s="77" t="s">
        <v>69</v>
      </c>
      <c r="F102" s="77" t="s">
        <v>70</v>
      </c>
      <c r="G102" s="78">
        <v>318944</v>
      </c>
      <c r="H102" s="78"/>
    </row>
    <row r="103" spans="1:9" s="75" customFormat="1" ht="47.25" outlineLevel="3">
      <c r="A103" s="72" t="s">
        <v>658</v>
      </c>
      <c r="B103" s="73" t="s">
        <v>721</v>
      </c>
      <c r="C103" s="73" t="s">
        <v>2</v>
      </c>
      <c r="D103" s="73" t="s">
        <v>66</v>
      </c>
      <c r="E103" s="73" t="s">
        <v>71</v>
      </c>
      <c r="F103" s="73" t="s">
        <v>1</v>
      </c>
      <c r="G103" s="74">
        <f>G104</f>
        <v>2529687.59</v>
      </c>
      <c r="H103" s="74"/>
      <c r="I103" s="206"/>
    </row>
    <row r="104" spans="1:9" s="75" customFormat="1" ht="47.25" outlineLevel="4">
      <c r="A104" s="72" t="s">
        <v>620</v>
      </c>
      <c r="B104" s="73" t="s">
        <v>721</v>
      </c>
      <c r="C104" s="73" t="s">
        <v>2</v>
      </c>
      <c r="D104" s="73" t="s">
        <v>66</v>
      </c>
      <c r="E104" s="73" t="s">
        <v>72</v>
      </c>
      <c r="F104" s="73" t="s">
        <v>1</v>
      </c>
      <c r="G104" s="74">
        <f>G105+G108</f>
        <v>2529687.59</v>
      </c>
      <c r="H104" s="74"/>
      <c r="I104" s="206"/>
    </row>
    <row r="105" spans="1:8" ht="31.5" outlineLevel="5">
      <c r="A105" s="76" t="s">
        <v>1178</v>
      </c>
      <c r="B105" s="77" t="s">
        <v>721</v>
      </c>
      <c r="C105" s="77" t="s">
        <v>2</v>
      </c>
      <c r="D105" s="77" t="s">
        <v>66</v>
      </c>
      <c r="E105" s="77" t="s">
        <v>73</v>
      </c>
      <c r="F105" s="77" t="s">
        <v>1</v>
      </c>
      <c r="G105" s="78">
        <f>G106</f>
        <v>822850</v>
      </c>
      <c r="H105" s="78"/>
    </row>
    <row r="106" spans="1:8" ht="31.5" outlineLevel="6">
      <c r="A106" s="76" t="s">
        <v>440</v>
      </c>
      <c r="B106" s="77" t="s">
        <v>721</v>
      </c>
      <c r="C106" s="77" t="s">
        <v>2</v>
      </c>
      <c r="D106" s="77" t="s">
        <v>66</v>
      </c>
      <c r="E106" s="77" t="s">
        <v>74</v>
      </c>
      <c r="F106" s="77" t="s">
        <v>1</v>
      </c>
      <c r="G106" s="78">
        <f>G107</f>
        <v>822850</v>
      </c>
      <c r="H106" s="78"/>
    </row>
    <row r="107" spans="1:8" ht="31.5" outlineLevel="7">
      <c r="A107" s="76" t="s">
        <v>693</v>
      </c>
      <c r="B107" s="77" t="s">
        <v>721</v>
      </c>
      <c r="C107" s="77" t="s">
        <v>2</v>
      </c>
      <c r="D107" s="77" t="s">
        <v>66</v>
      </c>
      <c r="E107" s="77" t="s">
        <v>74</v>
      </c>
      <c r="F107" s="77" t="s">
        <v>17</v>
      </c>
      <c r="G107" s="78">
        <f>231500+591350</f>
        <v>822850</v>
      </c>
      <c r="H107" s="78"/>
    </row>
    <row r="108" spans="1:8" ht="31.5" outlineLevel="5">
      <c r="A108" s="76" t="s">
        <v>1179</v>
      </c>
      <c r="B108" s="77" t="s">
        <v>721</v>
      </c>
      <c r="C108" s="77" t="s">
        <v>2</v>
      </c>
      <c r="D108" s="77" t="s">
        <v>66</v>
      </c>
      <c r="E108" s="77" t="s">
        <v>75</v>
      </c>
      <c r="F108" s="77" t="s">
        <v>1</v>
      </c>
      <c r="G108" s="78">
        <f>G109</f>
        <v>1706837.5899999999</v>
      </c>
      <c r="H108" s="78"/>
    </row>
    <row r="109" spans="1:8" ht="31.5" outlineLevel="6">
      <c r="A109" s="76" t="s">
        <v>441</v>
      </c>
      <c r="B109" s="77" t="s">
        <v>721</v>
      </c>
      <c r="C109" s="77" t="s">
        <v>2</v>
      </c>
      <c r="D109" s="77" t="s">
        <v>66</v>
      </c>
      <c r="E109" s="77" t="s">
        <v>76</v>
      </c>
      <c r="F109" s="77" t="s">
        <v>1</v>
      </c>
      <c r="G109" s="78">
        <f>G110</f>
        <v>1706837.5899999999</v>
      </c>
      <c r="H109" s="78"/>
    </row>
    <row r="110" spans="1:8" ht="31.5" outlineLevel="7">
      <c r="A110" s="76" t="s">
        <v>693</v>
      </c>
      <c r="B110" s="77" t="s">
        <v>721</v>
      </c>
      <c r="C110" s="77" t="s">
        <v>2</v>
      </c>
      <c r="D110" s="77" t="s">
        <v>66</v>
      </c>
      <c r="E110" s="77" t="s">
        <v>76</v>
      </c>
      <c r="F110" s="77" t="s">
        <v>17</v>
      </c>
      <c r="G110" s="78">
        <f>3000000-591350-701812.41</f>
        <v>1706837.5899999999</v>
      </c>
      <c r="H110" s="78"/>
    </row>
    <row r="111" spans="1:9" s="75" customFormat="1" ht="47.25" outlineLevel="4">
      <c r="A111" s="72" t="s">
        <v>622</v>
      </c>
      <c r="B111" s="73" t="s">
        <v>721</v>
      </c>
      <c r="C111" s="73" t="s">
        <v>2</v>
      </c>
      <c r="D111" s="73" t="s">
        <v>66</v>
      </c>
      <c r="E111" s="73" t="s">
        <v>80</v>
      </c>
      <c r="F111" s="73" t="s">
        <v>1</v>
      </c>
      <c r="G111" s="74">
        <f>G112</f>
        <v>246750</v>
      </c>
      <c r="H111" s="74"/>
      <c r="I111" s="206"/>
    </row>
    <row r="112" spans="1:8" ht="126" outlineLevel="5">
      <c r="A112" s="76" t="s">
        <v>1071</v>
      </c>
      <c r="B112" s="77" t="s">
        <v>721</v>
      </c>
      <c r="C112" s="77" t="s">
        <v>2</v>
      </c>
      <c r="D112" s="77" t="s">
        <v>66</v>
      </c>
      <c r="E112" s="77" t="s">
        <v>81</v>
      </c>
      <c r="F112" s="77" t="s">
        <v>1</v>
      </c>
      <c r="G112" s="78">
        <f>G113</f>
        <v>246750</v>
      </c>
      <c r="H112" s="78"/>
    </row>
    <row r="113" spans="1:8" ht="31.5" outlineLevel="6">
      <c r="A113" s="76" t="s">
        <v>441</v>
      </c>
      <c r="B113" s="77" t="s">
        <v>721</v>
      </c>
      <c r="C113" s="77" t="s">
        <v>2</v>
      </c>
      <c r="D113" s="77" t="s">
        <v>66</v>
      </c>
      <c r="E113" s="77" t="s">
        <v>82</v>
      </c>
      <c r="F113" s="77" t="s">
        <v>1</v>
      </c>
      <c r="G113" s="78">
        <f>G114</f>
        <v>246750</v>
      </c>
      <c r="H113" s="78"/>
    </row>
    <row r="114" spans="1:8" ht="31.5" outlineLevel="7">
      <c r="A114" s="76" t="s">
        <v>693</v>
      </c>
      <c r="B114" s="77" t="s">
        <v>721</v>
      </c>
      <c r="C114" s="77" t="s">
        <v>2</v>
      </c>
      <c r="D114" s="77" t="s">
        <v>66</v>
      </c>
      <c r="E114" s="77" t="s">
        <v>82</v>
      </c>
      <c r="F114" s="77" t="s">
        <v>17</v>
      </c>
      <c r="G114" s="78">
        <f>200000+170000-123250</f>
        <v>246750</v>
      </c>
      <c r="H114" s="78"/>
    </row>
    <row r="115" spans="1:9" s="75" customFormat="1" ht="63" hidden="1" outlineLevel="4">
      <c r="A115" s="72" t="s">
        <v>623</v>
      </c>
      <c r="B115" s="73" t="s">
        <v>721</v>
      </c>
      <c r="C115" s="73" t="s">
        <v>2</v>
      </c>
      <c r="D115" s="73" t="s">
        <v>66</v>
      </c>
      <c r="E115" s="73" t="s">
        <v>83</v>
      </c>
      <c r="F115" s="73" t="s">
        <v>1</v>
      </c>
      <c r="G115" s="74">
        <f>G116</f>
        <v>0</v>
      </c>
      <c r="H115" s="74"/>
      <c r="I115" s="206"/>
    </row>
    <row r="116" spans="1:8" ht="63" hidden="1" outlineLevel="5">
      <c r="A116" s="76" t="s">
        <v>1072</v>
      </c>
      <c r="B116" s="77" t="s">
        <v>721</v>
      </c>
      <c r="C116" s="77" t="s">
        <v>2</v>
      </c>
      <c r="D116" s="77" t="s">
        <v>66</v>
      </c>
      <c r="E116" s="77" t="s">
        <v>88</v>
      </c>
      <c r="F116" s="77" t="s">
        <v>1</v>
      </c>
      <c r="G116" s="78">
        <f>G117</f>
        <v>0</v>
      </c>
      <c r="H116" s="78"/>
    </row>
    <row r="117" spans="1:8" ht="31.5" hidden="1" outlineLevel="6">
      <c r="A117" s="76" t="s">
        <v>441</v>
      </c>
      <c r="B117" s="77" t="s">
        <v>721</v>
      </c>
      <c r="C117" s="77" t="s">
        <v>2</v>
      </c>
      <c r="D117" s="77" t="s">
        <v>66</v>
      </c>
      <c r="E117" s="77" t="s">
        <v>89</v>
      </c>
      <c r="F117" s="77" t="s">
        <v>1</v>
      </c>
      <c r="G117" s="78">
        <f>G118</f>
        <v>0</v>
      </c>
      <c r="H117" s="78"/>
    </row>
    <row r="118" spans="1:8" ht="15.75" hidden="1" outlineLevel="7">
      <c r="A118" s="76" t="s">
        <v>695</v>
      </c>
      <c r="B118" s="77" t="s">
        <v>721</v>
      </c>
      <c r="C118" s="77" t="s">
        <v>2</v>
      </c>
      <c r="D118" s="77" t="s">
        <v>66</v>
      </c>
      <c r="E118" s="77" t="s">
        <v>89</v>
      </c>
      <c r="F118" s="77" t="s">
        <v>65</v>
      </c>
      <c r="G118" s="78">
        <f>47500-47500</f>
        <v>0</v>
      </c>
      <c r="H118" s="78"/>
    </row>
    <row r="119" spans="1:9" s="75" customFormat="1" ht="47.25" outlineLevel="3" collapsed="1">
      <c r="A119" s="72" t="s">
        <v>659</v>
      </c>
      <c r="B119" s="73" t="s">
        <v>721</v>
      </c>
      <c r="C119" s="73" t="s">
        <v>2</v>
      </c>
      <c r="D119" s="73" t="s">
        <v>66</v>
      </c>
      <c r="E119" s="73" t="s">
        <v>90</v>
      </c>
      <c r="F119" s="73" t="s">
        <v>1</v>
      </c>
      <c r="G119" s="74">
        <f>G120+G141</f>
        <v>24661365.12</v>
      </c>
      <c r="H119" s="74">
        <f>H120</f>
        <v>13042</v>
      </c>
      <c r="I119" s="206"/>
    </row>
    <row r="120" spans="1:9" s="75" customFormat="1" ht="47.25" outlineLevel="4">
      <c r="A120" s="72" t="s">
        <v>624</v>
      </c>
      <c r="B120" s="73" t="s">
        <v>721</v>
      </c>
      <c r="C120" s="73" t="s">
        <v>2</v>
      </c>
      <c r="D120" s="73" t="s">
        <v>66</v>
      </c>
      <c r="E120" s="73" t="s">
        <v>91</v>
      </c>
      <c r="F120" s="73" t="s">
        <v>1</v>
      </c>
      <c r="G120" s="74">
        <f>G121+G128+G131+G135+G138</f>
        <v>3595236.12</v>
      </c>
      <c r="H120" s="74">
        <f>H121</f>
        <v>13042</v>
      </c>
      <c r="I120" s="206"/>
    </row>
    <row r="121" spans="1:8" ht="47.25" outlineLevel="5">
      <c r="A121" s="76" t="s">
        <v>1066</v>
      </c>
      <c r="B121" s="77" t="s">
        <v>721</v>
      </c>
      <c r="C121" s="77" t="s">
        <v>2</v>
      </c>
      <c r="D121" s="77" t="s">
        <v>66</v>
      </c>
      <c r="E121" s="77" t="s">
        <v>94</v>
      </c>
      <c r="F121" s="77" t="s">
        <v>1</v>
      </c>
      <c r="G121" s="78">
        <f>G122+G124+G126</f>
        <v>479072.3400000001</v>
      </c>
      <c r="H121" s="78">
        <f>H124</f>
        <v>13042</v>
      </c>
    </row>
    <row r="122" spans="1:8" ht="31.5" outlineLevel="6">
      <c r="A122" s="76" t="s">
        <v>441</v>
      </c>
      <c r="B122" s="77" t="s">
        <v>721</v>
      </c>
      <c r="C122" s="77" t="s">
        <v>2</v>
      </c>
      <c r="D122" s="77" t="s">
        <v>66</v>
      </c>
      <c r="E122" s="77" t="s">
        <v>95</v>
      </c>
      <c r="F122" s="77" t="s">
        <v>1</v>
      </c>
      <c r="G122" s="78">
        <f>G123</f>
        <v>465344.56000000006</v>
      </c>
      <c r="H122" s="78"/>
    </row>
    <row r="123" spans="1:8" ht="31.5" outlineLevel="7">
      <c r="A123" s="76" t="s">
        <v>693</v>
      </c>
      <c r="B123" s="77" t="s">
        <v>721</v>
      </c>
      <c r="C123" s="77" t="s">
        <v>2</v>
      </c>
      <c r="D123" s="77" t="s">
        <v>66</v>
      </c>
      <c r="E123" s="77" t="s">
        <v>95</v>
      </c>
      <c r="F123" s="77" t="s">
        <v>17</v>
      </c>
      <c r="G123" s="78">
        <f>595464.56-50000-80120</f>
        <v>465344.56000000006</v>
      </c>
      <c r="H123" s="78"/>
    </row>
    <row r="124" spans="1:8" ht="63" outlineLevel="6">
      <c r="A124" s="76" t="s">
        <v>442</v>
      </c>
      <c r="B124" s="77" t="s">
        <v>721</v>
      </c>
      <c r="C124" s="77" t="s">
        <v>2</v>
      </c>
      <c r="D124" s="77" t="s">
        <v>66</v>
      </c>
      <c r="E124" s="77" t="s">
        <v>96</v>
      </c>
      <c r="F124" s="77" t="s">
        <v>1</v>
      </c>
      <c r="G124" s="78">
        <f>G125</f>
        <v>13042</v>
      </c>
      <c r="H124" s="78">
        <f>H125</f>
        <v>13042</v>
      </c>
    </row>
    <row r="125" spans="1:8" ht="31.5" outlineLevel="7">
      <c r="A125" s="76" t="s">
        <v>693</v>
      </c>
      <c r="B125" s="77" t="s">
        <v>721</v>
      </c>
      <c r="C125" s="77" t="s">
        <v>2</v>
      </c>
      <c r="D125" s="77" t="s">
        <v>66</v>
      </c>
      <c r="E125" s="77" t="s">
        <v>96</v>
      </c>
      <c r="F125" s="77" t="s">
        <v>17</v>
      </c>
      <c r="G125" s="78">
        <v>13042</v>
      </c>
      <c r="H125" s="78">
        <f>G125</f>
        <v>13042</v>
      </c>
    </row>
    <row r="126" spans="1:8" ht="63" outlineLevel="6">
      <c r="A126" s="76" t="s">
        <v>442</v>
      </c>
      <c r="B126" s="77" t="s">
        <v>721</v>
      </c>
      <c r="C126" s="77" t="s">
        <v>2</v>
      </c>
      <c r="D126" s="77" t="s">
        <v>66</v>
      </c>
      <c r="E126" s="77" t="s">
        <v>97</v>
      </c>
      <c r="F126" s="77" t="s">
        <v>1</v>
      </c>
      <c r="G126" s="78">
        <f>G127</f>
        <v>685.78</v>
      </c>
      <c r="H126" s="78"/>
    </row>
    <row r="127" spans="1:8" ht="31.5" outlineLevel="7">
      <c r="A127" s="76" t="s">
        <v>693</v>
      </c>
      <c r="B127" s="77" t="s">
        <v>721</v>
      </c>
      <c r="C127" s="77" t="s">
        <v>2</v>
      </c>
      <c r="D127" s="77" t="s">
        <v>66</v>
      </c>
      <c r="E127" s="77" t="s">
        <v>97</v>
      </c>
      <c r="F127" s="77" t="s">
        <v>17</v>
      </c>
      <c r="G127" s="78">
        <f>1650-964.22</f>
        <v>685.78</v>
      </c>
      <c r="H127" s="78"/>
    </row>
    <row r="128" spans="1:8" ht="47.25" outlineLevel="5">
      <c r="A128" s="76" t="s">
        <v>1073</v>
      </c>
      <c r="B128" s="77" t="s">
        <v>721</v>
      </c>
      <c r="C128" s="77" t="s">
        <v>2</v>
      </c>
      <c r="D128" s="77" t="s">
        <v>66</v>
      </c>
      <c r="E128" s="77" t="s">
        <v>98</v>
      </c>
      <c r="F128" s="77" t="s">
        <v>1</v>
      </c>
      <c r="G128" s="78">
        <f>G129</f>
        <v>5000</v>
      </c>
      <c r="H128" s="78"/>
    </row>
    <row r="129" spans="1:8" ht="31.5" outlineLevel="6">
      <c r="A129" s="76" t="s">
        <v>441</v>
      </c>
      <c r="B129" s="77" t="s">
        <v>721</v>
      </c>
      <c r="C129" s="77" t="s">
        <v>2</v>
      </c>
      <c r="D129" s="77" t="s">
        <v>66</v>
      </c>
      <c r="E129" s="77" t="s">
        <v>99</v>
      </c>
      <c r="F129" s="77" t="s">
        <v>1</v>
      </c>
      <c r="G129" s="78">
        <f>G130</f>
        <v>5000</v>
      </c>
      <c r="H129" s="78"/>
    </row>
    <row r="130" spans="1:8" ht="31.5" outlineLevel="7">
      <c r="A130" s="76" t="s">
        <v>693</v>
      </c>
      <c r="B130" s="77" t="s">
        <v>721</v>
      </c>
      <c r="C130" s="77" t="s">
        <v>2</v>
      </c>
      <c r="D130" s="77" t="s">
        <v>66</v>
      </c>
      <c r="E130" s="77" t="s">
        <v>99</v>
      </c>
      <c r="F130" s="77" t="s">
        <v>17</v>
      </c>
      <c r="G130" s="78">
        <f>14000-9000</f>
        <v>5000</v>
      </c>
      <c r="H130" s="78"/>
    </row>
    <row r="131" spans="1:8" ht="31.5" outlineLevel="5">
      <c r="A131" s="76" t="s">
        <v>1074</v>
      </c>
      <c r="B131" s="77" t="s">
        <v>721</v>
      </c>
      <c r="C131" s="77" t="s">
        <v>2</v>
      </c>
      <c r="D131" s="77" t="s">
        <v>66</v>
      </c>
      <c r="E131" s="77" t="s">
        <v>100</v>
      </c>
      <c r="F131" s="77" t="s">
        <v>1</v>
      </c>
      <c r="G131" s="78">
        <f>G132</f>
        <v>2654113.7800000003</v>
      </c>
      <c r="H131" s="78"/>
    </row>
    <row r="132" spans="1:8" ht="31.5" outlineLevel="6">
      <c r="A132" s="76" t="s">
        <v>441</v>
      </c>
      <c r="B132" s="77" t="s">
        <v>721</v>
      </c>
      <c r="C132" s="77" t="s">
        <v>2</v>
      </c>
      <c r="D132" s="77" t="s">
        <v>66</v>
      </c>
      <c r="E132" s="77" t="s">
        <v>101</v>
      </c>
      <c r="F132" s="77" t="s">
        <v>1</v>
      </c>
      <c r="G132" s="78">
        <f>G133+G134</f>
        <v>2654113.7800000003</v>
      </c>
      <c r="H132" s="78"/>
    </row>
    <row r="133" spans="1:8" ht="31.5" outlineLevel="7">
      <c r="A133" s="76" t="s">
        <v>693</v>
      </c>
      <c r="B133" s="77" t="s">
        <v>721</v>
      </c>
      <c r="C133" s="77" t="s">
        <v>2</v>
      </c>
      <c r="D133" s="77" t="s">
        <v>66</v>
      </c>
      <c r="E133" s="77" t="s">
        <v>101</v>
      </c>
      <c r="F133" s="77" t="s">
        <v>17</v>
      </c>
      <c r="G133" s="78">
        <f>285992.32+37570.18</f>
        <v>323562.5</v>
      </c>
      <c r="H133" s="78"/>
    </row>
    <row r="134" spans="1:8" ht="47.25" outlineLevel="7">
      <c r="A134" s="76" t="s">
        <v>696</v>
      </c>
      <c r="B134" s="77" t="s">
        <v>721</v>
      </c>
      <c r="C134" s="77" t="s">
        <v>2</v>
      </c>
      <c r="D134" s="77" t="s">
        <v>66</v>
      </c>
      <c r="E134" s="77" t="s">
        <v>101</v>
      </c>
      <c r="F134" s="77" t="s">
        <v>70</v>
      </c>
      <c r="G134" s="78">
        <f>776551.28+426480+1127520</f>
        <v>2330551.2800000003</v>
      </c>
      <c r="H134" s="78"/>
    </row>
    <row r="135" spans="1:8" ht="15.75" outlineLevel="5">
      <c r="A135" s="76" t="s">
        <v>1075</v>
      </c>
      <c r="B135" s="77" t="s">
        <v>721</v>
      </c>
      <c r="C135" s="77" t="s">
        <v>2</v>
      </c>
      <c r="D135" s="77" t="s">
        <v>66</v>
      </c>
      <c r="E135" s="77" t="s">
        <v>102</v>
      </c>
      <c r="F135" s="77" t="s">
        <v>1</v>
      </c>
      <c r="G135" s="78">
        <f>G136</f>
        <v>2390</v>
      </c>
      <c r="H135" s="78"/>
    </row>
    <row r="136" spans="1:8" ht="31.5" outlineLevel="6">
      <c r="A136" s="76" t="s">
        <v>441</v>
      </c>
      <c r="B136" s="77" t="s">
        <v>721</v>
      </c>
      <c r="C136" s="77" t="s">
        <v>2</v>
      </c>
      <c r="D136" s="77" t="s">
        <v>66</v>
      </c>
      <c r="E136" s="77" t="s">
        <v>103</v>
      </c>
      <c r="F136" s="77" t="s">
        <v>1</v>
      </c>
      <c r="G136" s="78">
        <f>G137</f>
        <v>2390</v>
      </c>
      <c r="H136" s="78"/>
    </row>
    <row r="137" spans="1:8" ht="31.5" outlineLevel="7">
      <c r="A137" s="76" t="s">
        <v>693</v>
      </c>
      <c r="B137" s="77" t="s">
        <v>721</v>
      </c>
      <c r="C137" s="77" t="s">
        <v>2</v>
      </c>
      <c r="D137" s="77" t="s">
        <v>66</v>
      </c>
      <c r="E137" s="77" t="s">
        <v>103</v>
      </c>
      <c r="F137" s="77" t="s">
        <v>17</v>
      </c>
      <c r="G137" s="78">
        <v>2390</v>
      </c>
      <c r="H137" s="78"/>
    </row>
    <row r="138" spans="1:8" ht="31.5" outlineLevel="5">
      <c r="A138" s="76" t="s">
        <v>1076</v>
      </c>
      <c r="B138" s="77" t="s">
        <v>721</v>
      </c>
      <c r="C138" s="77" t="s">
        <v>2</v>
      </c>
      <c r="D138" s="77" t="s">
        <v>66</v>
      </c>
      <c r="E138" s="77" t="s">
        <v>104</v>
      </c>
      <c r="F138" s="77" t="s">
        <v>1</v>
      </c>
      <c r="G138" s="78">
        <f>G139</f>
        <v>454660</v>
      </c>
      <c r="H138" s="78"/>
    </row>
    <row r="139" spans="1:8" ht="31.5" outlineLevel="6">
      <c r="A139" s="76" t="s">
        <v>441</v>
      </c>
      <c r="B139" s="77" t="s">
        <v>721</v>
      </c>
      <c r="C139" s="77" t="s">
        <v>2</v>
      </c>
      <c r="D139" s="77" t="s">
        <v>66</v>
      </c>
      <c r="E139" s="77" t="s">
        <v>105</v>
      </c>
      <c r="F139" s="77" t="s">
        <v>1</v>
      </c>
      <c r="G139" s="78">
        <f>G140</f>
        <v>454660</v>
      </c>
      <c r="H139" s="78"/>
    </row>
    <row r="140" spans="1:8" ht="31.5" outlineLevel="7">
      <c r="A140" s="76" t="s">
        <v>693</v>
      </c>
      <c r="B140" s="77" t="s">
        <v>721</v>
      </c>
      <c r="C140" s="77" t="s">
        <v>2</v>
      </c>
      <c r="D140" s="77" t="s">
        <v>66</v>
      </c>
      <c r="E140" s="77" t="s">
        <v>105</v>
      </c>
      <c r="F140" s="77" t="s">
        <v>17</v>
      </c>
      <c r="G140" s="78">
        <f>360000+98860-4200</f>
        <v>454660</v>
      </c>
      <c r="H140" s="78"/>
    </row>
    <row r="141" spans="1:9" s="75" customFormat="1" ht="63" outlineLevel="4">
      <c r="A141" s="72" t="s">
        <v>625</v>
      </c>
      <c r="B141" s="73" t="s">
        <v>721</v>
      </c>
      <c r="C141" s="73" t="s">
        <v>2</v>
      </c>
      <c r="D141" s="73" t="s">
        <v>66</v>
      </c>
      <c r="E141" s="73" t="s">
        <v>106</v>
      </c>
      <c r="F141" s="73" t="s">
        <v>1</v>
      </c>
      <c r="G141" s="74">
        <f>G142</f>
        <v>21066129</v>
      </c>
      <c r="H141" s="74"/>
      <c r="I141" s="206"/>
    </row>
    <row r="142" spans="1:8" ht="47.25" outlineLevel="5">
      <c r="A142" s="76" t="s">
        <v>1077</v>
      </c>
      <c r="B142" s="77" t="s">
        <v>721</v>
      </c>
      <c r="C142" s="77" t="s">
        <v>2</v>
      </c>
      <c r="D142" s="77" t="s">
        <v>66</v>
      </c>
      <c r="E142" s="77" t="s">
        <v>107</v>
      </c>
      <c r="F142" s="77" t="s">
        <v>1</v>
      </c>
      <c r="G142" s="78">
        <f>G143+G145</f>
        <v>21066129</v>
      </c>
      <c r="H142" s="78"/>
    </row>
    <row r="143" spans="1:8" ht="78.75" outlineLevel="6">
      <c r="A143" s="76" t="s">
        <v>443</v>
      </c>
      <c r="B143" s="77" t="s">
        <v>721</v>
      </c>
      <c r="C143" s="77" t="s">
        <v>2</v>
      </c>
      <c r="D143" s="77" t="s">
        <v>66</v>
      </c>
      <c r="E143" s="77" t="s">
        <v>108</v>
      </c>
      <c r="F143" s="77" t="s">
        <v>1</v>
      </c>
      <c r="G143" s="78">
        <f>G144</f>
        <v>20627809</v>
      </c>
      <c r="H143" s="78"/>
    </row>
    <row r="144" spans="1:8" ht="47.25" outlineLevel="7">
      <c r="A144" s="76" t="s">
        <v>696</v>
      </c>
      <c r="B144" s="77" t="s">
        <v>721</v>
      </c>
      <c r="C144" s="77" t="s">
        <v>2</v>
      </c>
      <c r="D144" s="77" t="s">
        <v>66</v>
      </c>
      <c r="E144" s="77" t="s">
        <v>108</v>
      </c>
      <c r="F144" s="77" t="s">
        <v>70</v>
      </c>
      <c r="G144" s="78">
        <v>20627809</v>
      </c>
      <c r="H144" s="78"/>
    </row>
    <row r="145" spans="1:8" ht="78.75" outlineLevel="6">
      <c r="A145" s="76" t="s">
        <v>432</v>
      </c>
      <c r="B145" s="77" t="s">
        <v>721</v>
      </c>
      <c r="C145" s="77" t="s">
        <v>2</v>
      </c>
      <c r="D145" s="77" t="s">
        <v>66</v>
      </c>
      <c r="E145" s="77" t="s">
        <v>109</v>
      </c>
      <c r="F145" s="77" t="s">
        <v>1</v>
      </c>
      <c r="G145" s="78">
        <f>G146</f>
        <v>438320</v>
      </c>
      <c r="H145" s="78"/>
    </row>
    <row r="146" spans="1:8" ht="47.25" outlineLevel="7">
      <c r="A146" s="76" t="s">
        <v>696</v>
      </c>
      <c r="B146" s="77" t="s">
        <v>721</v>
      </c>
      <c r="C146" s="77" t="s">
        <v>2</v>
      </c>
      <c r="D146" s="77" t="s">
        <v>66</v>
      </c>
      <c r="E146" s="77" t="s">
        <v>109</v>
      </c>
      <c r="F146" s="77" t="s">
        <v>70</v>
      </c>
      <c r="G146" s="78">
        <v>438320</v>
      </c>
      <c r="H146" s="78"/>
    </row>
    <row r="147" spans="1:9" s="75" customFormat="1" ht="63" outlineLevel="3">
      <c r="A147" s="72" t="s">
        <v>656</v>
      </c>
      <c r="B147" s="73" t="s">
        <v>721</v>
      </c>
      <c r="C147" s="73" t="s">
        <v>2</v>
      </c>
      <c r="D147" s="73" t="s">
        <v>66</v>
      </c>
      <c r="E147" s="73" t="s">
        <v>6</v>
      </c>
      <c r="F147" s="73" t="s">
        <v>1</v>
      </c>
      <c r="G147" s="74">
        <f>G148+G155+G162</f>
        <v>41929490.8</v>
      </c>
      <c r="H147" s="74">
        <f>H148</f>
        <v>771000</v>
      </c>
      <c r="I147" s="206"/>
    </row>
    <row r="148" spans="1:9" s="75" customFormat="1" ht="31.5" outlineLevel="4">
      <c r="A148" s="72" t="s">
        <v>616</v>
      </c>
      <c r="B148" s="73" t="s">
        <v>721</v>
      </c>
      <c r="C148" s="73" t="s">
        <v>2</v>
      </c>
      <c r="D148" s="73" t="s">
        <v>66</v>
      </c>
      <c r="E148" s="73" t="s">
        <v>43</v>
      </c>
      <c r="F148" s="73" t="s">
        <v>1</v>
      </c>
      <c r="G148" s="74">
        <f>G149</f>
        <v>771000</v>
      </c>
      <c r="H148" s="74">
        <f>H149</f>
        <v>771000</v>
      </c>
      <c r="I148" s="206"/>
    </row>
    <row r="149" spans="1:8" ht="31.5" outlineLevel="5">
      <c r="A149" s="76" t="s">
        <v>1078</v>
      </c>
      <c r="B149" s="77" t="s">
        <v>721</v>
      </c>
      <c r="C149" s="77" t="s">
        <v>2</v>
      </c>
      <c r="D149" s="77" t="s">
        <v>66</v>
      </c>
      <c r="E149" s="77" t="s">
        <v>110</v>
      </c>
      <c r="F149" s="77" t="s">
        <v>1</v>
      </c>
      <c r="G149" s="78">
        <f>G150+G152</f>
        <v>771000</v>
      </c>
      <c r="H149" s="78">
        <f>H150+H152</f>
        <v>771000</v>
      </c>
    </row>
    <row r="150" spans="1:8" ht="126" outlineLevel="6">
      <c r="A150" s="76" t="s">
        <v>444</v>
      </c>
      <c r="B150" s="77" t="s">
        <v>721</v>
      </c>
      <c r="C150" s="77" t="s">
        <v>2</v>
      </c>
      <c r="D150" s="77" t="s">
        <v>66</v>
      </c>
      <c r="E150" s="77" t="s">
        <v>111</v>
      </c>
      <c r="F150" s="77" t="s">
        <v>1</v>
      </c>
      <c r="G150" s="78">
        <f>G151</f>
        <v>6000</v>
      </c>
      <c r="H150" s="78">
        <f>H151</f>
        <v>6000</v>
      </c>
    </row>
    <row r="151" spans="1:8" ht="31.5" outlineLevel="7">
      <c r="A151" s="76" t="s">
        <v>693</v>
      </c>
      <c r="B151" s="77" t="s">
        <v>721</v>
      </c>
      <c r="C151" s="77" t="s">
        <v>2</v>
      </c>
      <c r="D151" s="77" t="s">
        <v>66</v>
      </c>
      <c r="E151" s="77" t="s">
        <v>111</v>
      </c>
      <c r="F151" s="77" t="s">
        <v>17</v>
      </c>
      <c r="G151" s="78">
        <v>6000</v>
      </c>
      <c r="H151" s="78">
        <f>G151</f>
        <v>6000</v>
      </c>
    </row>
    <row r="152" spans="1:8" ht="31.5" outlineLevel="6">
      <c r="A152" s="76" t="s">
        <v>445</v>
      </c>
      <c r="B152" s="77" t="s">
        <v>721</v>
      </c>
      <c r="C152" s="77" t="s">
        <v>2</v>
      </c>
      <c r="D152" s="77" t="s">
        <v>66</v>
      </c>
      <c r="E152" s="77" t="s">
        <v>112</v>
      </c>
      <c r="F152" s="77" t="s">
        <v>1</v>
      </c>
      <c r="G152" s="78">
        <f>G153+G154</f>
        <v>765000</v>
      </c>
      <c r="H152" s="78">
        <f>H153+H154</f>
        <v>765000</v>
      </c>
    </row>
    <row r="153" spans="1:8" ht="94.5" outlineLevel="7">
      <c r="A153" s="76" t="s">
        <v>708</v>
      </c>
      <c r="B153" s="77" t="s">
        <v>721</v>
      </c>
      <c r="C153" s="77" t="s">
        <v>2</v>
      </c>
      <c r="D153" s="77" t="s">
        <v>66</v>
      </c>
      <c r="E153" s="77" t="s">
        <v>112</v>
      </c>
      <c r="F153" s="77" t="s">
        <v>10</v>
      </c>
      <c r="G153" s="78">
        <v>698220.45</v>
      </c>
      <c r="H153" s="78">
        <f>G153</f>
        <v>698220.45</v>
      </c>
    </row>
    <row r="154" spans="1:8" ht="31.5" outlineLevel="7">
      <c r="A154" s="76" t="s">
        <v>693</v>
      </c>
      <c r="B154" s="77" t="s">
        <v>721</v>
      </c>
      <c r="C154" s="77" t="s">
        <v>2</v>
      </c>
      <c r="D154" s="77" t="s">
        <v>66</v>
      </c>
      <c r="E154" s="77" t="s">
        <v>112</v>
      </c>
      <c r="F154" s="77" t="s">
        <v>17</v>
      </c>
      <c r="G154" s="78">
        <v>66779.55</v>
      </c>
      <c r="H154" s="78">
        <f>G154</f>
        <v>66779.55</v>
      </c>
    </row>
    <row r="155" spans="1:9" s="75" customFormat="1" ht="31.5" outlineLevel="4">
      <c r="A155" s="72" t="s">
        <v>626</v>
      </c>
      <c r="B155" s="73" t="s">
        <v>721</v>
      </c>
      <c r="C155" s="73" t="s">
        <v>2</v>
      </c>
      <c r="D155" s="73" t="s">
        <v>66</v>
      </c>
      <c r="E155" s="73" t="s">
        <v>115</v>
      </c>
      <c r="F155" s="73" t="s">
        <v>1</v>
      </c>
      <c r="G155" s="74">
        <f>G156</f>
        <v>8050035.49</v>
      </c>
      <c r="H155" s="78"/>
      <c r="I155" s="206"/>
    </row>
    <row r="156" spans="1:8" ht="31.5" outlineLevel="5">
      <c r="A156" s="76" t="s">
        <v>1079</v>
      </c>
      <c r="B156" s="77" t="s">
        <v>721</v>
      </c>
      <c r="C156" s="77" t="s">
        <v>2</v>
      </c>
      <c r="D156" s="77" t="s">
        <v>66</v>
      </c>
      <c r="E156" s="77" t="s">
        <v>116</v>
      </c>
      <c r="F156" s="77" t="s">
        <v>1</v>
      </c>
      <c r="G156" s="78">
        <f>G157+G160</f>
        <v>8050035.49</v>
      </c>
      <c r="H156" s="78"/>
    </row>
    <row r="157" spans="1:8" ht="78.75" outlineLevel="6">
      <c r="A157" s="76" t="s">
        <v>443</v>
      </c>
      <c r="B157" s="77" t="s">
        <v>721</v>
      </c>
      <c r="C157" s="77" t="s">
        <v>2</v>
      </c>
      <c r="D157" s="77" t="s">
        <v>66</v>
      </c>
      <c r="E157" s="77" t="s">
        <v>117</v>
      </c>
      <c r="F157" s="77" t="s">
        <v>1</v>
      </c>
      <c r="G157" s="78">
        <f>G158+G159</f>
        <v>7907648.49</v>
      </c>
      <c r="H157" s="78"/>
    </row>
    <row r="158" spans="1:8" ht="94.5" outlineLevel="7">
      <c r="A158" s="76" t="s">
        <v>708</v>
      </c>
      <c r="B158" s="77" t="s">
        <v>721</v>
      </c>
      <c r="C158" s="77" t="s">
        <v>2</v>
      </c>
      <c r="D158" s="77" t="s">
        <v>66</v>
      </c>
      <c r="E158" s="77" t="s">
        <v>117</v>
      </c>
      <c r="F158" s="77" t="s">
        <v>10</v>
      </c>
      <c r="G158" s="78">
        <v>6312377.99</v>
      </c>
      <c r="H158" s="78"/>
    </row>
    <row r="159" spans="1:8" ht="31.5" outlineLevel="7">
      <c r="A159" s="76" t="s">
        <v>693</v>
      </c>
      <c r="B159" s="77" t="s">
        <v>721</v>
      </c>
      <c r="C159" s="77" t="s">
        <v>2</v>
      </c>
      <c r="D159" s="77" t="s">
        <v>66</v>
      </c>
      <c r="E159" s="77" t="s">
        <v>117</v>
      </c>
      <c r="F159" s="77" t="s">
        <v>17</v>
      </c>
      <c r="G159" s="78">
        <v>1595270.5</v>
      </c>
      <c r="H159" s="78"/>
    </row>
    <row r="160" spans="1:8" ht="78.75" outlineLevel="6">
      <c r="A160" s="76" t="s">
        <v>432</v>
      </c>
      <c r="B160" s="77" t="s">
        <v>721</v>
      </c>
      <c r="C160" s="77" t="s">
        <v>2</v>
      </c>
      <c r="D160" s="77" t="s">
        <v>66</v>
      </c>
      <c r="E160" s="77" t="s">
        <v>118</v>
      </c>
      <c r="F160" s="77" t="s">
        <v>1</v>
      </c>
      <c r="G160" s="78">
        <f>G161</f>
        <v>142387</v>
      </c>
      <c r="H160" s="78"/>
    </row>
    <row r="161" spans="1:8" ht="94.5" outlineLevel="7">
      <c r="A161" s="76" t="s">
        <v>708</v>
      </c>
      <c r="B161" s="77" t="s">
        <v>721</v>
      </c>
      <c r="C161" s="77" t="s">
        <v>2</v>
      </c>
      <c r="D161" s="77" t="s">
        <v>66</v>
      </c>
      <c r="E161" s="77" t="s">
        <v>118</v>
      </c>
      <c r="F161" s="77" t="s">
        <v>10</v>
      </c>
      <c r="G161" s="78">
        <v>142387</v>
      </c>
      <c r="H161" s="78"/>
    </row>
    <row r="162" spans="1:9" s="75" customFormat="1" ht="47.25" outlineLevel="4">
      <c r="A162" s="72" t="s">
        <v>628</v>
      </c>
      <c r="B162" s="73" t="s">
        <v>721</v>
      </c>
      <c r="C162" s="73" t="s">
        <v>2</v>
      </c>
      <c r="D162" s="73" t="s">
        <v>66</v>
      </c>
      <c r="E162" s="73" t="s">
        <v>131</v>
      </c>
      <c r="F162" s="73" t="s">
        <v>1</v>
      </c>
      <c r="G162" s="74">
        <f>G163+G170+G177</f>
        <v>33108455.31</v>
      </c>
      <c r="H162" s="74"/>
      <c r="I162" s="206"/>
    </row>
    <row r="163" spans="1:8" ht="31.5" outlineLevel="5">
      <c r="A163" s="76" t="s">
        <v>1080</v>
      </c>
      <c r="B163" s="77" t="s">
        <v>721</v>
      </c>
      <c r="C163" s="77" t="s">
        <v>2</v>
      </c>
      <c r="D163" s="77" t="s">
        <v>66</v>
      </c>
      <c r="E163" s="77" t="s">
        <v>132</v>
      </c>
      <c r="F163" s="77" t="s">
        <v>1</v>
      </c>
      <c r="G163" s="78">
        <f>G164+G168</f>
        <v>9813848.05</v>
      </c>
      <c r="H163" s="78"/>
    </row>
    <row r="164" spans="1:8" ht="78.75" outlineLevel="6">
      <c r="A164" s="76" t="s">
        <v>443</v>
      </c>
      <c r="B164" s="77" t="s">
        <v>721</v>
      </c>
      <c r="C164" s="77" t="s">
        <v>2</v>
      </c>
      <c r="D164" s="77" t="s">
        <v>66</v>
      </c>
      <c r="E164" s="77" t="s">
        <v>133</v>
      </c>
      <c r="F164" s="77" t="s">
        <v>1</v>
      </c>
      <c r="G164" s="78">
        <f>G165+G166+G167</f>
        <v>9692926.73</v>
      </c>
      <c r="H164" s="78"/>
    </row>
    <row r="165" spans="1:8" ht="94.5" outlineLevel="7">
      <c r="A165" s="76" t="s">
        <v>708</v>
      </c>
      <c r="B165" s="77" t="s">
        <v>721</v>
      </c>
      <c r="C165" s="77" t="s">
        <v>2</v>
      </c>
      <c r="D165" s="77" t="s">
        <v>66</v>
      </c>
      <c r="E165" s="77" t="s">
        <v>133</v>
      </c>
      <c r="F165" s="77" t="s">
        <v>10</v>
      </c>
      <c r="G165" s="78">
        <v>7012313.76</v>
      </c>
      <c r="H165" s="78"/>
    </row>
    <row r="166" spans="1:8" ht="31.5" outlineLevel="7">
      <c r="A166" s="76" t="s">
        <v>693</v>
      </c>
      <c r="B166" s="77" t="s">
        <v>721</v>
      </c>
      <c r="C166" s="77" t="s">
        <v>2</v>
      </c>
      <c r="D166" s="77" t="s">
        <v>66</v>
      </c>
      <c r="E166" s="77" t="s">
        <v>133</v>
      </c>
      <c r="F166" s="77" t="s">
        <v>17</v>
      </c>
      <c r="G166" s="78">
        <f>2636908.64-94.67</f>
        <v>2636813.97</v>
      </c>
      <c r="H166" s="78"/>
    </row>
    <row r="167" spans="1:8" ht="15.75" outlineLevel="7">
      <c r="A167" s="76" t="s">
        <v>695</v>
      </c>
      <c r="B167" s="77" t="s">
        <v>721</v>
      </c>
      <c r="C167" s="77" t="s">
        <v>2</v>
      </c>
      <c r="D167" s="77" t="s">
        <v>66</v>
      </c>
      <c r="E167" s="77" t="s">
        <v>133</v>
      </c>
      <c r="F167" s="77" t="s">
        <v>65</v>
      </c>
      <c r="G167" s="78">
        <v>43799</v>
      </c>
      <c r="H167" s="78"/>
    </row>
    <row r="168" spans="1:8" ht="78.75" outlineLevel="6">
      <c r="A168" s="76" t="s">
        <v>432</v>
      </c>
      <c r="B168" s="77" t="s">
        <v>721</v>
      </c>
      <c r="C168" s="77" t="s">
        <v>2</v>
      </c>
      <c r="D168" s="77" t="s">
        <v>66</v>
      </c>
      <c r="E168" s="77" t="s">
        <v>134</v>
      </c>
      <c r="F168" s="77" t="s">
        <v>1</v>
      </c>
      <c r="G168" s="78">
        <f>G169</f>
        <v>120921.32</v>
      </c>
      <c r="H168" s="78"/>
    </row>
    <row r="169" spans="1:8" ht="94.5" outlineLevel="7">
      <c r="A169" s="76" t="s">
        <v>708</v>
      </c>
      <c r="B169" s="77" t="s">
        <v>721</v>
      </c>
      <c r="C169" s="77" t="s">
        <v>2</v>
      </c>
      <c r="D169" s="77" t="s">
        <v>66</v>
      </c>
      <c r="E169" s="77" t="s">
        <v>134</v>
      </c>
      <c r="F169" s="77" t="s">
        <v>10</v>
      </c>
      <c r="G169" s="78">
        <f>82500+38421.32</f>
        <v>120921.32</v>
      </c>
      <c r="H169" s="78"/>
    </row>
    <row r="170" spans="1:8" ht="60" customHeight="1" outlineLevel="5">
      <c r="A170" s="76" t="s">
        <v>1081</v>
      </c>
      <c r="B170" s="77" t="s">
        <v>721</v>
      </c>
      <c r="C170" s="77" t="s">
        <v>2</v>
      </c>
      <c r="D170" s="77" t="s">
        <v>66</v>
      </c>
      <c r="E170" s="77" t="s">
        <v>135</v>
      </c>
      <c r="F170" s="77" t="s">
        <v>1</v>
      </c>
      <c r="G170" s="78">
        <f>G171+G175</f>
        <v>20595358.24</v>
      </c>
      <c r="H170" s="78"/>
    </row>
    <row r="171" spans="1:8" ht="78.75" outlineLevel="6">
      <c r="A171" s="76" t="s">
        <v>443</v>
      </c>
      <c r="B171" s="77" t="s">
        <v>721</v>
      </c>
      <c r="C171" s="77" t="s">
        <v>2</v>
      </c>
      <c r="D171" s="77" t="s">
        <v>66</v>
      </c>
      <c r="E171" s="77" t="s">
        <v>136</v>
      </c>
      <c r="F171" s="77" t="s">
        <v>1</v>
      </c>
      <c r="G171" s="78">
        <f>G172+G173+G174</f>
        <v>20315768.18</v>
      </c>
      <c r="H171" s="78"/>
    </row>
    <row r="172" spans="1:8" ht="94.5" outlineLevel="7">
      <c r="A172" s="76" t="s">
        <v>708</v>
      </c>
      <c r="B172" s="77" t="s">
        <v>721</v>
      </c>
      <c r="C172" s="77" t="s">
        <v>2</v>
      </c>
      <c r="D172" s="77" t="s">
        <v>66</v>
      </c>
      <c r="E172" s="77" t="s">
        <v>136</v>
      </c>
      <c r="F172" s="77" t="s">
        <v>10</v>
      </c>
      <c r="G172" s="78">
        <f>11601322.55+6025</f>
        <v>11607347.55</v>
      </c>
      <c r="H172" s="78"/>
    </row>
    <row r="173" spans="1:8" ht="31.5" outlineLevel="7">
      <c r="A173" s="76" t="s">
        <v>693</v>
      </c>
      <c r="B173" s="77" t="s">
        <v>721</v>
      </c>
      <c r="C173" s="77" t="s">
        <v>2</v>
      </c>
      <c r="D173" s="77" t="s">
        <v>66</v>
      </c>
      <c r="E173" s="77" t="s">
        <v>136</v>
      </c>
      <c r="F173" s="77" t="s">
        <v>17</v>
      </c>
      <c r="G173" s="78">
        <f>8706362.96-6290-211400+191094.67</f>
        <v>8679767.63</v>
      </c>
      <c r="H173" s="78"/>
    </row>
    <row r="174" spans="1:8" ht="15.75" outlineLevel="7">
      <c r="A174" s="76" t="s">
        <v>695</v>
      </c>
      <c r="B174" s="77" t="s">
        <v>721</v>
      </c>
      <c r="C174" s="77" t="s">
        <v>2</v>
      </c>
      <c r="D174" s="77" t="s">
        <v>66</v>
      </c>
      <c r="E174" s="77" t="s">
        <v>136</v>
      </c>
      <c r="F174" s="77" t="s">
        <v>65</v>
      </c>
      <c r="G174" s="78">
        <f>28388-5423+800+4888</f>
        <v>28653</v>
      </c>
      <c r="H174" s="78"/>
    </row>
    <row r="175" spans="1:8" ht="78.75" outlineLevel="6">
      <c r="A175" s="76" t="s">
        <v>432</v>
      </c>
      <c r="B175" s="77" t="s">
        <v>721</v>
      </c>
      <c r="C175" s="77" t="s">
        <v>2</v>
      </c>
      <c r="D175" s="77" t="s">
        <v>66</v>
      </c>
      <c r="E175" s="77" t="s">
        <v>137</v>
      </c>
      <c r="F175" s="77" t="s">
        <v>1</v>
      </c>
      <c r="G175" s="78">
        <f>G176</f>
        <v>279590.06</v>
      </c>
      <c r="H175" s="78"/>
    </row>
    <row r="176" spans="1:8" ht="94.5" outlineLevel="7">
      <c r="A176" s="76" t="s">
        <v>708</v>
      </c>
      <c r="B176" s="77" t="s">
        <v>721</v>
      </c>
      <c r="C176" s="77" t="s">
        <v>2</v>
      </c>
      <c r="D176" s="77" t="s">
        <v>66</v>
      </c>
      <c r="E176" s="77" t="s">
        <v>137</v>
      </c>
      <c r="F176" s="77" t="s">
        <v>10</v>
      </c>
      <c r="G176" s="78">
        <f>167500+112090.06</f>
        <v>279590.06</v>
      </c>
      <c r="H176" s="78"/>
    </row>
    <row r="177" spans="1:8" ht="31.5" outlineLevel="5">
      <c r="A177" s="76" t="s">
        <v>1067</v>
      </c>
      <c r="B177" s="77" t="s">
        <v>721</v>
      </c>
      <c r="C177" s="77" t="s">
        <v>2</v>
      </c>
      <c r="D177" s="77" t="s">
        <v>66</v>
      </c>
      <c r="E177" s="77" t="s">
        <v>138</v>
      </c>
      <c r="F177" s="77" t="s">
        <v>1</v>
      </c>
      <c r="G177" s="78">
        <f>G178+G183+G181</f>
        <v>2699249.0199999996</v>
      </c>
      <c r="H177" s="78"/>
    </row>
    <row r="178" spans="1:8" ht="78.75" outlineLevel="6">
      <c r="A178" s="76" t="s">
        <v>443</v>
      </c>
      <c r="B178" s="77" t="s">
        <v>721</v>
      </c>
      <c r="C178" s="77" t="s">
        <v>2</v>
      </c>
      <c r="D178" s="77" t="s">
        <v>66</v>
      </c>
      <c r="E178" s="77" t="s">
        <v>139</v>
      </c>
      <c r="F178" s="77" t="s">
        <v>1</v>
      </c>
      <c r="G178" s="78">
        <f>G179+G180</f>
        <v>2262456.57</v>
      </c>
      <c r="H178" s="78"/>
    </row>
    <row r="179" spans="1:8" ht="94.5" outlineLevel="7">
      <c r="A179" s="76" t="s">
        <v>708</v>
      </c>
      <c r="B179" s="77" t="s">
        <v>721</v>
      </c>
      <c r="C179" s="77" t="s">
        <v>2</v>
      </c>
      <c r="D179" s="77" t="s">
        <v>66</v>
      </c>
      <c r="E179" s="77" t="s">
        <v>139</v>
      </c>
      <c r="F179" s="77" t="s">
        <v>10</v>
      </c>
      <c r="G179" s="78">
        <v>1466478</v>
      </c>
      <c r="H179" s="78"/>
    </row>
    <row r="180" spans="1:8" ht="31.5" outlineLevel="7">
      <c r="A180" s="148" t="s">
        <v>693</v>
      </c>
      <c r="B180" s="149" t="s">
        <v>721</v>
      </c>
      <c r="C180" s="149" t="s">
        <v>2</v>
      </c>
      <c r="D180" s="149" t="s">
        <v>66</v>
      </c>
      <c r="E180" s="149" t="s">
        <v>139</v>
      </c>
      <c r="F180" s="149" t="s">
        <v>17</v>
      </c>
      <c r="G180" s="150">
        <f>848530-13913.91+3829.82-53750+11282.66</f>
        <v>795978.57</v>
      </c>
      <c r="H180" s="150"/>
    </row>
    <row r="181" spans="1:8" ht="78.75" outlineLevel="7">
      <c r="A181" s="148" t="s">
        <v>432</v>
      </c>
      <c r="B181" s="149" t="s">
        <v>721</v>
      </c>
      <c r="C181" s="149" t="s">
        <v>2</v>
      </c>
      <c r="D181" s="149" t="s">
        <v>66</v>
      </c>
      <c r="E181" s="149" t="s">
        <v>1290</v>
      </c>
      <c r="F181" s="149"/>
      <c r="G181" s="150">
        <f>G182</f>
        <v>45723.8</v>
      </c>
      <c r="H181" s="150"/>
    </row>
    <row r="182" spans="1:8" ht="94.5" outlineLevel="7">
      <c r="A182" s="76" t="s">
        <v>708</v>
      </c>
      <c r="B182" s="149" t="s">
        <v>721</v>
      </c>
      <c r="C182" s="149" t="s">
        <v>2</v>
      </c>
      <c r="D182" s="149" t="s">
        <v>66</v>
      </c>
      <c r="E182" s="149" t="s">
        <v>1290</v>
      </c>
      <c r="F182" s="149" t="s">
        <v>10</v>
      </c>
      <c r="G182" s="150">
        <f>45723.8</f>
        <v>45723.8</v>
      </c>
      <c r="H182" s="150"/>
    </row>
    <row r="183" spans="1:8" ht="31.5" outlineLevel="6">
      <c r="A183" s="148" t="s">
        <v>441</v>
      </c>
      <c r="B183" s="149" t="s">
        <v>721</v>
      </c>
      <c r="C183" s="149" t="s">
        <v>2</v>
      </c>
      <c r="D183" s="149" t="s">
        <v>66</v>
      </c>
      <c r="E183" s="149" t="s">
        <v>140</v>
      </c>
      <c r="F183" s="149" t="s">
        <v>1</v>
      </c>
      <c r="G183" s="150">
        <f>G184</f>
        <v>391068.65</v>
      </c>
      <c r="H183" s="150"/>
    </row>
    <row r="184" spans="1:8" ht="31.5" outlineLevel="7">
      <c r="A184" s="148" t="s">
        <v>693</v>
      </c>
      <c r="B184" s="149" t="s">
        <v>721</v>
      </c>
      <c r="C184" s="149" t="s">
        <v>2</v>
      </c>
      <c r="D184" s="149" t="s">
        <v>66</v>
      </c>
      <c r="E184" s="149" t="s">
        <v>140</v>
      </c>
      <c r="F184" s="149" t="s">
        <v>17</v>
      </c>
      <c r="G184" s="150">
        <v>391068.65</v>
      </c>
      <c r="H184" s="150"/>
    </row>
    <row r="185" spans="1:9" s="75" customFormat="1" ht="15.75" outlineLevel="3">
      <c r="A185" s="217" t="s">
        <v>490</v>
      </c>
      <c r="B185" s="218" t="s">
        <v>721</v>
      </c>
      <c r="C185" s="218" t="s">
        <v>2</v>
      </c>
      <c r="D185" s="218" t="s">
        <v>66</v>
      </c>
      <c r="E185" s="218" t="s">
        <v>11</v>
      </c>
      <c r="F185" s="218" t="s">
        <v>1</v>
      </c>
      <c r="G185" s="219">
        <f>G186+G189</f>
        <v>688758.33</v>
      </c>
      <c r="H185" s="219"/>
      <c r="I185" s="206"/>
    </row>
    <row r="186" spans="1:8" ht="31.5" outlineLevel="6">
      <c r="A186" s="148" t="s">
        <v>447</v>
      </c>
      <c r="B186" s="149" t="s">
        <v>721</v>
      </c>
      <c r="C186" s="149" t="s">
        <v>2</v>
      </c>
      <c r="D186" s="149" t="s">
        <v>66</v>
      </c>
      <c r="E186" s="149" t="s">
        <v>141</v>
      </c>
      <c r="F186" s="149" t="s">
        <v>1</v>
      </c>
      <c r="G186" s="150">
        <f>G187+G188</f>
        <v>645754.4199999999</v>
      </c>
      <c r="H186" s="150"/>
    </row>
    <row r="187" spans="1:8" ht="31.5" outlineLevel="7">
      <c r="A187" s="148" t="s">
        <v>693</v>
      </c>
      <c r="B187" s="149" t="s">
        <v>721</v>
      </c>
      <c r="C187" s="149" t="s">
        <v>2</v>
      </c>
      <c r="D187" s="149" t="s">
        <v>66</v>
      </c>
      <c r="E187" s="149" t="s">
        <v>141</v>
      </c>
      <c r="F187" s="149" t="s">
        <v>17</v>
      </c>
      <c r="G187" s="150">
        <f>249000-51150</f>
        <v>197850</v>
      </c>
      <c r="H187" s="150"/>
    </row>
    <row r="188" spans="1:8" ht="15.75" outlineLevel="7">
      <c r="A188" s="148" t="s">
        <v>695</v>
      </c>
      <c r="B188" s="149" t="s">
        <v>721</v>
      </c>
      <c r="C188" s="149" t="s">
        <v>2</v>
      </c>
      <c r="D188" s="149" t="s">
        <v>66</v>
      </c>
      <c r="E188" s="149" t="s">
        <v>141</v>
      </c>
      <c r="F188" s="149" t="s">
        <v>65</v>
      </c>
      <c r="G188" s="150">
        <f>487764.42-39860</f>
        <v>447904.42</v>
      </c>
      <c r="H188" s="150"/>
    </row>
    <row r="189" spans="1:8" ht="31.5" outlineLevel="7">
      <c r="A189" s="145" t="s">
        <v>1222</v>
      </c>
      <c r="B189" s="146" t="s">
        <v>721</v>
      </c>
      <c r="C189" s="146" t="s">
        <v>2</v>
      </c>
      <c r="D189" s="146" t="s">
        <v>66</v>
      </c>
      <c r="E189" s="146" t="s">
        <v>142</v>
      </c>
      <c r="F189" s="146" t="s">
        <v>1</v>
      </c>
      <c r="G189" s="219">
        <f>G190+G192+G191</f>
        <v>43003.91</v>
      </c>
      <c r="H189" s="150"/>
    </row>
    <row r="190" spans="1:8" ht="94.5" outlineLevel="7">
      <c r="A190" s="148" t="s">
        <v>708</v>
      </c>
      <c r="B190" s="135" t="s">
        <v>721</v>
      </c>
      <c r="C190" s="135" t="s">
        <v>2</v>
      </c>
      <c r="D190" s="135" t="s">
        <v>66</v>
      </c>
      <c r="E190" s="135" t="s">
        <v>142</v>
      </c>
      <c r="F190" s="136">
        <v>100</v>
      </c>
      <c r="G190" s="226">
        <f>13913.91-1082.11</f>
        <v>12831.8</v>
      </c>
      <c r="H190" s="150"/>
    </row>
    <row r="191" spans="1:8" ht="47.25" outlineLevel="7">
      <c r="A191" s="148" t="s">
        <v>1301</v>
      </c>
      <c r="B191" s="265" t="s">
        <v>721</v>
      </c>
      <c r="C191" s="139" t="s">
        <v>2</v>
      </c>
      <c r="D191" s="139" t="s">
        <v>66</v>
      </c>
      <c r="E191" s="135" t="s">
        <v>142</v>
      </c>
      <c r="F191" s="266">
        <v>300</v>
      </c>
      <c r="G191" s="226">
        <f>29090</f>
        <v>29090</v>
      </c>
      <c r="H191" s="150"/>
    </row>
    <row r="192" spans="1:8" ht="15.75" outlineLevel="7">
      <c r="A192" s="148" t="s">
        <v>695</v>
      </c>
      <c r="B192" s="149" t="s">
        <v>721</v>
      </c>
      <c r="C192" s="149" t="s">
        <v>2</v>
      </c>
      <c r="D192" s="149" t="s">
        <v>66</v>
      </c>
      <c r="E192" s="135" t="s">
        <v>142</v>
      </c>
      <c r="F192" s="149" t="s">
        <v>65</v>
      </c>
      <c r="G192" s="226">
        <f>1082.11</f>
        <v>1082.11</v>
      </c>
      <c r="H192" s="150"/>
    </row>
    <row r="193" spans="1:9" s="75" customFormat="1" ht="47.25" outlineLevel="1">
      <c r="A193" s="72" t="s">
        <v>697</v>
      </c>
      <c r="B193" s="73" t="s">
        <v>721</v>
      </c>
      <c r="C193" s="73" t="s">
        <v>14</v>
      </c>
      <c r="D193" s="73" t="s">
        <v>3</v>
      </c>
      <c r="E193" s="73" t="s">
        <v>4</v>
      </c>
      <c r="F193" s="73" t="s">
        <v>1</v>
      </c>
      <c r="G193" s="74">
        <f>G194+G201</f>
        <v>44279428.73</v>
      </c>
      <c r="H193" s="74">
        <f>H194</f>
        <v>2669800</v>
      </c>
      <c r="I193" s="206"/>
    </row>
    <row r="194" spans="1:9" s="75" customFormat="1" ht="15.75" outlineLevel="2">
      <c r="A194" s="72" t="s">
        <v>669</v>
      </c>
      <c r="B194" s="73" t="s">
        <v>721</v>
      </c>
      <c r="C194" s="73" t="s">
        <v>14</v>
      </c>
      <c r="D194" s="73" t="s">
        <v>22</v>
      </c>
      <c r="E194" s="73" t="s">
        <v>4</v>
      </c>
      <c r="F194" s="73" t="s">
        <v>1</v>
      </c>
      <c r="G194" s="74">
        <f>G195</f>
        <v>2669800</v>
      </c>
      <c r="H194" s="74">
        <f>H195</f>
        <v>2669800</v>
      </c>
      <c r="I194" s="206"/>
    </row>
    <row r="195" spans="1:9" s="75" customFormat="1" ht="63" outlineLevel="3">
      <c r="A195" s="72" t="s">
        <v>656</v>
      </c>
      <c r="B195" s="73" t="s">
        <v>721</v>
      </c>
      <c r="C195" s="73" t="s">
        <v>14</v>
      </c>
      <c r="D195" s="73" t="s">
        <v>22</v>
      </c>
      <c r="E195" s="73" t="s">
        <v>6</v>
      </c>
      <c r="F195" s="73" t="s">
        <v>1</v>
      </c>
      <c r="G195" s="74">
        <f>G196</f>
        <v>2669800</v>
      </c>
      <c r="H195" s="74">
        <f>H196</f>
        <v>2669800</v>
      </c>
      <c r="I195" s="206"/>
    </row>
    <row r="196" spans="1:9" s="75" customFormat="1" ht="31.5" outlineLevel="4">
      <c r="A196" s="72" t="s">
        <v>616</v>
      </c>
      <c r="B196" s="73" t="s">
        <v>721</v>
      </c>
      <c r="C196" s="73" t="s">
        <v>14</v>
      </c>
      <c r="D196" s="73" t="s">
        <v>22</v>
      </c>
      <c r="E196" s="73" t="s">
        <v>43</v>
      </c>
      <c r="F196" s="73" t="s">
        <v>1</v>
      </c>
      <c r="G196" s="74">
        <f>G197</f>
        <v>2669800</v>
      </c>
      <c r="H196" s="74">
        <f>H197</f>
        <v>2669800</v>
      </c>
      <c r="I196" s="206"/>
    </row>
    <row r="197" spans="1:8" ht="47.25" outlineLevel="5">
      <c r="A197" s="76" t="s">
        <v>1082</v>
      </c>
      <c r="B197" s="77" t="s">
        <v>721</v>
      </c>
      <c r="C197" s="77" t="s">
        <v>14</v>
      </c>
      <c r="D197" s="77" t="s">
        <v>22</v>
      </c>
      <c r="E197" s="77" t="s">
        <v>144</v>
      </c>
      <c r="F197" s="77" t="s">
        <v>1</v>
      </c>
      <c r="G197" s="78">
        <f>G198</f>
        <v>2669800</v>
      </c>
      <c r="H197" s="78">
        <f>H198</f>
        <v>2669800</v>
      </c>
    </row>
    <row r="198" spans="1:8" ht="126" outlineLevel="6">
      <c r="A198" s="76" t="s">
        <v>449</v>
      </c>
      <c r="B198" s="77" t="s">
        <v>721</v>
      </c>
      <c r="C198" s="77" t="s">
        <v>14</v>
      </c>
      <c r="D198" s="77" t="s">
        <v>22</v>
      </c>
      <c r="E198" s="77" t="s">
        <v>145</v>
      </c>
      <c r="F198" s="77" t="s">
        <v>1</v>
      </c>
      <c r="G198" s="78">
        <f>G199+G200</f>
        <v>2669800</v>
      </c>
      <c r="H198" s="78">
        <f>H199+H200</f>
        <v>2669800</v>
      </c>
    </row>
    <row r="199" spans="1:8" ht="94.5" outlineLevel="7">
      <c r="A199" s="76" t="s">
        <v>708</v>
      </c>
      <c r="B199" s="77" t="s">
        <v>721</v>
      </c>
      <c r="C199" s="77" t="s">
        <v>14</v>
      </c>
      <c r="D199" s="77" t="s">
        <v>22</v>
      </c>
      <c r="E199" s="77" t="s">
        <v>145</v>
      </c>
      <c r="F199" s="77" t="s">
        <v>10</v>
      </c>
      <c r="G199" s="78">
        <v>1772478.95</v>
      </c>
      <c r="H199" s="78">
        <f>G199</f>
        <v>1772478.95</v>
      </c>
    </row>
    <row r="200" spans="1:8" ht="31.5" outlineLevel="7">
      <c r="A200" s="76" t="s">
        <v>693</v>
      </c>
      <c r="B200" s="77" t="s">
        <v>721</v>
      </c>
      <c r="C200" s="77" t="s">
        <v>14</v>
      </c>
      <c r="D200" s="77" t="s">
        <v>22</v>
      </c>
      <c r="E200" s="77" t="s">
        <v>145</v>
      </c>
      <c r="F200" s="77" t="s">
        <v>17</v>
      </c>
      <c r="G200" s="78">
        <f>358521.05+538800</f>
        <v>897321.05</v>
      </c>
      <c r="H200" s="78">
        <f>G200</f>
        <v>897321.05</v>
      </c>
    </row>
    <row r="201" spans="1:9" s="75" customFormat="1" ht="63" outlineLevel="2">
      <c r="A201" s="72" t="s">
        <v>670</v>
      </c>
      <c r="B201" s="73" t="s">
        <v>721</v>
      </c>
      <c r="C201" s="73" t="s">
        <v>14</v>
      </c>
      <c r="D201" s="73" t="s">
        <v>146</v>
      </c>
      <c r="E201" s="73" t="s">
        <v>4</v>
      </c>
      <c r="F201" s="73" t="s">
        <v>1</v>
      </c>
      <c r="G201" s="74">
        <f>G202+G227</f>
        <v>41609628.73</v>
      </c>
      <c r="H201" s="74"/>
      <c r="I201" s="206"/>
    </row>
    <row r="202" spans="1:9" s="75" customFormat="1" ht="47.25" outlineLevel="3">
      <c r="A202" s="72" t="s">
        <v>658</v>
      </c>
      <c r="B202" s="73" t="s">
        <v>721</v>
      </c>
      <c r="C202" s="73" t="s">
        <v>14</v>
      </c>
      <c r="D202" s="73" t="s">
        <v>146</v>
      </c>
      <c r="E202" s="73" t="s">
        <v>71</v>
      </c>
      <c r="F202" s="73" t="s">
        <v>1</v>
      </c>
      <c r="G202" s="74">
        <f>G203+G207</f>
        <v>41285381.68</v>
      </c>
      <c r="H202" s="74"/>
      <c r="I202" s="206"/>
    </row>
    <row r="203" spans="1:9" s="75" customFormat="1" ht="47.25" outlineLevel="4">
      <c r="A203" s="72" t="s">
        <v>620</v>
      </c>
      <c r="B203" s="73" t="s">
        <v>721</v>
      </c>
      <c r="C203" s="73" t="s">
        <v>14</v>
      </c>
      <c r="D203" s="73" t="s">
        <v>146</v>
      </c>
      <c r="E203" s="73" t="s">
        <v>72</v>
      </c>
      <c r="F203" s="73" t="s">
        <v>1</v>
      </c>
      <c r="G203" s="74">
        <f>G204</f>
        <v>71940</v>
      </c>
      <c r="H203" s="74"/>
      <c r="I203" s="206"/>
    </row>
    <row r="204" spans="1:8" ht="94.5" outlineLevel="5">
      <c r="A204" s="76" t="s">
        <v>1180</v>
      </c>
      <c r="B204" s="77" t="s">
        <v>721</v>
      </c>
      <c r="C204" s="77" t="s">
        <v>14</v>
      </c>
      <c r="D204" s="77" t="s">
        <v>146</v>
      </c>
      <c r="E204" s="77" t="s">
        <v>147</v>
      </c>
      <c r="F204" s="77" t="s">
        <v>1</v>
      </c>
      <c r="G204" s="78">
        <f>G205</f>
        <v>71940</v>
      </c>
      <c r="H204" s="78"/>
    </row>
    <row r="205" spans="1:8" ht="31.5" outlineLevel="6">
      <c r="A205" s="76" t="s">
        <v>441</v>
      </c>
      <c r="B205" s="77" t="s">
        <v>721</v>
      </c>
      <c r="C205" s="77" t="s">
        <v>14</v>
      </c>
      <c r="D205" s="77" t="s">
        <v>146</v>
      </c>
      <c r="E205" s="77" t="s">
        <v>148</v>
      </c>
      <c r="F205" s="77" t="s">
        <v>1</v>
      </c>
      <c r="G205" s="78">
        <f>G206</f>
        <v>71940</v>
      </c>
      <c r="H205" s="78"/>
    </row>
    <row r="206" spans="1:8" ht="31.5" outlineLevel="7">
      <c r="A206" s="76" t="s">
        <v>693</v>
      </c>
      <c r="B206" s="77" t="s">
        <v>721</v>
      </c>
      <c r="C206" s="77" t="s">
        <v>14</v>
      </c>
      <c r="D206" s="77" t="s">
        <v>146</v>
      </c>
      <c r="E206" s="77" t="s">
        <v>148</v>
      </c>
      <c r="F206" s="77" t="s">
        <v>17</v>
      </c>
      <c r="G206" s="78">
        <v>71940</v>
      </c>
      <c r="H206" s="78"/>
    </row>
    <row r="207" spans="1:9" s="75" customFormat="1" ht="63" outlineLevel="4">
      <c r="A207" s="72" t="s">
        <v>629</v>
      </c>
      <c r="B207" s="73" t="s">
        <v>721</v>
      </c>
      <c r="C207" s="73" t="s">
        <v>14</v>
      </c>
      <c r="D207" s="73" t="s">
        <v>146</v>
      </c>
      <c r="E207" s="73" t="s">
        <v>149</v>
      </c>
      <c r="F207" s="73" t="s">
        <v>1</v>
      </c>
      <c r="G207" s="74">
        <f>G208+G211+G218+G221+G224</f>
        <v>41213441.68</v>
      </c>
      <c r="H207" s="74"/>
      <c r="I207" s="206"/>
    </row>
    <row r="208" spans="1:8" ht="47.25" outlineLevel="5">
      <c r="A208" s="76" t="s">
        <v>1083</v>
      </c>
      <c r="B208" s="77" t="s">
        <v>721</v>
      </c>
      <c r="C208" s="77" t="s">
        <v>14</v>
      </c>
      <c r="D208" s="77" t="s">
        <v>146</v>
      </c>
      <c r="E208" s="77" t="s">
        <v>150</v>
      </c>
      <c r="F208" s="77" t="s">
        <v>1</v>
      </c>
      <c r="G208" s="78">
        <f>G209</f>
        <v>201386</v>
      </c>
      <c r="H208" s="78"/>
    </row>
    <row r="209" spans="1:8" ht="31.5" outlineLevel="6">
      <c r="A209" s="76" t="s">
        <v>441</v>
      </c>
      <c r="B209" s="77" t="s">
        <v>721</v>
      </c>
      <c r="C209" s="77" t="s">
        <v>14</v>
      </c>
      <c r="D209" s="77" t="s">
        <v>146</v>
      </c>
      <c r="E209" s="77" t="s">
        <v>151</v>
      </c>
      <c r="F209" s="77" t="s">
        <v>1</v>
      </c>
      <c r="G209" s="78">
        <f>G210</f>
        <v>201386</v>
      </c>
      <c r="H209" s="78"/>
    </row>
    <row r="210" spans="1:8" ht="31.5" outlineLevel="7">
      <c r="A210" s="76" t="s">
        <v>693</v>
      </c>
      <c r="B210" s="77" t="s">
        <v>721</v>
      </c>
      <c r="C210" s="77" t="s">
        <v>14</v>
      </c>
      <c r="D210" s="77" t="s">
        <v>146</v>
      </c>
      <c r="E210" s="77" t="s">
        <v>151</v>
      </c>
      <c r="F210" s="77" t="s">
        <v>17</v>
      </c>
      <c r="G210" s="78">
        <f>190060.8+11325.2</f>
        <v>201386</v>
      </c>
      <c r="H210" s="78"/>
    </row>
    <row r="211" spans="1:8" ht="63" outlineLevel="5">
      <c r="A211" s="76" t="s">
        <v>1084</v>
      </c>
      <c r="B211" s="77" t="s">
        <v>721</v>
      </c>
      <c r="C211" s="77" t="s">
        <v>14</v>
      </c>
      <c r="D211" s="77" t="s">
        <v>146</v>
      </c>
      <c r="E211" s="77" t="s">
        <v>152</v>
      </c>
      <c r="F211" s="77" t="s">
        <v>1</v>
      </c>
      <c r="G211" s="78">
        <f>G212+G216</f>
        <v>36206399.13</v>
      </c>
      <c r="H211" s="78"/>
    </row>
    <row r="212" spans="1:8" ht="78.75" outlineLevel="6">
      <c r="A212" s="76" t="s">
        <v>443</v>
      </c>
      <c r="B212" s="77" t="s">
        <v>721</v>
      </c>
      <c r="C212" s="77" t="s">
        <v>14</v>
      </c>
      <c r="D212" s="77" t="s">
        <v>146</v>
      </c>
      <c r="E212" s="77" t="s">
        <v>153</v>
      </c>
      <c r="F212" s="77" t="s">
        <v>1</v>
      </c>
      <c r="G212" s="78">
        <f>G213+G214+G215</f>
        <v>35617889.13</v>
      </c>
      <c r="H212" s="78"/>
    </row>
    <row r="213" spans="1:8" ht="94.5" outlineLevel="7">
      <c r="A213" s="76" t="s">
        <v>708</v>
      </c>
      <c r="B213" s="77" t="s">
        <v>721</v>
      </c>
      <c r="C213" s="77" t="s">
        <v>14</v>
      </c>
      <c r="D213" s="77" t="s">
        <v>146</v>
      </c>
      <c r="E213" s="77" t="s">
        <v>153</v>
      </c>
      <c r="F213" s="77" t="s">
        <v>10</v>
      </c>
      <c r="G213" s="78">
        <v>30196601.62</v>
      </c>
      <c r="H213" s="78"/>
    </row>
    <row r="214" spans="1:8" ht="31.5" outlineLevel="7">
      <c r="A214" s="76" t="s">
        <v>693</v>
      </c>
      <c r="B214" s="77" t="s">
        <v>721</v>
      </c>
      <c r="C214" s="77" t="s">
        <v>14</v>
      </c>
      <c r="D214" s="77" t="s">
        <v>146</v>
      </c>
      <c r="E214" s="77" t="s">
        <v>153</v>
      </c>
      <c r="F214" s="77" t="s">
        <v>17</v>
      </c>
      <c r="G214" s="78">
        <f>5255187.63+19435.3-28187.59+10606.67</f>
        <v>5257042.01</v>
      </c>
      <c r="H214" s="78"/>
    </row>
    <row r="215" spans="1:8" ht="15.75" outlineLevel="7">
      <c r="A215" s="76" t="s">
        <v>695</v>
      </c>
      <c r="B215" s="77" t="s">
        <v>721</v>
      </c>
      <c r="C215" s="77" t="s">
        <v>14</v>
      </c>
      <c r="D215" s="77" t="s">
        <v>146</v>
      </c>
      <c r="E215" s="77" t="s">
        <v>153</v>
      </c>
      <c r="F215" s="77" t="s">
        <v>65</v>
      </c>
      <c r="G215" s="78">
        <v>164245.5</v>
      </c>
      <c r="H215" s="78"/>
    </row>
    <row r="216" spans="1:8" ht="78.75" outlineLevel="6">
      <c r="A216" s="76" t="s">
        <v>432</v>
      </c>
      <c r="B216" s="77" t="s">
        <v>721</v>
      </c>
      <c r="C216" s="77" t="s">
        <v>14</v>
      </c>
      <c r="D216" s="77" t="s">
        <v>146</v>
      </c>
      <c r="E216" s="77" t="s">
        <v>154</v>
      </c>
      <c r="F216" s="77" t="s">
        <v>1</v>
      </c>
      <c r="G216" s="78">
        <f>G217</f>
        <v>588510</v>
      </c>
      <c r="H216" s="78"/>
    </row>
    <row r="217" spans="1:8" ht="94.5" outlineLevel="7">
      <c r="A217" s="76" t="s">
        <v>708</v>
      </c>
      <c r="B217" s="77" t="s">
        <v>721</v>
      </c>
      <c r="C217" s="77" t="s">
        <v>14</v>
      </c>
      <c r="D217" s="77" t="s">
        <v>146</v>
      </c>
      <c r="E217" s="77" t="s">
        <v>154</v>
      </c>
      <c r="F217" s="77" t="s">
        <v>10</v>
      </c>
      <c r="G217" s="78">
        <v>588510</v>
      </c>
      <c r="H217" s="78"/>
    </row>
    <row r="218" spans="1:8" ht="15.75" outlineLevel="5">
      <c r="A218" s="76" t="s">
        <v>1085</v>
      </c>
      <c r="B218" s="77" t="s">
        <v>721</v>
      </c>
      <c r="C218" s="77" t="s">
        <v>14</v>
      </c>
      <c r="D218" s="77" t="s">
        <v>146</v>
      </c>
      <c r="E218" s="77" t="s">
        <v>155</v>
      </c>
      <c r="F218" s="77" t="s">
        <v>1</v>
      </c>
      <c r="G218" s="78">
        <f>G219</f>
        <v>1075656.55</v>
      </c>
      <c r="H218" s="78"/>
    </row>
    <row r="219" spans="1:8" ht="31.5" outlineLevel="6">
      <c r="A219" s="76" t="s">
        <v>441</v>
      </c>
      <c r="B219" s="77" t="s">
        <v>721</v>
      </c>
      <c r="C219" s="77" t="s">
        <v>14</v>
      </c>
      <c r="D219" s="77" t="s">
        <v>146</v>
      </c>
      <c r="E219" s="77" t="s">
        <v>156</v>
      </c>
      <c r="F219" s="77" t="s">
        <v>1</v>
      </c>
      <c r="G219" s="78">
        <f>G220</f>
        <v>1075656.55</v>
      </c>
      <c r="H219" s="78"/>
    </row>
    <row r="220" spans="1:8" ht="31.5" outlineLevel="7">
      <c r="A220" s="76" t="s">
        <v>693</v>
      </c>
      <c r="B220" s="77" t="s">
        <v>721</v>
      </c>
      <c r="C220" s="77" t="s">
        <v>14</v>
      </c>
      <c r="D220" s="77" t="s">
        <v>146</v>
      </c>
      <c r="E220" s="77" t="s">
        <v>156</v>
      </c>
      <c r="F220" s="77" t="s">
        <v>17</v>
      </c>
      <c r="G220" s="78">
        <f>1106417.05-30760.5</f>
        <v>1075656.55</v>
      </c>
      <c r="H220" s="78"/>
    </row>
    <row r="221" spans="1:8" ht="63" outlineLevel="5">
      <c r="A221" s="76" t="s">
        <v>1181</v>
      </c>
      <c r="B221" s="77" t="s">
        <v>721</v>
      </c>
      <c r="C221" s="77" t="s">
        <v>14</v>
      </c>
      <c r="D221" s="77" t="s">
        <v>146</v>
      </c>
      <c r="E221" s="77" t="s">
        <v>157</v>
      </c>
      <c r="F221" s="77" t="s">
        <v>1</v>
      </c>
      <c r="G221" s="78">
        <f>G222</f>
        <v>3000000</v>
      </c>
      <c r="H221" s="78"/>
    </row>
    <row r="222" spans="1:8" ht="31.5" outlineLevel="6">
      <c r="A222" s="76" t="s">
        <v>441</v>
      </c>
      <c r="B222" s="77" t="s">
        <v>721</v>
      </c>
      <c r="C222" s="77" t="s">
        <v>14</v>
      </c>
      <c r="D222" s="77" t="s">
        <v>146</v>
      </c>
      <c r="E222" s="77" t="s">
        <v>158</v>
      </c>
      <c r="F222" s="77" t="s">
        <v>1</v>
      </c>
      <c r="G222" s="78">
        <f>G223</f>
        <v>3000000</v>
      </c>
      <c r="H222" s="78"/>
    </row>
    <row r="223" spans="1:8" ht="31.5" outlineLevel="7">
      <c r="A223" s="76" t="s">
        <v>693</v>
      </c>
      <c r="B223" s="77" t="s">
        <v>721</v>
      </c>
      <c r="C223" s="77" t="s">
        <v>14</v>
      </c>
      <c r="D223" s="77" t="s">
        <v>146</v>
      </c>
      <c r="E223" s="77" t="s">
        <v>158</v>
      </c>
      <c r="F223" s="77" t="s">
        <v>17</v>
      </c>
      <c r="G223" s="78">
        <v>3000000</v>
      </c>
      <c r="H223" s="78"/>
    </row>
    <row r="224" spans="1:8" ht="47.25" outlineLevel="7">
      <c r="A224" s="76" t="s">
        <v>1259</v>
      </c>
      <c r="B224" s="77" t="s">
        <v>721</v>
      </c>
      <c r="C224" s="77" t="s">
        <v>14</v>
      </c>
      <c r="D224" s="77" t="s">
        <v>146</v>
      </c>
      <c r="E224" s="77" t="s">
        <v>1260</v>
      </c>
      <c r="F224" s="77" t="s">
        <v>1</v>
      </c>
      <c r="G224" s="78">
        <f>G225</f>
        <v>730000</v>
      </c>
      <c r="H224" s="78"/>
    </row>
    <row r="225" spans="1:8" ht="31.5" outlineLevel="7">
      <c r="A225" s="76" t="s">
        <v>441</v>
      </c>
      <c r="B225" s="77" t="s">
        <v>721</v>
      </c>
      <c r="C225" s="77" t="s">
        <v>14</v>
      </c>
      <c r="D225" s="77" t="s">
        <v>146</v>
      </c>
      <c r="E225" s="77" t="s">
        <v>1261</v>
      </c>
      <c r="F225" s="77" t="s">
        <v>1</v>
      </c>
      <c r="G225" s="78">
        <f>G226</f>
        <v>730000</v>
      </c>
      <c r="H225" s="78"/>
    </row>
    <row r="226" spans="1:8" ht="31.5" outlineLevel="7">
      <c r="A226" s="76" t="s">
        <v>693</v>
      </c>
      <c r="B226" s="77" t="s">
        <v>721</v>
      </c>
      <c r="C226" s="77" t="s">
        <v>14</v>
      </c>
      <c r="D226" s="77" t="s">
        <v>146</v>
      </c>
      <c r="E226" s="77" t="s">
        <v>1261</v>
      </c>
      <c r="F226" s="77" t="s">
        <v>17</v>
      </c>
      <c r="G226" s="78">
        <f>730000</f>
        <v>730000</v>
      </c>
      <c r="H226" s="78"/>
    </row>
    <row r="227" spans="1:9" s="75" customFormat="1" ht="47.25" outlineLevel="3">
      <c r="A227" s="72" t="s">
        <v>659</v>
      </c>
      <c r="B227" s="73" t="s">
        <v>721</v>
      </c>
      <c r="C227" s="73" t="s">
        <v>14</v>
      </c>
      <c r="D227" s="73" t="s">
        <v>146</v>
      </c>
      <c r="E227" s="73" t="s">
        <v>90</v>
      </c>
      <c r="F227" s="73" t="s">
        <v>1</v>
      </c>
      <c r="G227" s="74">
        <f>G228</f>
        <v>324247.05</v>
      </c>
      <c r="H227" s="74"/>
      <c r="I227" s="206"/>
    </row>
    <row r="228" spans="1:9" s="75" customFormat="1" ht="47.25" outlineLevel="4">
      <c r="A228" s="72" t="s">
        <v>624</v>
      </c>
      <c r="B228" s="73" t="s">
        <v>721</v>
      </c>
      <c r="C228" s="73" t="s">
        <v>14</v>
      </c>
      <c r="D228" s="73" t="s">
        <v>146</v>
      </c>
      <c r="E228" s="73" t="s">
        <v>91</v>
      </c>
      <c r="F228" s="73" t="s">
        <v>1</v>
      </c>
      <c r="G228" s="74">
        <f>G229</f>
        <v>324247.05</v>
      </c>
      <c r="H228" s="74"/>
      <c r="I228" s="206"/>
    </row>
    <row r="229" spans="1:8" ht="31.5" outlineLevel="5">
      <c r="A229" s="76" t="s">
        <v>1074</v>
      </c>
      <c r="B229" s="77" t="s">
        <v>721</v>
      </c>
      <c r="C229" s="77" t="s">
        <v>14</v>
      </c>
      <c r="D229" s="77" t="s">
        <v>146</v>
      </c>
      <c r="E229" s="77" t="s">
        <v>100</v>
      </c>
      <c r="F229" s="77" t="s">
        <v>1</v>
      </c>
      <c r="G229" s="78">
        <f>G230</f>
        <v>324247.05</v>
      </c>
      <c r="H229" s="78"/>
    </row>
    <row r="230" spans="1:8" ht="31.5" outlineLevel="6">
      <c r="A230" s="76" t="s">
        <v>441</v>
      </c>
      <c r="B230" s="77" t="s">
        <v>721</v>
      </c>
      <c r="C230" s="77" t="s">
        <v>14</v>
      </c>
      <c r="D230" s="77" t="s">
        <v>146</v>
      </c>
      <c r="E230" s="77" t="s">
        <v>101</v>
      </c>
      <c r="F230" s="77" t="s">
        <v>1</v>
      </c>
      <c r="G230" s="78">
        <f>G231</f>
        <v>324247.05</v>
      </c>
      <c r="H230" s="78"/>
    </row>
    <row r="231" spans="1:8" ht="31.5" outlineLevel="7">
      <c r="A231" s="76" t="s">
        <v>693</v>
      </c>
      <c r="B231" s="77" t="s">
        <v>721</v>
      </c>
      <c r="C231" s="77" t="s">
        <v>14</v>
      </c>
      <c r="D231" s="77" t="s">
        <v>146</v>
      </c>
      <c r="E231" s="77" t="s">
        <v>101</v>
      </c>
      <c r="F231" s="77" t="s">
        <v>17</v>
      </c>
      <c r="G231" s="78">
        <f>334853.72-10606.67</f>
        <v>324247.05</v>
      </c>
      <c r="H231" s="78"/>
    </row>
    <row r="232" spans="1:9" s="75" customFormat="1" ht="15.75" outlineLevel="1">
      <c r="A232" s="72" t="s">
        <v>698</v>
      </c>
      <c r="B232" s="73" t="s">
        <v>721</v>
      </c>
      <c r="C232" s="73" t="s">
        <v>22</v>
      </c>
      <c r="D232" s="73" t="s">
        <v>3</v>
      </c>
      <c r="E232" s="73" t="s">
        <v>4</v>
      </c>
      <c r="F232" s="73" t="s">
        <v>1</v>
      </c>
      <c r="G232" s="74">
        <f>G233+G246+G265</f>
        <v>34901387.77</v>
      </c>
      <c r="H232" s="74">
        <f>H233+H265</f>
        <v>1074566.8</v>
      </c>
      <c r="I232" s="206"/>
    </row>
    <row r="233" spans="1:9" s="75" customFormat="1" ht="15.75" outlineLevel="2">
      <c r="A233" s="72" t="s">
        <v>672</v>
      </c>
      <c r="B233" s="73" t="s">
        <v>721</v>
      </c>
      <c r="C233" s="73" t="s">
        <v>22</v>
      </c>
      <c r="D233" s="73" t="s">
        <v>165</v>
      </c>
      <c r="E233" s="73" t="s">
        <v>4</v>
      </c>
      <c r="F233" s="73" t="s">
        <v>1</v>
      </c>
      <c r="G233" s="74">
        <f>G234</f>
        <v>23798783.1</v>
      </c>
      <c r="H233" s="74">
        <f>H234</f>
        <v>1038366.8</v>
      </c>
      <c r="I233" s="206"/>
    </row>
    <row r="234" spans="1:9" s="75" customFormat="1" ht="78.75" outlineLevel="3">
      <c r="A234" s="72" t="s">
        <v>660</v>
      </c>
      <c r="B234" s="73" t="s">
        <v>721</v>
      </c>
      <c r="C234" s="73" t="s">
        <v>22</v>
      </c>
      <c r="D234" s="73" t="s">
        <v>165</v>
      </c>
      <c r="E234" s="73" t="s">
        <v>160</v>
      </c>
      <c r="F234" s="73" t="s">
        <v>1</v>
      </c>
      <c r="G234" s="74">
        <f>G235</f>
        <v>23798783.1</v>
      </c>
      <c r="H234" s="74">
        <f>H235</f>
        <v>1038366.8</v>
      </c>
      <c r="I234" s="206"/>
    </row>
    <row r="235" spans="1:9" s="75" customFormat="1" ht="47.25" outlineLevel="4">
      <c r="A235" s="72" t="s">
        <v>631</v>
      </c>
      <c r="B235" s="73" t="s">
        <v>721</v>
      </c>
      <c r="C235" s="73" t="s">
        <v>22</v>
      </c>
      <c r="D235" s="73" t="s">
        <v>165</v>
      </c>
      <c r="E235" s="73" t="s">
        <v>166</v>
      </c>
      <c r="F235" s="73" t="s">
        <v>1</v>
      </c>
      <c r="G235" s="74">
        <f>G236+G239+G242</f>
        <v>23798783.1</v>
      </c>
      <c r="H235" s="74">
        <f>H239</f>
        <v>1038366.8</v>
      </c>
      <c r="I235" s="206"/>
    </row>
    <row r="236" spans="1:8" ht="63" outlineLevel="5">
      <c r="A236" s="76" t="s">
        <v>1086</v>
      </c>
      <c r="B236" s="77" t="s">
        <v>721</v>
      </c>
      <c r="C236" s="77" t="s">
        <v>22</v>
      </c>
      <c r="D236" s="77" t="s">
        <v>165</v>
      </c>
      <c r="E236" s="77" t="s">
        <v>167</v>
      </c>
      <c r="F236" s="77" t="s">
        <v>1</v>
      </c>
      <c r="G236" s="78">
        <f>G237</f>
        <v>18893000</v>
      </c>
      <c r="H236" s="78"/>
    </row>
    <row r="237" spans="1:8" ht="47.25" outlineLevel="6">
      <c r="A237" s="76" t="s">
        <v>452</v>
      </c>
      <c r="B237" s="77" t="s">
        <v>721</v>
      </c>
      <c r="C237" s="77" t="s">
        <v>22</v>
      </c>
      <c r="D237" s="77" t="s">
        <v>165</v>
      </c>
      <c r="E237" s="77" t="s">
        <v>168</v>
      </c>
      <c r="F237" s="77" t="s">
        <v>1</v>
      </c>
      <c r="G237" s="78">
        <f>G238</f>
        <v>18893000</v>
      </c>
      <c r="H237" s="78"/>
    </row>
    <row r="238" spans="1:8" ht="15.75" outlineLevel="7">
      <c r="A238" s="76" t="s">
        <v>695</v>
      </c>
      <c r="B238" s="77" t="s">
        <v>721</v>
      </c>
      <c r="C238" s="77" t="s">
        <v>22</v>
      </c>
      <c r="D238" s="77" t="s">
        <v>165</v>
      </c>
      <c r="E238" s="77" t="s">
        <v>168</v>
      </c>
      <c r="F238" s="77" t="s">
        <v>65</v>
      </c>
      <c r="G238" s="78">
        <v>18893000</v>
      </c>
      <c r="H238" s="78"/>
    </row>
    <row r="239" spans="1:8" ht="78.75" outlineLevel="5">
      <c r="A239" s="76" t="s">
        <v>1087</v>
      </c>
      <c r="B239" s="77" t="s">
        <v>721</v>
      </c>
      <c r="C239" s="77" t="s">
        <v>22</v>
      </c>
      <c r="D239" s="77" t="s">
        <v>165</v>
      </c>
      <c r="E239" s="77" t="s">
        <v>169</v>
      </c>
      <c r="F239" s="77" t="s">
        <v>1</v>
      </c>
      <c r="G239" s="78">
        <f>G240</f>
        <v>1038366.8</v>
      </c>
      <c r="H239" s="78">
        <f>H240</f>
        <v>1038366.8</v>
      </c>
    </row>
    <row r="240" spans="1:8" ht="110.25" outlineLevel="6">
      <c r="A240" s="76" t="s">
        <v>453</v>
      </c>
      <c r="B240" s="77" t="s">
        <v>721</v>
      </c>
      <c r="C240" s="77" t="s">
        <v>22</v>
      </c>
      <c r="D240" s="77" t="s">
        <v>165</v>
      </c>
      <c r="E240" s="77" t="s">
        <v>170</v>
      </c>
      <c r="F240" s="77" t="s">
        <v>1</v>
      </c>
      <c r="G240" s="78">
        <f>G241</f>
        <v>1038366.8</v>
      </c>
      <c r="H240" s="78">
        <f>H241</f>
        <v>1038366.8</v>
      </c>
    </row>
    <row r="241" spans="1:8" ht="15.75" outlineLevel="7">
      <c r="A241" s="76" t="s">
        <v>695</v>
      </c>
      <c r="B241" s="77" t="s">
        <v>721</v>
      </c>
      <c r="C241" s="77" t="s">
        <v>22</v>
      </c>
      <c r="D241" s="77" t="s">
        <v>165</v>
      </c>
      <c r="E241" s="77" t="s">
        <v>170</v>
      </c>
      <c r="F241" s="77" t="s">
        <v>65</v>
      </c>
      <c r="G241" s="78">
        <v>1038366.8</v>
      </c>
      <c r="H241" s="78">
        <f>G241</f>
        <v>1038366.8</v>
      </c>
    </row>
    <row r="242" spans="1:8" ht="15.75" outlineLevel="5">
      <c r="A242" s="76" t="s">
        <v>1182</v>
      </c>
      <c r="B242" s="77" t="s">
        <v>721</v>
      </c>
      <c r="C242" s="77" t="s">
        <v>22</v>
      </c>
      <c r="D242" s="77" t="s">
        <v>165</v>
      </c>
      <c r="E242" s="77" t="s">
        <v>171</v>
      </c>
      <c r="F242" s="77" t="s">
        <v>1</v>
      </c>
      <c r="G242" s="78">
        <f>G243</f>
        <v>3867416.3</v>
      </c>
      <c r="H242" s="78"/>
    </row>
    <row r="243" spans="1:8" ht="31.5" outlineLevel="6">
      <c r="A243" s="76" t="s">
        <v>441</v>
      </c>
      <c r="B243" s="77" t="s">
        <v>721</v>
      </c>
      <c r="C243" s="77" t="s">
        <v>22</v>
      </c>
      <c r="D243" s="77" t="s">
        <v>165</v>
      </c>
      <c r="E243" s="77" t="s">
        <v>172</v>
      </c>
      <c r="F243" s="77" t="s">
        <v>1</v>
      </c>
      <c r="G243" s="78">
        <f>G244+G245</f>
        <v>3867416.3</v>
      </c>
      <c r="H243" s="78"/>
    </row>
    <row r="244" spans="1:8" ht="31.5" outlineLevel="7">
      <c r="A244" s="76" t="s">
        <v>693</v>
      </c>
      <c r="B244" s="77" t="s">
        <v>721</v>
      </c>
      <c r="C244" s="77" t="s">
        <v>22</v>
      </c>
      <c r="D244" s="77" t="s">
        <v>165</v>
      </c>
      <c r="E244" s="77" t="s">
        <v>172</v>
      </c>
      <c r="F244" s="77" t="s">
        <v>17</v>
      </c>
      <c r="G244" s="78">
        <f>7531975-3531975-142583.7</f>
        <v>3857416.3</v>
      </c>
      <c r="H244" s="78"/>
    </row>
    <row r="245" spans="1:8" ht="15.75" outlineLevel="7">
      <c r="A245" s="76" t="s">
        <v>695</v>
      </c>
      <c r="B245" s="77" t="s">
        <v>721</v>
      </c>
      <c r="C245" s="77" t="s">
        <v>22</v>
      </c>
      <c r="D245" s="77" t="s">
        <v>165</v>
      </c>
      <c r="E245" s="77" t="s">
        <v>172</v>
      </c>
      <c r="F245" s="77" t="s">
        <v>65</v>
      </c>
      <c r="G245" s="78">
        <v>10000</v>
      </c>
      <c r="H245" s="78"/>
    </row>
    <row r="246" spans="1:9" s="75" customFormat="1" ht="15.75" outlineLevel="2">
      <c r="A246" s="72" t="s">
        <v>674</v>
      </c>
      <c r="B246" s="73" t="s">
        <v>721</v>
      </c>
      <c r="C246" s="73" t="s">
        <v>22</v>
      </c>
      <c r="D246" s="73" t="s">
        <v>187</v>
      </c>
      <c r="E246" s="73" t="s">
        <v>4</v>
      </c>
      <c r="F246" s="73" t="s">
        <v>1</v>
      </c>
      <c r="G246" s="74">
        <f>G247</f>
        <v>11066404.67</v>
      </c>
      <c r="H246" s="74"/>
      <c r="I246" s="206"/>
    </row>
    <row r="247" spans="1:9" s="75" customFormat="1" ht="47.25" outlineLevel="3">
      <c r="A247" s="72" t="s">
        <v>659</v>
      </c>
      <c r="B247" s="73" t="s">
        <v>721</v>
      </c>
      <c r="C247" s="73" t="s">
        <v>22</v>
      </c>
      <c r="D247" s="73" t="s">
        <v>187</v>
      </c>
      <c r="E247" s="73" t="s">
        <v>90</v>
      </c>
      <c r="F247" s="73" t="s">
        <v>1</v>
      </c>
      <c r="G247" s="74">
        <f>G248+G255</f>
        <v>11066404.67</v>
      </c>
      <c r="H247" s="74"/>
      <c r="I247" s="206"/>
    </row>
    <row r="248" spans="1:9" s="75" customFormat="1" ht="63" outlineLevel="4">
      <c r="A248" s="72" t="s">
        <v>634</v>
      </c>
      <c r="B248" s="73" t="s">
        <v>721</v>
      </c>
      <c r="C248" s="73" t="s">
        <v>22</v>
      </c>
      <c r="D248" s="73" t="s">
        <v>187</v>
      </c>
      <c r="E248" s="73" t="s">
        <v>188</v>
      </c>
      <c r="F248" s="73" t="s">
        <v>1</v>
      </c>
      <c r="G248" s="74">
        <f>G249</f>
        <v>10222143.87</v>
      </c>
      <c r="H248" s="74"/>
      <c r="I248" s="206"/>
    </row>
    <row r="249" spans="1:8" ht="94.5" outlineLevel="5">
      <c r="A249" s="76" t="s">
        <v>1088</v>
      </c>
      <c r="B249" s="77" t="s">
        <v>721</v>
      </c>
      <c r="C249" s="77" t="s">
        <v>22</v>
      </c>
      <c r="D249" s="77" t="s">
        <v>187</v>
      </c>
      <c r="E249" s="77" t="s">
        <v>189</v>
      </c>
      <c r="F249" s="77" t="s">
        <v>1</v>
      </c>
      <c r="G249" s="78">
        <f>G250+G253</f>
        <v>10222143.87</v>
      </c>
      <c r="H249" s="78"/>
    </row>
    <row r="250" spans="1:8" ht="78.75" outlineLevel="6">
      <c r="A250" s="76" t="s">
        <v>443</v>
      </c>
      <c r="B250" s="77" t="s">
        <v>721</v>
      </c>
      <c r="C250" s="77" t="s">
        <v>22</v>
      </c>
      <c r="D250" s="77" t="s">
        <v>187</v>
      </c>
      <c r="E250" s="77" t="s">
        <v>190</v>
      </c>
      <c r="F250" s="77" t="s">
        <v>1</v>
      </c>
      <c r="G250" s="78">
        <f>G251+G252</f>
        <v>9962143.87</v>
      </c>
      <c r="H250" s="78"/>
    </row>
    <row r="251" spans="1:8" ht="94.5" outlineLevel="7">
      <c r="A251" s="76" t="s">
        <v>708</v>
      </c>
      <c r="B251" s="77" t="s">
        <v>721</v>
      </c>
      <c r="C251" s="77" t="s">
        <v>22</v>
      </c>
      <c r="D251" s="77" t="s">
        <v>187</v>
      </c>
      <c r="E251" s="77" t="s">
        <v>190</v>
      </c>
      <c r="F251" s="77" t="s">
        <v>10</v>
      </c>
      <c r="G251" s="78">
        <v>9885644.87</v>
      </c>
      <c r="H251" s="78"/>
    </row>
    <row r="252" spans="1:8" ht="31.5" outlineLevel="7">
      <c r="A252" s="76" t="s">
        <v>693</v>
      </c>
      <c r="B252" s="77" t="s">
        <v>721</v>
      </c>
      <c r="C252" s="77" t="s">
        <v>22</v>
      </c>
      <c r="D252" s="77" t="s">
        <v>187</v>
      </c>
      <c r="E252" s="77" t="s">
        <v>190</v>
      </c>
      <c r="F252" s="77" t="s">
        <v>17</v>
      </c>
      <c r="G252" s="78">
        <v>76499</v>
      </c>
      <c r="H252" s="78"/>
    </row>
    <row r="253" spans="1:8" ht="78.75" outlineLevel="6">
      <c r="A253" s="76" t="s">
        <v>432</v>
      </c>
      <c r="B253" s="77" t="s">
        <v>721</v>
      </c>
      <c r="C253" s="77" t="s">
        <v>22</v>
      </c>
      <c r="D253" s="77" t="s">
        <v>187</v>
      </c>
      <c r="E253" s="77" t="s">
        <v>191</v>
      </c>
      <c r="F253" s="77" t="s">
        <v>1</v>
      </c>
      <c r="G253" s="78">
        <f>G254</f>
        <v>260000</v>
      </c>
      <c r="H253" s="78"/>
    </row>
    <row r="254" spans="1:8" ht="94.5" outlineLevel="7">
      <c r="A254" s="76" t="s">
        <v>708</v>
      </c>
      <c r="B254" s="77" t="s">
        <v>721</v>
      </c>
      <c r="C254" s="77" t="s">
        <v>22</v>
      </c>
      <c r="D254" s="77" t="s">
        <v>187</v>
      </c>
      <c r="E254" s="77" t="s">
        <v>191</v>
      </c>
      <c r="F254" s="77" t="s">
        <v>10</v>
      </c>
      <c r="G254" s="78">
        <v>260000</v>
      </c>
      <c r="H254" s="78"/>
    </row>
    <row r="255" spans="1:9" s="75" customFormat="1" ht="47.25" outlineLevel="4">
      <c r="A255" s="72" t="s">
        <v>624</v>
      </c>
      <c r="B255" s="73" t="s">
        <v>721</v>
      </c>
      <c r="C255" s="73" t="s">
        <v>22</v>
      </c>
      <c r="D255" s="73" t="s">
        <v>187</v>
      </c>
      <c r="E255" s="73" t="s">
        <v>91</v>
      </c>
      <c r="F255" s="73" t="s">
        <v>1</v>
      </c>
      <c r="G255" s="74">
        <f>G256+G259+G262</f>
        <v>844260.8</v>
      </c>
      <c r="H255" s="74"/>
      <c r="I255" s="206"/>
    </row>
    <row r="256" spans="1:8" ht="47.25" outlineLevel="5">
      <c r="A256" s="76" t="s">
        <v>1065</v>
      </c>
      <c r="B256" s="77" t="s">
        <v>721</v>
      </c>
      <c r="C256" s="77" t="s">
        <v>22</v>
      </c>
      <c r="D256" s="77" t="s">
        <v>187</v>
      </c>
      <c r="E256" s="77" t="s">
        <v>92</v>
      </c>
      <c r="F256" s="77" t="s">
        <v>1</v>
      </c>
      <c r="G256" s="78">
        <f>G257</f>
        <v>23240</v>
      </c>
      <c r="H256" s="78"/>
    </row>
    <row r="257" spans="1:8" ht="31.5" outlineLevel="6">
      <c r="A257" s="76" t="s">
        <v>441</v>
      </c>
      <c r="B257" s="77" t="s">
        <v>721</v>
      </c>
      <c r="C257" s="77" t="s">
        <v>22</v>
      </c>
      <c r="D257" s="77" t="s">
        <v>187</v>
      </c>
      <c r="E257" s="77" t="s">
        <v>93</v>
      </c>
      <c r="F257" s="77" t="s">
        <v>1</v>
      </c>
      <c r="G257" s="78">
        <f>G258</f>
        <v>23240</v>
      </c>
      <c r="H257" s="78"/>
    </row>
    <row r="258" spans="1:8" ht="31.5" outlineLevel="7">
      <c r="A258" s="76" t="s">
        <v>693</v>
      </c>
      <c r="B258" s="77" t="s">
        <v>721</v>
      </c>
      <c r="C258" s="77" t="s">
        <v>22</v>
      </c>
      <c r="D258" s="77" t="s">
        <v>187</v>
      </c>
      <c r="E258" s="77" t="s">
        <v>93</v>
      </c>
      <c r="F258" s="77" t="s">
        <v>17</v>
      </c>
      <c r="G258" s="78">
        <v>23240</v>
      </c>
      <c r="H258" s="78"/>
    </row>
    <row r="259" spans="1:8" ht="31.5" outlineLevel="5">
      <c r="A259" s="76" t="s">
        <v>1074</v>
      </c>
      <c r="B259" s="77" t="s">
        <v>721</v>
      </c>
      <c r="C259" s="77" t="s">
        <v>22</v>
      </c>
      <c r="D259" s="77" t="s">
        <v>187</v>
      </c>
      <c r="E259" s="77" t="s">
        <v>100</v>
      </c>
      <c r="F259" s="77" t="s">
        <v>1</v>
      </c>
      <c r="G259" s="78">
        <f>G260</f>
        <v>675880.8</v>
      </c>
      <c r="H259" s="78"/>
    </row>
    <row r="260" spans="1:8" ht="31.5" outlineLevel="6">
      <c r="A260" s="76" t="s">
        <v>441</v>
      </c>
      <c r="B260" s="77" t="s">
        <v>721</v>
      </c>
      <c r="C260" s="77" t="s">
        <v>22</v>
      </c>
      <c r="D260" s="77" t="s">
        <v>187</v>
      </c>
      <c r="E260" s="77" t="s">
        <v>101</v>
      </c>
      <c r="F260" s="77" t="s">
        <v>1</v>
      </c>
      <c r="G260" s="78">
        <f>G261</f>
        <v>675880.8</v>
      </c>
      <c r="H260" s="78"/>
    </row>
    <row r="261" spans="1:8" ht="31.5" outlineLevel="7">
      <c r="A261" s="76" t="s">
        <v>693</v>
      </c>
      <c r="B261" s="77" t="s">
        <v>721</v>
      </c>
      <c r="C261" s="77" t="s">
        <v>22</v>
      </c>
      <c r="D261" s="77" t="s">
        <v>187</v>
      </c>
      <c r="E261" s="77" t="s">
        <v>101</v>
      </c>
      <c r="F261" s="77" t="s">
        <v>17</v>
      </c>
      <c r="G261" s="78">
        <v>675880.8</v>
      </c>
      <c r="H261" s="78"/>
    </row>
    <row r="262" spans="1:8" ht="15.75" outlineLevel="5">
      <c r="A262" s="76" t="s">
        <v>1075</v>
      </c>
      <c r="B262" s="77" t="s">
        <v>721</v>
      </c>
      <c r="C262" s="77" t="s">
        <v>22</v>
      </c>
      <c r="D262" s="77" t="s">
        <v>187</v>
      </c>
      <c r="E262" s="77" t="s">
        <v>102</v>
      </c>
      <c r="F262" s="77" t="s">
        <v>1</v>
      </c>
      <c r="G262" s="78">
        <f>G263</f>
        <v>145140</v>
      </c>
      <c r="H262" s="78"/>
    </row>
    <row r="263" spans="1:8" ht="31.5" outlineLevel="6">
      <c r="A263" s="76" t="s">
        <v>441</v>
      </c>
      <c r="B263" s="77" t="s">
        <v>721</v>
      </c>
      <c r="C263" s="77" t="s">
        <v>22</v>
      </c>
      <c r="D263" s="77" t="s">
        <v>187</v>
      </c>
      <c r="E263" s="77" t="s">
        <v>103</v>
      </c>
      <c r="F263" s="77" t="s">
        <v>1</v>
      </c>
      <c r="G263" s="78">
        <f>G264</f>
        <v>145140</v>
      </c>
      <c r="H263" s="78"/>
    </row>
    <row r="264" spans="1:8" ht="31.5" outlineLevel="7">
      <c r="A264" s="76" t="s">
        <v>693</v>
      </c>
      <c r="B264" s="77" t="s">
        <v>721</v>
      </c>
      <c r="C264" s="77" t="s">
        <v>22</v>
      </c>
      <c r="D264" s="77" t="s">
        <v>187</v>
      </c>
      <c r="E264" s="77" t="s">
        <v>103</v>
      </c>
      <c r="F264" s="77" t="s">
        <v>17</v>
      </c>
      <c r="G264" s="78">
        <v>145140</v>
      </c>
      <c r="H264" s="78"/>
    </row>
    <row r="265" spans="1:9" s="75" customFormat="1" ht="31.5" outlineLevel="2">
      <c r="A265" s="72" t="s">
        <v>675</v>
      </c>
      <c r="B265" s="73" t="s">
        <v>721</v>
      </c>
      <c r="C265" s="73" t="s">
        <v>22</v>
      </c>
      <c r="D265" s="73" t="s">
        <v>192</v>
      </c>
      <c r="E265" s="73" t="s">
        <v>4</v>
      </c>
      <c r="F265" s="73" t="s">
        <v>1</v>
      </c>
      <c r="G265" s="74">
        <f aca="true" t="shared" si="0" ref="G265:H268">G266</f>
        <v>36200</v>
      </c>
      <c r="H265" s="74">
        <f t="shared" si="0"/>
        <v>36200</v>
      </c>
      <c r="I265" s="206"/>
    </row>
    <row r="266" spans="1:9" s="75" customFormat="1" ht="63" outlineLevel="3">
      <c r="A266" s="72" t="s">
        <v>656</v>
      </c>
      <c r="B266" s="73" t="s">
        <v>721</v>
      </c>
      <c r="C266" s="73" t="s">
        <v>22</v>
      </c>
      <c r="D266" s="73" t="s">
        <v>192</v>
      </c>
      <c r="E266" s="73" t="s">
        <v>6</v>
      </c>
      <c r="F266" s="73" t="s">
        <v>1</v>
      </c>
      <c r="G266" s="74">
        <f t="shared" si="0"/>
        <v>36200</v>
      </c>
      <c r="H266" s="74">
        <f t="shared" si="0"/>
        <v>36200</v>
      </c>
      <c r="I266" s="206"/>
    </row>
    <row r="267" spans="1:9" s="75" customFormat="1" ht="31.5" outlineLevel="4">
      <c r="A267" s="72" t="s">
        <v>616</v>
      </c>
      <c r="B267" s="73" t="s">
        <v>721</v>
      </c>
      <c r="C267" s="73" t="s">
        <v>22</v>
      </c>
      <c r="D267" s="73" t="s">
        <v>192</v>
      </c>
      <c r="E267" s="73" t="s">
        <v>43</v>
      </c>
      <c r="F267" s="73" t="s">
        <v>1</v>
      </c>
      <c r="G267" s="74">
        <f t="shared" si="0"/>
        <v>36200</v>
      </c>
      <c r="H267" s="74">
        <f t="shared" si="0"/>
        <v>36200</v>
      </c>
      <c r="I267" s="206"/>
    </row>
    <row r="268" spans="1:8" ht="63" outlineLevel="5">
      <c r="A268" s="76" t="s">
        <v>1089</v>
      </c>
      <c r="B268" s="77" t="s">
        <v>721</v>
      </c>
      <c r="C268" s="77" t="s">
        <v>22</v>
      </c>
      <c r="D268" s="77" t="s">
        <v>192</v>
      </c>
      <c r="E268" s="77" t="s">
        <v>193</v>
      </c>
      <c r="F268" s="77" t="s">
        <v>1</v>
      </c>
      <c r="G268" s="78">
        <f t="shared" si="0"/>
        <v>36200</v>
      </c>
      <c r="H268" s="78">
        <f t="shared" si="0"/>
        <v>36200</v>
      </c>
    </row>
    <row r="269" spans="1:8" ht="110.25" outlineLevel="6">
      <c r="A269" s="76" t="s">
        <v>457</v>
      </c>
      <c r="B269" s="77" t="s">
        <v>721</v>
      </c>
      <c r="C269" s="77" t="s">
        <v>22</v>
      </c>
      <c r="D269" s="77" t="s">
        <v>192</v>
      </c>
      <c r="E269" s="77" t="s">
        <v>194</v>
      </c>
      <c r="F269" s="77" t="s">
        <v>1</v>
      </c>
      <c r="G269" s="78">
        <f>G270+G271</f>
        <v>36200</v>
      </c>
      <c r="H269" s="78">
        <f>H270+H271</f>
        <v>36200</v>
      </c>
    </row>
    <row r="270" spans="1:8" ht="94.5" outlineLevel="7">
      <c r="A270" s="76" t="s">
        <v>708</v>
      </c>
      <c r="B270" s="77" t="s">
        <v>721</v>
      </c>
      <c r="C270" s="77" t="s">
        <v>22</v>
      </c>
      <c r="D270" s="77" t="s">
        <v>192</v>
      </c>
      <c r="E270" s="77" t="s">
        <v>194</v>
      </c>
      <c r="F270" s="77" t="s">
        <v>10</v>
      </c>
      <c r="G270" s="78">
        <v>32122.44</v>
      </c>
      <c r="H270" s="78">
        <f>G270</f>
        <v>32122.44</v>
      </c>
    </row>
    <row r="271" spans="1:8" ht="31.5" outlineLevel="7">
      <c r="A271" s="76" t="s">
        <v>693</v>
      </c>
      <c r="B271" s="77" t="s">
        <v>721</v>
      </c>
      <c r="C271" s="77" t="s">
        <v>22</v>
      </c>
      <c r="D271" s="77" t="s">
        <v>192</v>
      </c>
      <c r="E271" s="77" t="s">
        <v>194</v>
      </c>
      <c r="F271" s="77" t="s">
        <v>17</v>
      </c>
      <c r="G271" s="78">
        <v>4077.56</v>
      </c>
      <c r="H271" s="78">
        <f>G271</f>
        <v>4077.56</v>
      </c>
    </row>
    <row r="272" spans="1:9" s="75" customFormat="1" ht="15.75" outlineLevel="1">
      <c r="A272" s="72" t="s">
        <v>703</v>
      </c>
      <c r="B272" s="73" t="s">
        <v>721</v>
      </c>
      <c r="C272" s="73" t="s">
        <v>187</v>
      </c>
      <c r="D272" s="73" t="s">
        <v>3</v>
      </c>
      <c r="E272" s="73" t="s">
        <v>4</v>
      </c>
      <c r="F272" s="73" t="s">
        <v>1</v>
      </c>
      <c r="G272" s="74">
        <f>G273+G277</f>
        <v>9751564.61</v>
      </c>
      <c r="H272" s="74">
        <f>H277</f>
        <v>1466700</v>
      </c>
      <c r="I272" s="206"/>
    </row>
    <row r="273" spans="1:9" s="75" customFormat="1" ht="15.75" outlineLevel="2">
      <c r="A273" s="72" t="s">
        <v>686</v>
      </c>
      <c r="B273" s="73" t="s">
        <v>721</v>
      </c>
      <c r="C273" s="73" t="s">
        <v>187</v>
      </c>
      <c r="D273" s="73" t="s">
        <v>2</v>
      </c>
      <c r="E273" s="73" t="s">
        <v>4</v>
      </c>
      <c r="F273" s="73" t="s">
        <v>1</v>
      </c>
      <c r="G273" s="74">
        <f>G274</f>
        <v>8284864.61</v>
      </c>
      <c r="H273" s="74"/>
      <c r="I273" s="206"/>
    </row>
    <row r="274" spans="1:9" s="75" customFormat="1" ht="15.75" outlineLevel="3">
      <c r="A274" s="72" t="s">
        <v>490</v>
      </c>
      <c r="B274" s="73" t="s">
        <v>721</v>
      </c>
      <c r="C274" s="73" t="s">
        <v>187</v>
      </c>
      <c r="D274" s="73" t="s">
        <v>2</v>
      </c>
      <c r="E274" s="73" t="s">
        <v>11</v>
      </c>
      <c r="F274" s="73" t="s">
        <v>1</v>
      </c>
      <c r="G274" s="74">
        <f>G275</f>
        <v>8284864.61</v>
      </c>
      <c r="H274" s="74"/>
      <c r="I274" s="206"/>
    </row>
    <row r="275" spans="1:8" ht="94.5" outlineLevel="6">
      <c r="A275" s="76" t="s">
        <v>472</v>
      </c>
      <c r="B275" s="77" t="s">
        <v>721</v>
      </c>
      <c r="C275" s="77" t="s">
        <v>187</v>
      </c>
      <c r="D275" s="77" t="s">
        <v>2</v>
      </c>
      <c r="E275" s="77" t="s">
        <v>372</v>
      </c>
      <c r="F275" s="77" t="s">
        <v>1</v>
      </c>
      <c r="G275" s="78">
        <f>G276</f>
        <v>8284864.61</v>
      </c>
      <c r="H275" s="78"/>
    </row>
    <row r="276" spans="1:8" ht="31.5" outlineLevel="7">
      <c r="A276" s="76" t="s">
        <v>694</v>
      </c>
      <c r="B276" s="77" t="s">
        <v>721</v>
      </c>
      <c r="C276" s="77" t="s">
        <v>187</v>
      </c>
      <c r="D276" s="77" t="s">
        <v>2</v>
      </c>
      <c r="E276" s="77" t="s">
        <v>372</v>
      </c>
      <c r="F276" s="77" t="s">
        <v>47</v>
      </c>
      <c r="G276" s="78">
        <v>8284864.61</v>
      </c>
      <c r="H276" s="78"/>
    </row>
    <row r="277" spans="1:9" s="75" customFormat="1" ht="15.75" outlineLevel="2">
      <c r="A277" s="72" t="s">
        <v>688</v>
      </c>
      <c r="B277" s="73" t="s">
        <v>721</v>
      </c>
      <c r="C277" s="73" t="s">
        <v>187</v>
      </c>
      <c r="D277" s="73" t="s">
        <v>22</v>
      </c>
      <c r="E277" s="73" t="s">
        <v>4</v>
      </c>
      <c r="F277" s="73" t="s">
        <v>1</v>
      </c>
      <c r="G277" s="74">
        <f>G278</f>
        <v>1466700</v>
      </c>
      <c r="H277" s="74">
        <f>H278</f>
        <v>1466700</v>
      </c>
      <c r="I277" s="206"/>
    </row>
    <row r="278" spans="1:9" s="75" customFormat="1" ht="63" outlineLevel="3">
      <c r="A278" s="72" t="s">
        <v>656</v>
      </c>
      <c r="B278" s="73" t="s">
        <v>721</v>
      </c>
      <c r="C278" s="73" t="s">
        <v>187</v>
      </c>
      <c r="D278" s="73" t="s">
        <v>22</v>
      </c>
      <c r="E278" s="73" t="s">
        <v>6</v>
      </c>
      <c r="F278" s="73" t="s">
        <v>1</v>
      </c>
      <c r="G278" s="74">
        <f>G279</f>
        <v>1466700</v>
      </c>
      <c r="H278" s="74">
        <f>H279</f>
        <v>1466700</v>
      </c>
      <c r="I278" s="206"/>
    </row>
    <row r="279" spans="1:9" s="75" customFormat="1" ht="31.5" outlineLevel="4">
      <c r="A279" s="72" t="s">
        <v>616</v>
      </c>
      <c r="B279" s="73" t="s">
        <v>721</v>
      </c>
      <c r="C279" s="73" t="s">
        <v>187</v>
      </c>
      <c r="D279" s="73" t="s">
        <v>22</v>
      </c>
      <c r="E279" s="73" t="s">
        <v>43</v>
      </c>
      <c r="F279" s="73" t="s">
        <v>1</v>
      </c>
      <c r="G279" s="74">
        <f>G280+G284</f>
        <v>1466700</v>
      </c>
      <c r="H279" s="74">
        <f>H280+H284</f>
        <v>1466700</v>
      </c>
      <c r="I279" s="206"/>
    </row>
    <row r="280" spans="1:8" ht="47.25" outlineLevel="5">
      <c r="A280" s="76" t="s">
        <v>1090</v>
      </c>
      <c r="B280" s="77" t="s">
        <v>721</v>
      </c>
      <c r="C280" s="77" t="s">
        <v>187</v>
      </c>
      <c r="D280" s="77" t="s">
        <v>22</v>
      </c>
      <c r="E280" s="77" t="s">
        <v>398</v>
      </c>
      <c r="F280" s="77" t="s">
        <v>1</v>
      </c>
      <c r="G280" s="78">
        <f>G281</f>
        <v>1321500</v>
      </c>
      <c r="H280" s="78">
        <f>H281</f>
        <v>1321500</v>
      </c>
    </row>
    <row r="281" spans="1:8" ht="63" outlineLevel="6">
      <c r="A281" s="76" t="s">
        <v>484</v>
      </c>
      <c r="B281" s="77" t="s">
        <v>721</v>
      </c>
      <c r="C281" s="77" t="s">
        <v>187</v>
      </c>
      <c r="D281" s="77" t="s">
        <v>22</v>
      </c>
      <c r="E281" s="77" t="s">
        <v>399</v>
      </c>
      <c r="F281" s="77" t="s">
        <v>1</v>
      </c>
      <c r="G281" s="78">
        <f>G282+G283</f>
        <v>1321500</v>
      </c>
      <c r="H281" s="78">
        <f>H282+H283</f>
        <v>1321500</v>
      </c>
    </row>
    <row r="282" spans="1:8" ht="94.5" outlineLevel="7">
      <c r="A282" s="76" t="s">
        <v>708</v>
      </c>
      <c r="B282" s="77" t="s">
        <v>721</v>
      </c>
      <c r="C282" s="77" t="s">
        <v>187</v>
      </c>
      <c r="D282" s="77" t="s">
        <v>22</v>
      </c>
      <c r="E282" s="77" t="s">
        <v>399</v>
      </c>
      <c r="F282" s="77" t="s">
        <v>10</v>
      </c>
      <c r="G282" s="78">
        <f>1185628.17+19000</f>
        <v>1204628.17</v>
      </c>
      <c r="H282" s="78">
        <f>G282</f>
        <v>1204628.17</v>
      </c>
    </row>
    <row r="283" spans="1:8" ht="31.5" outlineLevel="7">
      <c r="A283" s="76" t="s">
        <v>693</v>
      </c>
      <c r="B283" s="77" t="s">
        <v>721</v>
      </c>
      <c r="C283" s="77" t="s">
        <v>187</v>
      </c>
      <c r="D283" s="77" t="s">
        <v>22</v>
      </c>
      <c r="E283" s="77" t="s">
        <v>399</v>
      </c>
      <c r="F283" s="77" t="s">
        <v>17</v>
      </c>
      <c r="G283" s="78">
        <f>135871.83-19000</f>
        <v>116871.82999999999</v>
      </c>
      <c r="H283" s="78">
        <f>G283</f>
        <v>116871.82999999999</v>
      </c>
    </row>
    <row r="284" spans="1:8" ht="110.25" outlineLevel="5">
      <c r="A284" s="76" t="s">
        <v>1091</v>
      </c>
      <c r="B284" s="77" t="s">
        <v>721</v>
      </c>
      <c r="C284" s="77" t="s">
        <v>187</v>
      </c>
      <c r="D284" s="77" t="s">
        <v>22</v>
      </c>
      <c r="E284" s="77" t="s">
        <v>400</v>
      </c>
      <c r="F284" s="77" t="s">
        <v>1</v>
      </c>
      <c r="G284" s="78">
        <f>G285</f>
        <v>145200</v>
      </c>
      <c r="H284" s="78">
        <f>H285</f>
        <v>145200</v>
      </c>
    </row>
    <row r="285" spans="1:8" ht="126" outlineLevel="6">
      <c r="A285" s="76" t="s">
        <v>485</v>
      </c>
      <c r="B285" s="77" t="s">
        <v>721</v>
      </c>
      <c r="C285" s="77" t="s">
        <v>187</v>
      </c>
      <c r="D285" s="77" t="s">
        <v>22</v>
      </c>
      <c r="E285" s="77" t="s">
        <v>401</v>
      </c>
      <c r="F285" s="77" t="s">
        <v>1</v>
      </c>
      <c r="G285" s="78">
        <f>G286+G287</f>
        <v>145200</v>
      </c>
      <c r="H285" s="78">
        <f>H286+H287</f>
        <v>145200</v>
      </c>
    </row>
    <row r="286" spans="1:8" ht="94.5" outlineLevel="7">
      <c r="A286" s="76" t="s">
        <v>708</v>
      </c>
      <c r="B286" s="77" t="s">
        <v>721</v>
      </c>
      <c r="C286" s="77" t="s">
        <v>187</v>
      </c>
      <c r="D286" s="77" t="s">
        <v>22</v>
      </c>
      <c r="E286" s="77" t="s">
        <v>401</v>
      </c>
      <c r="F286" s="77" t="s">
        <v>10</v>
      </c>
      <c r="G286" s="78">
        <v>128488.7</v>
      </c>
      <c r="H286" s="78">
        <f>G286</f>
        <v>128488.7</v>
      </c>
    </row>
    <row r="287" spans="1:8" ht="31.5" outlineLevel="7">
      <c r="A287" s="76" t="s">
        <v>693</v>
      </c>
      <c r="B287" s="77" t="s">
        <v>721</v>
      </c>
      <c r="C287" s="77" t="s">
        <v>187</v>
      </c>
      <c r="D287" s="77" t="s">
        <v>22</v>
      </c>
      <c r="E287" s="77" t="s">
        <v>401</v>
      </c>
      <c r="F287" s="77" t="s">
        <v>17</v>
      </c>
      <c r="G287" s="78">
        <v>16711.3</v>
      </c>
      <c r="H287" s="78">
        <f>G287</f>
        <v>16711.3</v>
      </c>
    </row>
    <row r="288" spans="1:9" s="75" customFormat="1" ht="15.75" outlineLevel="1">
      <c r="A288" s="72" t="s">
        <v>705</v>
      </c>
      <c r="B288" s="73" t="s">
        <v>721</v>
      </c>
      <c r="C288" s="73" t="s">
        <v>192</v>
      </c>
      <c r="D288" s="73" t="s">
        <v>3</v>
      </c>
      <c r="E288" s="73" t="s">
        <v>4</v>
      </c>
      <c r="F288" s="73" t="s">
        <v>1</v>
      </c>
      <c r="G288" s="74">
        <v>1425000</v>
      </c>
      <c r="H288" s="74"/>
      <c r="I288" s="206"/>
    </row>
    <row r="289" spans="1:9" s="75" customFormat="1" ht="15.75" outlineLevel="2">
      <c r="A289" s="72" t="s">
        <v>690</v>
      </c>
      <c r="B289" s="73" t="s">
        <v>721</v>
      </c>
      <c r="C289" s="73" t="s">
        <v>192</v>
      </c>
      <c r="D289" s="73" t="s">
        <v>5</v>
      </c>
      <c r="E289" s="73" t="s">
        <v>4</v>
      </c>
      <c r="F289" s="73" t="s">
        <v>1</v>
      </c>
      <c r="G289" s="74">
        <v>1425000</v>
      </c>
      <c r="H289" s="74"/>
      <c r="I289" s="206"/>
    </row>
    <row r="290" spans="1:9" s="75" customFormat="1" ht="47.25" outlineLevel="3">
      <c r="A290" s="72" t="s">
        <v>659</v>
      </c>
      <c r="B290" s="73" t="s">
        <v>721</v>
      </c>
      <c r="C290" s="73" t="s">
        <v>192</v>
      </c>
      <c r="D290" s="73" t="s">
        <v>5</v>
      </c>
      <c r="E290" s="73" t="s">
        <v>90</v>
      </c>
      <c r="F290" s="73" t="s">
        <v>1</v>
      </c>
      <c r="G290" s="74">
        <v>1425000</v>
      </c>
      <c r="H290" s="74"/>
      <c r="I290" s="206"/>
    </row>
    <row r="291" spans="1:9" s="75" customFormat="1" ht="78.75" outlineLevel="4">
      <c r="A291" s="72" t="s">
        <v>654</v>
      </c>
      <c r="B291" s="73" t="s">
        <v>721</v>
      </c>
      <c r="C291" s="73" t="s">
        <v>192</v>
      </c>
      <c r="D291" s="73" t="s">
        <v>5</v>
      </c>
      <c r="E291" s="73" t="s">
        <v>407</v>
      </c>
      <c r="F291" s="73" t="s">
        <v>1</v>
      </c>
      <c r="G291" s="74">
        <v>1425000</v>
      </c>
      <c r="H291" s="74"/>
      <c r="I291" s="206"/>
    </row>
    <row r="292" spans="1:8" ht="63" outlineLevel="5">
      <c r="A292" s="76" t="s">
        <v>1092</v>
      </c>
      <c r="B292" s="77" t="s">
        <v>721</v>
      </c>
      <c r="C292" s="77" t="s">
        <v>192</v>
      </c>
      <c r="D292" s="77" t="s">
        <v>5</v>
      </c>
      <c r="E292" s="77" t="s">
        <v>408</v>
      </c>
      <c r="F292" s="77" t="s">
        <v>1</v>
      </c>
      <c r="G292" s="78">
        <v>1425000</v>
      </c>
      <c r="H292" s="78"/>
    </row>
    <row r="293" spans="1:8" ht="31.5" outlineLevel="6">
      <c r="A293" s="76" t="s">
        <v>441</v>
      </c>
      <c r="B293" s="77" t="s">
        <v>721</v>
      </c>
      <c r="C293" s="77" t="s">
        <v>192</v>
      </c>
      <c r="D293" s="77" t="s">
        <v>5</v>
      </c>
      <c r="E293" s="77" t="s">
        <v>409</v>
      </c>
      <c r="F293" s="77" t="s">
        <v>1</v>
      </c>
      <c r="G293" s="78">
        <v>1425000</v>
      </c>
      <c r="H293" s="78"/>
    </row>
    <row r="294" spans="1:8" ht="31.5" outlineLevel="7">
      <c r="A294" s="76" t="s">
        <v>693</v>
      </c>
      <c r="B294" s="77" t="s">
        <v>721</v>
      </c>
      <c r="C294" s="77" t="s">
        <v>192</v>
      </c>
      <c r="D294" s="77" t="s">
        <v>5</v>
      </c>
      <c r="E294" s="77" t="s">
        <v>409</v>
      </c>
      <c r="F294" s="77" t="s">
        <v>17</v>
      </c>
      <c r="G294" s="78">
        <v>1425000</v>
      </c>
      <c r="H294" s="78"/>
    </row>
    <row r="295" spans="1:9" s="75" customFormat="1" ht="31.5">
      <c r="A295" s="72" t="s">
        <v>734</v>
      </c>
      <c r="B295" s="73" t="s">
        <v>733</v>
      </c>
      <c r="C295" s="73" t="s">
        <v>3</v>
      </c>
      <c r="D295" s="73" t="s">
        <v>3</v>
      </c>
      <c r="E295" s="73" t="s">
        <v>4</v>
      </c>
      <c r="F295" s="73" t="s">
        <v>1</v>
      </c>
      <c r="G295" s="74">
        <f>G296+G378+G454+G561+G555</f>
        <v>373218089.1</v>
      </c>
      <c r="H295" s="74">
        <f>H296+H378+H454+H561+H555</f>
        <v>56157565.24</v>
      </c>
      <c r="I295" s="206"/>
    </row>
    <row r="296" spans="1:9" s="75" customFormat="1" ht="15.75" outlineLevel="1">
      <c r="A296" s="72" t="s">
        <v>692</v>
      </c>
      <c r="B296" s="73" t="s">
        <v>733</v>
      </c>
      <c r="C296" s="73" t="s">
        <v>2</v>
      </c>
      <c r="D296" s="73" t="s">
        <v>3</v>
      </c>
      <c r="E296" s="73" t="s">
        <v>4</v>
      </c>
      <c r="F296" s="73" t="s">
        <v>1</v>
      </c>
      <c r="G296" s="74">
        <f>G297+G320</f>
        <v>53203280.620000005</v>
      </c>
      <c r="H296" s="74"/>
      <c r="I296" s="206"/>
    </row>
    <row r="297" spans="1:9" s="75" customFormat="1" ht="78.75" outlineLevel="2">
      <c r="A297" s="72" t="s">
        <v>665</v>
      </c>
      <c r="B297" s="73" t="s">
        <v>733</v>
      </c>
      <c r="C297" s="73" t="s">
        <v>2</v>
      </c>
      <c r="D297" s="73" t="s">
        <v>22</v>
      </c>
      <c r="E297" s="73" t="s">
        <v>4</v>
      </c>
      <c r="F297" s="73" t="s">
        <v>1</v>
      </c>
      <c r="G297" s="74">
        <f>G298</f>
        <v>12299246.28</v>
      </c>
      <c r="H297" s="74"/>
      <c r="I297" s="206"/>
    </row>
    <row r="298" spans="1:9" s="75" customFormat="1" ht="63" outlineLevel="3">
      <c r="A298" s="72" t="s">
        <v>656</v>
      </c>
      <c r="B298" s="73" t="s">
        <v>733</v>
      </c>
      <c r="C298" s="73" t="s">
        <v>2</v>
      </c>
      <c r="D298" s="73" t="s">
        <v>22</v>
      </c>
      <c r="E298" s="73" t="s">
        <v>6</v>
      </c>
      <c r="F298" s="73" t="s">
        <v>1</v>
      </c>
      <c r="G298" s="74">
        <f>G299+G308</f>
        <v>12299246.28</v>
      </c>
      <c r="H298" s="74"/>
      <c r="I298" s="206"/>
    </row>
    <row r="299" spans="1:9" s="75" customFormat="1" ht="47.25" outlineLevel="4">
      <c r="A299" s="72" t="s">
        <v>617</v>
      </c>
      <c r="B299" s="73" t="s">
        <v>733</v>
      </c>
      <c r="C299" s="73" t="s">
        <v>2</v>
      </c>
      <c r="D299" s="73" t="s">
        <v>22</v>
      </c>
      <c r="E299" s="73" t="s">
        <v>51</v>
      </c>
      <c r="F299" s="73" t="s">
        <v>1</v>
      </c>
      <c r="G299" s="74">
        <f>G300</f>
        <v>12046134.84</v>
      </c>
      <c r="H299" s="74"/>
      <c r="I299" s="206"/>
    </row>
    <row r="300" spans="1:8" ht="31.5" outlineLevel="5">
      <c r="A300" s="76" t="s">
        <v>1093</v>
      </c>
      <c r="B300" s="77" t="s">
        <v>733</v>
      </c>
      <c r="C300" s="77" t="s">
        <v>2</v>
      </c>
      <c r="D300" s="77" t="s">
        <v>22</v>
      </c>
      <c r="E300" s="77" t="s">
        <v>52</v>
      </c>
      <c r="F300" s="77" t="s">
        <v>1</v>
      </c>
      <c r="G300" s="78">
        <f>G301+G303+G306</f>
        <v>12046134.84</v>
      </c>
      <c r="H300" s="78"/>
    </row>
    <row r="301" spans="1:8" ht="31.5" outlineLevel="6">
      <c r="A301" s="76" t="s">
        <v>434</v>
      </c>
      <c r="B301" s="77" t="s">
        <v>733</v>
      </c>
      <c r="C301" s="77" t="s">
        <v>2</v>
      </c>
      <c r="D301" s="77" t="s">
        <v>22</v>
      </c>
      <c r="E301" s="77" t="s">
        <v>53</v>
      </c>
      <c r="F301" s="77" t="s">
        <v>1</v>
      </c>
      <c r="G301" s="78">
        <f>G302</f>
        <v>11794269.84</v>
      </c>
      <c r="H301" s="78"/>
    </row>
    <row r="302" spans="1:8" ht="94.5" outlineLevel="7">
      <c r="A302" s="76" t="s">
        <v>708</v>
      </c>
      <c r="B302" s="77" t="s">
        <v>733</v>
      </c>
      <c r="C302" s="77" t="s">
        <v>2</v>
      </c>
      <c r="D302" s="77" t="s">
        <v>22</v>
      </c>
      <c r="E302" s="77" t="s">
        <v>53</v>
      </c>
      <c r="F302" s="77" t="s">
        <v>10</v>
      </c>
      <c r="G302" s="78">
        <v>11794269.84</v>
      </c>
      <c r="H302" s="78"/>
    </row>
    <row r="303" spans="1:8" ht="31.5" outlineLevel="6">
      <c r="A303" s="76" t="s">
        <v>430</v>
      </c>
      <c r="B303" s="77" t="s">
        <v>733</v>
      </c>
      <c r="C303" s="77" t="s">
        <v>2</v>
      </c>
      <c r="D303" s="77" t="s">
        <v>22</v>
      </c>
      <c r="E303" s="77" t="s">
        <v>54</v>
      </c>
      <c r="F303" s="77" t="s">
        <v>1</v>
      </c>
      <c r="G303" s="78">
        <f>G304+G305</f>
        <v>2900</v>
      </c>
      <c r="H303" s="78"/>
    </row>
    <row r="304" spans="1:8" ht="94.5" outlineLevel="7">
      <c r="A304" s="76" t="s">
        <v>708</v>
      </c>
      <c r="B304" s="77" t="s">
        <v>733</v>
      </c>
      <c r="C304" s="77" t="s">
        <v>2</v>
      </c>
      <c r="D304" s="77" t="s">
        <v>22</v>
      </c>
      <c r="E304" s="77" t="s">
        <v>54</v>
      </c>
      <c r="F304" s="77" t="s">
        <v>10</v>
      </c>
      <c r="G304" s="78">
        <v>900</v>
      </c>
      <c r="H304" s="78"/>
    </row>
    <row r="305" spans="1:8" ht="31.5" outlineLevel="7">
      <c r="A305" s="76" t="s">
        <v>693</v>
      </c>
      <c r="B305" s="77" t="s">
        <v>733</v>
      </c>
      <c r="C305" s="77" t="s">
        <v>2</v>
      </c>
      <c r="D305" s="77" t="s">
        <v>22</v>
      </c>
      <c r="E305" s="77" t="s">
        <v>54</v>
      </c>
      <c r="F305" s="77" t="s">
        <v>17</v>
      </c>
      <c r="G305" s="78">
        <f>2000</f>
        <v>2000</v>
      </c>
      <c r="H305" s="78"/>
    </row>
    <row r="306" spans="1:8" ht="78.75" outlineLevel="6">
      <c r="A306" s="76" t="s">
        <v>432</v>
      </c>
      <c r="B306" s="77" t="s">
        <v>733</v>
      </c>
      <c r="C306" s="77" t="s">
        <v>2</v>
      </c>
      <c r="D306" s="77" t="s">
        <v>22</v>
      </c>
      <c r="E306" s="77" t="s">
        <v>55</v>
      </c>
      <c r="F306" s="77" t="s">
        <v>1</v>
      </c>
      <c r="G306" s="78">
        <f>G307</f>
        <v>248965</v>
      </c>
      <c r="H306" s="78"/>
    </row>
    <row r="307" spans="1:8" ht="94.5" outlineLevel="7">
      <c r="A307" s="76" t="s">
        <v>708</v>
      </c>
      <c r="B307" s="77" t="s">
        <v>733</v>
      </c>
      <c r="C307" s="77" t="s">
        <v>2</v>
      </c>
      <c r="D307" s="77" t="s">
        <v>22</v>
      </c>
      <c r="E307" s="77" t="s">
        <v>55</v>
      </c>
      <c r="F307" s="77" t="s">
        <v>10</v>
      </c>
      <c r="G307" s="78">
        <v>248965</v>
      </c>
      <c r="H307" s="78"/>
    </row>
    <row r="308" spans="1:9" s="75" customFormat="1" ht="31.5" outlineLevel="4">
      <c r="A308" s="72" t="s">
        <v>613</v>
      </c>
      <c r="B308" s="73" t="s">
        <v>733</v>
      </c>
      <c r="C308" s="73" t="s">
        <v>2</v>
      </c>
      <c r="D308" s="73" t="s">
        <v>22</v>
      </c>
      <c r="E308" s="73" t="s">
        <v>7</v>
      </c>
      <c r="F308" s="73" t="s">
        <v>1</v>
      </c>
      <c r="G308" s="74">
        <f>G309+G313+G316</f>
        <v>253111.44</v>
      </c>
      <c r="H308" s="74"/>
      <c r="I308" s="206"/>
    </row>
    <row r="309" spans="1:8" ht="63" outlineLevel="5">
      <c r="A309" s="76" t="s">
        <v>1063</v>
      </c>
      <c r="B309" s="77" t="s">
        <v>733</v>
      </c>
      <c r="C309" s="77" t="s">
        <v>2</v>
      </c>
      <c r="D309" s="77" t="s">
        <v>22</v>
      </c>
      <c r="E309" s="77" t="s">
        <v>15</v>
      </c>
      <c r="F309" s="77" t="s">
        <v>1</v>
      </c>
      <c r="G309" s="78">
        <f>G310</f>
        <v>81201.4</v>
      </c>
      <c r="H309" s="78"/>
    </row>
    <row r="310" spans="1:8" ht="31.5" outlineLevel="6">
      <c r="A310" s="76" t="s">
        <v>430</v>
      </c>
      <c r="B310" s="77" t="s">
        <v>733</v>
      </c>
      <c r="C310" s="77" t="s">
        <v>2</v>
      </c>
      <c r="D310" s="77" t="s">
        <v>22</v>
      </c>
      <c r="E310" s="77" t="s">
        <v>16</v>
      </c>
      <c r="F310" s="77" t="s">
        <v>1</v>
      </c>
      <c r="G310" s="78">
        <f>G312+G311</f>
        <v>81201.4</v>
      </c>
      <c r="H310" s="78"/>
    </row>
    <row r="311" spans="1:8" ht="94.5" outlineLevel="7">
      <c r="A311" s="76" t="s">
        <v>708</v>
      </c>
      <c r="B311" s="77" t="s">
        <v>733</v>
      </c>
      <c r="C311" s="77" t="s">
        <v>2</v>
      </c>
      <c r="D311" s="77" t="s">
        <v>22</v>
      </c>
      <c r="E311" s="77" t="s">
        <v>16</v>
      </c>
      <c r="F311" s="77" t="s">
        <v>10</v>
      </c>
      <c r="G311" s="78">
        <v>13200</v>
      </c>
      <c r="H311" s="78"/>
    </row>
    <row r="312" spans="1:8" ht="31.5" outlineLevel="7">
      <c r="A312" s="76" t="s">
        <v>693</v>
      </c>
      <c r="B312" s="77" t="s">
        <v>733</v>
      </c>
      <c r="C312" s="77" t="s">
        <v>2</v>
      </c>
      <c r="D312" s="77" t="s">
        <v>22</v>
      </c>
      <c r="E312" s="77" t="s">
        <v>16</v>
      </c>
      <c r="F312" s="77" t="s">
        <v>17</v>
      </c>
      <c r="G312" s="78">
        <f>70001.4-2000</f>
        <v>68001.4</v>
      </c>
      <c r="H312" s="78"/>
    </row>
    <row r="313" spans="1:8" ht="15.75" outlineLevel="5">
      <c r="A313" s="76" t="s">
        <v>1064</v>
      </c>
      <c r="B313" s="77" t="s">
        <v>733</v>
      </c>
      <c r="C313" s="77" t="s">
        <v>2</v>
      </c>
      <c r="D313" s="77" t="s">
        <v>22</v>
      </c>
      <c r="E313" s="77" t="s">
        <v>18</v>
      </c>
      <c r="F313" s="77" t="s">
        <v>1</v>
      </c>
      <c r="G313" s="78">
        <f>G314</f>
        <v>78000</v>
      </c>
      <c r="H313" s="78"/>
    </row>
    <row r="314" spans="1:8" ht="31.5" outlineLevel="6">
      <c r="A314" s="76" t="s">
        <v>430</v>
      </c>
      <c r="B314" s="77" t="s">
        <v>733</v>
      </c>
      <c r="C314" s="77" t="s">
        <v>2</v>
      </c>
      <c r="D314" s="77" t="s">
        <v>22</v>
      </c>
      <c r="E314" s="77" t="s">
        <v>19</v>
      </c>
      <c r="F314" s="77" t="s">
        <v>1</v>
      </c>
      <c r="G314" s="78">
        <f>G315</f>
        <v>78000</v>
      </c>
      <c r="H314" s="78"/>
    </row>
    <row r="315" spans="1:8" ht="31.5" outlineLevel="7">
      <c r="A315" s="76" t="s">
        <v>693</v>
      </c>
      <c r="B315" s="77" t="s">
        <v>733</v>
      </c>
      <c r="C315" s="77" t="s">
        <v>2</v>
      </c>
      <c r="D315" s="77" t="s">
        <v>22</v>
      </c>
      <c r="E315" s="77" t="s">
        <v>19</v>
      </c>
      <c r="F315" s="77" t="s">
        <v>17</v>
      </c>
      <c r="G315" s="78">
        <v>78000</v>
      </c>
      <c r="H315" s="78"/>
    </row>
    <row r="316" spans="1:8" ht="47.25" outlineLevel="5">
      <c r="A316" s="76" t="s">
        <v>1062</v>
      </c>
      <c r="B316" s="77" t="s">
        <v>733</v>
      </c>
      <c r="C316" s="77" t="s">
        <v>2</v>
      </c>
      <c r="D316" s="77" t="s">
        <v>22</v>
      </c>
      <c r="E316" s="77" t="s">
        <v>8</v>
      </c>
      <c r="F316" s="77" t="s">
        <v>1</v>
      </c>
      <c r="G316" s="78">
        <f>G317</f>
        <v>93910.04000000001</v>
      </c>
      <c r="H316" s="78"/>
    </row>
    <row r="317" spans="1:8" ht="31.5" outlineLevel="6">
      <c r="A317" s="76" t="s">
        <v>430</v>
      </c>
      <c r="B317" s="77" t="s">
        <v>733</v>
      </c>
      <c r="C317" s="77" t="s">
        <v>2</v>
      </c>
      <c r="D317" s="77" t="s">
        <v>22</v>
      </c>
      <c r="E317" s="77" t="s">
        <v>9</v>
      </c>
      <c r="F317" s="77" t="s">
        <v>1</v>
      </c>
      <c r="G317" s="78">
        <f>G318+G319</f>
        <v>93910.04000000001</v>
      </c>
      <c r="H317" s="78"/>
    </row>
    <row r="318" spans="1:8" ht="94.5" outlineLevel="7">
      <c r="A318" s="76" t="s">
        <v>708</v>
      </c>
      <c r="B318" s="77" t="s">
        <v>733</v>
      </c>
      <c r="C318" s="77" t="s">
        <v>2</v>
      </c>
      <c r="D318" s="77" t="s">
        <v>22</v>
      </c>
      <c r="E318" s="77" t="s">
        <v>9</v>
      </c>
      <c r="F318" s="77" t="s">
        <v>10</v>
      </c>
      <c r="G318" s="78">
        <v>48910.04</v>
      </c>
      <c r="H318" s="78"/>
    </row>
    <row r="319" spans="1:8" ht="31.5" outlineLevel="7">
      <c r="A319" s="76" t="s">
        <v>693</v>
      </c>
      <c r="B319" s="77" t="s">
        <v>733</v>
      </c>
      <c r="C319" s="77" t="s">
        <v>2</v>
      </c>
      <c r="D319" s="77" t="s">
        <v>22</v>
      </c>
      <c r="E319" s="77" t="s">
        <v>9</v>
      </c>
      <c r="F319" s="77" t="s">
        <v>17</v>
      </c>
      <c r="G319" s="78">
        <v>45000</v>
      </c>
      <c r="H319" s="78"/>
    </row>
    <row r="320" spans="1:9" s="75" customFormat="1" ht="15.75" outlineLevel="2">
      <c r="A320" s="72" t="s">
        <v>668</v>
      </c>
      <c r="B320" s="73" t="s">
        <v>733</v>
      </c>
      <c r="C320" s="73" t="s">
        <v>2</v>
      </c>
      <c r="D320" s="73" t="s">
        <v>66</v>
      </c>
      <c r="E320" s="73" t="s">
        <v>4</v>
      </c>
      <c r="F320" s="73" t="s">
        <v>1</v>
      </c>
      <c r="G320" s="74">
        <f>G321+G326+G333+G341+G372</f>
        <v>40904034.34</v>
      </c>
      <c r="H320" s="74"/>
      <c r="I320" s="206"/>
    </row>
    <row r="321" spans="1:9" s="75" customFormat="1" ht="47.25" outlineLevel="3">
      <c r="A321" s="72" t="s">
        <v>658</v>
      </c>
      <c r="B321" s="73" t="s">
        <v>733</v>
      </c>
      <c r="C321" s="73" t="s">
        <v>2</v>
      </c>
      <c r="D321" s="73" t="s">
        <v>66</v>
      </c>
      <c r="E321" s="73" t="s">
        <v>71</v>
      </c>
      <c r="F321" s="73" t="s">
        <v>1</v>
      </c>
      <c r="G321" s="74">
        <f>G322</f>
        <v>287000</v>
      </c>
      <c r="H321" s="74"/>
      <c r="I321" s="206"/>
    </row>
    <row r="322" spans="1:9" s="75" customFormat="1" ht="47.25" outlineLevel="4">
      <c r="A322" s="72" t="s">
        <v>621</v>
      </c>
      <c r="B322" s="73" t="s">
        <v>733</v>
      </c>
      <c r="C322" s="73" t="s">
        <v>2</v>
      </c>
      <c r="D322" s="73" t="s">
        <v>66</v>
      </c>
      <c r="E322" s="73" t="s">
        <v>77</v>
      </c>
      <c r="F322" s="73" t="s">
        <v>1</v>
      </c>
      <c r="G322" s="74">
        <f>G323</f>
        <v>287000</v>
      </c>
      <c r="H322" s="74"/>
      <c r="I322" s="206"/>
    </row>
    <row r="323" spans="1:8" ht="63" outlineLevel="5">
      <c r="A323" s="76" t="s">
        <v>1094</v>
      </c>
      <c r="B323" s="77" t="s">
        <v>733</v>
      </c>
      <c r="C323" s="77" t="s">
        <v>2</v>
      </c>
      <c r="D323" s="77" t="s">
        <v>66</v>
      </c>
      <c r="E323" s="77" t="s">
        <v>78</v>
      </c>
      <c r="F323" s="77" t="s">
        <v>1</v>
      </c>
      <c r="G323" s="78">
        <f>G324</f>
        <v>287000</v>
      </c>
      <c r="H323" s="78"/>
    </row>
    <row r="324" spans="1:8" ht="31.5" outlineLevel="6">
      <c r="A324" s="76" t="s">
        <v>441</v>
      </c>
      <c r="B324" s="77" t="s">
        <v>733</v>
      </c>
      <c r="C324" s="77" t="s">
        <v>2</v>
      </c>
      <c r="D324" s="77" t="s">
        <v>66</v>
      </c>
      <c r="E324" s="77" t="s">
        <v>79</v>
      </c>
      <c r="F324" s="77" t="s">
        <v>1</v>
      </c>
      <c r="G324" s="78">
        <f>G325</f>
        <v>287000</v>
      </c>
      <c r="H324" s="78"/>
    </row>
    <row r="325" spans="1:8" ht="31.5" outlineLevel="7">
      <c r="A325" s="76" t="s">
        <v>693</v>
      </c>
      <c r="B325" s="77" t="s">
        <v>733</v>
      </c>
      <c r="C325" s="77" t="s">
        <v>2</v>
      </c>
      <c r="D325" s="77" t="s">
        <v>66</v>
      </c>
      <c r="E325" s="77" t="s">
        <v>79</v>
      </c>
      <c r="F325" s="77" t="s">
        <v>17</v>
      </c>
      <c r="G325" s="78">
        <v>287000</v>
      </c>
      <c r="H325" s="78"/>
    </row>
    <row r="326" spans="1:9" s="75" customFormat="1" ht="63" outlineLevel="4">
      <c r="A326" s="72" t="s">
        <v>623</v>
      </c>
      <c r="B326" s="73" t="s">
        <v>733</v>
      </c>
      <c r="C326" s="73" t="s">
        <v>2</v>
      </c>
      <c r="D326" s="73" t="s">
        <v>66</v>
      </c>
      <c r="E326" s="73" t="s">
        <v>83</v>
      </c>
      <c r="F326" s="73" t="s">
        <v>1</v>
      </c>
      <c r="G326" s="74">
        <f>G327+G330</f>
        <v>150500</v>
      </c>
      <c r="H326" s="74"/>
      <c r="I326" s="206"/>
    </row>
    <row r="327" spans="1:8" ht="47.25" outlineLevel="5">
      <c r="A327" s="76" t="s">
        <v>1095</v>
      </c>
      <c r="B327" s="77" t="s">
        <v>733</v>
      </c>
      <c r="C327" s="77" t="s">
        <v>2</v>
      </c>
      <c r="D327" s="77" t="s">
        <v>66</v>
      </c>
      <c r="E327" s="77" t="s">
        <v>84</v>
      </c>
      <c r="F327" s="77" t="s">
        <v>1</v>
      </c>
      <c r="G327" s="78">
        <f>G328</f>
        <v>50500</v>
      </c>
      <c r="H327" s="78"/>
    </row>
    <row r="328" spans="1:8" ht="31.5" outlineLevel="6">
      <c r="A328" s="76" t="s">
        <v>441</v>
      </c>
      <c r="B328" s="77" t="s">
        <v>733</v>
      </c>
      <c r="C328" s="77" t="s">
        <v>2</v>
      </c>
      <c r="D328" s="77" t="s">
        <v>66</v>
      </c>
      <c r="E328" s="77" t="s">
        <v>85</v>
      </c>
      <c r="F328" s="77" t="s">
        <v>1</v>
      </c>
      <c r="G328" s="78">
        <f>G329</f>
        <v>50500</v>
      </c>
      <c r="H328" s="78"/>
    </row>
    <row r="329" spans="1:8" ht="31.5" outlineLevel="7">
      <c r="A329" s="76" t="s">
        <v>693</v>
      </c>
      <c r="B329" s="77" t="s">
        <v>733</v>
      </c>
      <c r="C329" s="77" t="s">
        <v>2</v>
      </c>
      <c r="D329" s="77" t="s">
        <v>66</v>
      </c>
      <c r="E329" s="77" t="s">
        <v>85</v>
      </c>
      <c r="F329" s="77" t="s">
        <v>17</v>
      </c>
      <c r="G329" s="78">
        <v>50500</v>
      </c>
      <c r="H329" s="78"/>
    </row>
    <row r="330" spans="1:8" ht="31.5" outlineLevel="5">
      <c r="A330" s="76" t="s">
        <v>1096</v>
      </c>
      <c r="B330" s="77" t="s">
        <v>733</v>
      </c>
      <c r="C330" s="77" t="s">
        <v>2</v>
      </c>
      <c r="D330" s="77" t="s">
        <v>66</v>
      </c>
      <c r="E330" s="77" t="s">
        <v>86</v>
      </c>
      <c r="F330" s="77" t="s">
        <v>1</v>
      </c>
      <c r="G330" s="78">
        <f>G331</f>
        <v>100000</v>
      </c>
      <c r="H330" s="78"/>
    </row>
    <row r="331" spans="1:8" ht="31.5" outlineLevel="6">
      <c r="A331" s="76" t="s">
        <v>441</v>
      </c>
      <c r="B331" s="77" t="s">
        <v>733</v>
      </c>
      <c r="C331" s="77" t="s">
        <v>2</v>
      </c>
      <c r="D331" s="77" t="s">
        <v>66</v>
      </c>
      <c r="E331" s="77" t="s">
        <v>87</v>
      </c>
      <c r="F331" s="77" t="s">
        <v>1</v>
      </c>
      <c r="G331" s="78">
        <f>G332</f>
        <v>100000</v>
      </c>
      <c r="H331" s="78"/>
    </row>
    <row r="332" spans="1:8" ht="31.5" outlineLevel="7">
      <c r="A332" s="76" t="s">
        <v>693</v>
      </c>
      <c r="B332" s="77" t="s">
        <v>733</v>
      </c>
      <c r="C332" s="77" t="s">
        <v>2</v>
      </c>
      <c r="D332" s="77" t="s">
        <v>66</v>
      </c>
      <c r="E332" s="77" t="s">
        <v>87</v>
      </c>
      <c r="F332" s="77" t="s">
        <v>17</v>
      </c>
      <c r="G332" s="78">
        <v>100000</v>
      </c>
      <c r="H332" s="78"/>
    </row>
    <row r="333" spans="1:9" s="75" customFormat="1" ht="47.25" outlineLevel="3">
      <c r="A333" s="72" t="s">
        <v>659</v>
      </c>
      <c r="B333" s="73" t="s">
        <v>733</v>
      </c>
      <c r="C333" s="73" t="s">
        <v>2</v>
      </c>
      <c r="D333" s="73" t="s">
        <v>66</v>
      </c>
      <c r="E333" s="73" t="s">
        <v>90</v>
      </c>
      <c r="F333" s="73" t="s">
        <v>1</v>
      </c>
      <c r="G333" s="74">
        <f>G334</f>
        <v>1555765.32</v>
      </c>
      <c r="H333" s="74"/>
      <c r="I333" s="206"/>
    </row>
    <row r="334" spans="1:9" s="75" customFormat="1" ht="47.25" outlineLevel="4">
      <c r="A334" s="72" t="s">
        <v>624</v>
      </c>
      <c r="B334" s="73" t="s">
        <v>733</v>
      </c>
      <c r="C334" s="73" t="s">
        <v>2</v>
      </c>
      <c r="D334" s="73" t="s">
        <v>66</v>
      </c>
      <c r="E334" s="73" t="s">
        <v>91</v>
      </c>
      <c r="F334" s="73" t="s">
        <v>1</v>
      </c>
      <c r="G334" s="74">
        <f>G335+G338</f>
        <v>1555765.32</v>
      </c>
      <c r="H334" s="74"/>
      <c r="I334" s="206"/>
    </row>
    <row r="335" spans="1:8" ht="47.25" outlineLevel="5">
      <c r="A335" s="76" t="s">
        <v>1066</v>
      </c>
      <c r="B335" s="77" t="s">
        <v>733</v>
      </c>
      <c r="C335" s="77" t="s">
        <v>2</v>
      </c>
      <c r="D335" s="77" t="s">
        <v>66</v>
      </c>
      <c r="E335" s="77" t="s">
        <v>94</v>
      </c>
      <c r="F335" s="77" t="s">
        <v>1</v>
      </c>
      <c r="G335" s="78">
        <f>G336</f>
        <v>728975.4</v>
      </c>
      <c r="H335" s="78"/>
    </row>
    <row r="336" spans="1:8" ht="31.5" outlineLevel="6">
      <c r="A336" s="76" t="s">
        <v>441</v>
      </c>
      <c r="B336" s="77" t="s">
        <v>733</v>
      </c>
      <c r="C336" s="77" t="s">
        <v>2</v>
      </c>
      <c r="D336" s="77" t="s">
        <v>66</v>
      </c>
      <c r="E336" s="77" t="s">
        <v>95</v>
      </c>
      <c r="F336" s="77" t="s">
        <v>1</v>
      </c>
      <c r="G336" s="78">
        <f>G337</f>
        <v>728975.4</v>
      </c>
      <c r="H336" s="78"/>
    </row>
    <row r="337" spans="1:8" ht="31.5" outlineLevel="7">
      <c r="A337" s="76" t="s">
        <v>693</v>
      </c>
      <c r="B337" s="77" t="s">
        <v>733</v>
      </c>
      <c r="C337" s="77" t="s">
        <v>2</v>
      </c>
      <c r="D337" s="77" t="s">
        <v>66</v>
      </c>
      <c r="E337" s="77" t="s">
        <v>95</v>
      </c>
      <c r="F337" s="77" t="s">
        <v>17</v>
      </c>
      <c r="G337" s="78">
        <v>728975.4</v>
      </c>
      <c r="H337" s="78"/>
    </row>
    <row r="338" spans="1:8" ht="31.5" outlineLevel="5">
      <c r="A338" s="76" t="s">
        <v>1074</v>
      </c>
      <c r="B338" s="77" t="s">
        <v>733</v>
      </c>
      <c r="C338" s="77" t="s">
        <v>2</v>
      </c>
      <c r="D338" s="77" t="s">
        <v>66</v>
      </c>
      <c r="E338" s="77" t="s">
        <v>100</v>
      </c>
      <c r="F338" s="77" t="s">
        <v>1</v>
      </c>
      <c r="G338" s="78">
        <f>G339</f>
        <v>826789.92</v>
      </c>
      <c r="H338" s="78"/>
    </row>
    <row r="339" spans="1:8" ht="31.5" outlineLevel="6">
      <c r="A339" s="76" t="s">
        <v>441</v>
      </c>
      <c r="B339" s="77" t="s">
        <v>733</v>
      </c>
      <c r="C339" s="77" t="s">
        <v>2</v>
      </c>
      <c r="D339" s="77" t="s">
        <v>66</v>
      </c>
      <c r="E339" s="77" t="s">
        <v>101</v>
      </c>
      <c r="F339" s="77" t="s">
        <v>1</v>
      </c>
      <c r="G339" s="78">
        <f>G340</f>
        <v>826789.92</v>
      </c>
      <c r="H339" s="78"/>
    </row>
    <row r="340" spans="1:8" ht="31.5" outlineLevel="7">
      <c r="A340" s="76" t="s">
        <v>693</v>
      </c>
      <c r="B340" s="77" t="s">
        <v>733</v>
      </c>
      <c r="C340" s="77" t="s">
        <v>2</v>
      </c>
      <c r="D340" s="77" t="s">
        <v>66</v>
      </c>
      <c r="E340" s="77" t="s">
        <v>101</v>
      </c>
      <c r="F340" s="77" t="s">
        <v>17</v>
      </c>
      <c r="G340" s="78">
        <f>715189.92+111600</f>
        <v>826789.92</v>
      </c>
      <c r="H340" s="78"/>
    </row>
    <row r="341" spans="1:9" s="75" customFormat="1" ht="63" outlineLevel="3">
      <c r="A341" s="72" t="s">
        <v>656</v>
      </c>
      <c r="B341" s="73" t="s">
        <v>733</v>
      </c>
      <c r="C341" s="73" t="s">
        <v>2</v>
      </c>
      <c r="D341" s="73" t="s">
        <v>66</v>
      </c>
      <c r="E341" s="73" t="s">
        <v>6</v>
      </c>
      <c r="F341" s="73" t="s">
        <v>1</v>
      </c>
      <c r="G341" s="74">
        <f>G342+G346+G368</f>
        <v>28690062.509999998</v>
      </c>
      <c r="H341" s="74"/>
      <c r="I341" s="206"/>
    </row>
    <row r="342" spans="1:9" s="75" customFormat="1" ht="47.25" outlineLevel="4">
      <c r="A342" s="72" t="s">
        <v>617</v>
      </c>
      <c r="B342" s="73" t="s">
        <v>733</v>
      </c>
      <c r="C342" s="73" t="s">
        <v>2</v>
      </c>
      <c r="D342" s="73" t="s">
        <v>66</v>
      </c>
      <c r="E342" s="73" t="s">
        <v>51</v>
      </c>
      <c r="F342" s="73" t="s">
        <v>1</v>
      </c>
      <c r="G342" s="74">
        <f>G343</f>
        <v>181941.02000000002</v>
      </c>
      <c r="H342" s="74"/>
      <c r="I342" s="206"/>
    </row>
    <row r="343" spans="1:8" ht="78.75" outlineLevel="5">
      <c r="A343" s="76" t="s">
        <v>1097</v>
      </c>
      <c r="B343" s="77" t="s">
        <v>733</v>
      </c>
      <c r="C343" s="77" t="s">
        <v>2</v>
      </c>
      <c r="D343" s="77" t="s">
        <v>66</v>
      </c>
      <c r="E343" s="77" t="s">
        <v>113</v>
      </c>
      <c r="F343" s="77" t="s">
        <v>1</v>
      </c>
      <c r="G343" s="78">
        <f>G344</f>
        <v>181941.02000000002</v>
      </c>
      <c r="H343" s="78"/>
    </row>
    <row r="344" spans="1:8" ht="47.25" outlineLevel="6">
      <c r="A344" s="76" t="s">
        <v>446</v>
      </c>
      <c r="B344" s="77" t="s">
        <v>733</v>
      </c>
      <c r="C344" s="77" t="s">
        <v>2</v>
      </c>
      <c r="D344" s="77" t="s">
        <v>66</v>
      </c>
      <c r="E344" s="77" t="s">
        <v>114</v>
      </c>
      <c r="F344" s="77" t="s">
        <v>1</v>
      </c>
      <c r="G344" s="78">
        <f>G345</f>
        <v>181941.02000000002</v>
      </c>
      <c r="H344" s="78"/>
    </row>
    <row r="345" spans="1:8" ht="31.5" outlineLevel="7">
      <c r="A345" s="76" t="s">
        <v>693</v>
      </c>
      <c r="B345" s="77" t="s">
        <v>733</v>
      </c>
      <c r="C345" s="77" t="s">
        <v>2</v>
      </c>
      <c r="D345" s="77" t="s">
        <v>66</v>
      </c>
      <c r="E345" s="77" t="s">
        <v>114</v>
      </c>
      <c r="F345" s="77" t="s">
        <v>17</v>
      </c>
      <c r="G345" s="78">
        <f>415525.02-280000+46416</f>
        <v>181941.02000000002</v>
      </c>
      <c r="H345" s="78"/>
    </row>
    <row r="346" spans="1:9" s="75" customFormat="1" ht="63" outlineLevel="4">
      <c r="A346" s="72" t="s">
        <v>627</v>
      </c>
      <c r="B346" s="73" t="s">
        <v>733</v>
      </c>
      <c r="C346" s="73" t="s">
        <v>2</v>
      </c>
      <c r="D346" s="73" t="s">
        <v>66</v>
      </c>
      <c r="E346" s="73" t="s">
        <v>119</v>
      </c>
      <c r="F346" s="73" t="s">
        <v>1</v>
      </c>
      <c r="G346" s="74">
        <f>G347+G354+G357+G361+G365</f>
        <v>28409365.49</v>
      </c>
      <c r="H346" s="74"/>
      <c r="I346" s="206"/>
    </row>
    <row r="347" spans="1:8" ht="110.25" outlineLevel="5">
      <c r="A347" s="76" t="s">
        <v>1098</v>
      </c>
      <c r="B347" s="77" t="s">
        <v>733</v>
      </c>
      <c r="C347" s="77" t="s">
        <v>2</v>
      </c>
      <c r="D347" s="77" t="s">
        <v>66</v>
      </c>
      <c r="E347" s="77" t="s">
        <v>120</v>
      </c>
      <c r="F347" s="77" t="s">
        <v>1</v>
      </c>
      <c r="G347" s="78">
        <f>G348+G352</f>
        <v>20196796.09</v>
      </c>
      <c r="H347" s="78"/>
    </row>
    <row r="348" spans="1:8" ht="78.75" outlineLevel="6">
      <c r="A348" s="76" t="s">
        <v>443</v>
      </c>
      <c r="B348" s="77" t="s">
        <v>733</v>
      </c>
      <c r="C348" s="77" t="s">
        <v>2</v>
      </c>
      <c r="D348" s="77" t="s">
        <v>66</v>
      </c>
      <c r="E348" s="77" t="s">
        <v>121</v>
      </c>
      <c r="F348" s="77" t="s">
        <v>1</v>
      </c>
      <c r="G348" s="78">
        <f>G349+G350+G351</f>
        <v>19751490.51</v>
      </c>
      <c r="H348" s="78"/>
    </row>
    <row r="349" spans="1:8" ht="94.5" outlineLevel="7">
      <c r="A349" s="76" t="s">
        <v>708</v>
      </c>
      <c r="B349" s="77" t="s">
        <v>733</v>
      </c>
      <c r="C349" s="77" t="s">
        <v>2</v>
      </c>
      <c r="D349" s="77" t="s">
        <v>66</v>
      </c>
      <c r="E349" s="77" t="s">
        <v>121</v>
      </c>
      <c r="F349" s="77" t="s">
        <v>10</v>
      </c>
      <c r="G349" s="78">
        <f>17709740.98+644722.26+194706.12+17000</f>
        <v>18566169.360000003</v>
      </c>
      <c r="H349" s="78"/>
    </row>
    <row r="350" spans="1:8" ht="31.5" outlineLevel="7">
      <c r="A350" s="76" t="s">
        <v>693</v>
      </c>
      <c r="B350" s="77" t="s">
        <v>733</v>
      </c>
      <c r="C350" s="77" t="s">
        <v>2</v>
      </c>
      <c r="D350" s="77" t="s">
        <v>66</v>
      </c>
      <c r="E350" s="77" t="s">
        <v>121</v>
      </c>
      <c r="F350" s="77" t="s">
        <v>17</v>
      </c>
      <c r="G350" s="78">
        <f>1029349.53-2000-800+172971.62-17000</f>
        <v>1182521.15</v>
      </c>
      <c r="H350" s="78"/>
    </row>
    <row r="351" spans="1:8" ht="15.75" outlineLevel="7">
      <c r="A351" s="19" t="s">
        <v>695</v>
      </c>
      <c r="B351" s="77" t="s">
        <v>733</v>
      </c>
      <c r="C351" s="77" t="s">
        <v>2</v>
      </c>
      <c r="D351" s="77" t="s">
        <v>66</v>
      </c>
      <c r="E351" s="77" t="s">
        <v>121</v>
      </c>
      <c r="F351" s="77" t="s">
        <v>65</v>
      </c>
      <c r="G351" s="78">
        <f>2000+800</f>
        <v>2800</v>
      </c>
      <c r="H351" s="78"/>
    </row>
    <row r="352" spans="1:8" ht="78.75" outlineLevel="6">
      <c r="A352" s="76" t="s">
        <v>432</v>
      </c>
      <c r="B352" s="77" t="s">
        <v>733</v>
      </c>
      <c r="C352" s="77" t="s">
        <v>2</v>
      </c>
      <c r="D352" s="77" t="s">
        <v>66</v>
      </c>
      <c r="E352" s="77" t="s">
        <v>122</v>
      </c>
      <c r="F352" s="77" t="s">
        <v>1</v>
      </c>
      <c r="G352" s="78">
        <f>G353</f>
        <v>445305.58</v>
      </c>
      <c r="H352" s="78"/>
    </row>
    <row r="353" spans="1:8" ht="94.5" outlineLevel="7">
      <c r="A353" s="76" t="s">
        <v>708</v>
      </c>
      <c r="B353" s="77" t="s">
        <v>733</v>
      </c>
      <c r="C353" s="77" t="s">
        <v>2</v>
      </c>
      <c r="D353" s="77" t="s">
        <v>66</v>
      </c>
      <c r="E353" s="77" t="s">
        <v>122</v>
      </c>
      <c r="F353" s="77" t="s">
        <v>10</v>
      </c>
      <c r="G353" s="78">
        <v>445305.58</v>
      </c>
      <c r="H353" s="78"/>
    </row>
    <row r="354" spans="1:8" ht="63" outlineLevel="5">
      <c r="A354" s="76" t="s">
        <v>1099</v>
      </c>
      <c r="B354" s="77" t="s">
        <v>733</v>
      </c>
      <c r="C354" s="77" t="s">
        <v>2</v>
      </c>
      <c r="D354" s="77" t="s">
        <v>66</v>
      </c>
      <c r="E354" s="77" t="s">
        <v>123</v>
      </c>
      <c r="F354" s="77" t="s">
        <v>1</v>
      </c>
      <c r="G354" s="78">
        <f>G355</f>
        <v>35908</v>
      </c>
      <c r="H354" s="78"/>
    </row>
    <row r="355" spans="1:8" ht="78.75" outlineLevel="6">
      <c r="A355" s="76" t="s">
        <v>443</v>
      </c>
      <c r="B355" s="77" t="s">
        <v>733</v>
      </c>
      <c r="C355" s="77" t="s">
        <v>2</v>
      </c>
      <c r="D355" s="77" t="s">
        <v>66</v>
      </c>
      <c r="E355" s="77" t="s">
        <v>124</v>
      </c>
      <c r="F355" s="77" t="s">
        <v>1</v>
      </c>
      <c r="G355" s="78">
        <f>G356</f>
        <v>35908</v>
      </c>
      <c r="H355" s="78"/>
    </row>
    <row r="356" spans="1:8" ht="31.5" outlineLevel="7">
      <c r="A356" s="76" t="s">
        <v>693</v>
      </c>
      <c r="B356" s="77" t="s">
        <v>733</v>
      </c>
      <c r="C356" s="77" t="s">
        <v>2</v>
      </c>
      <c r="D356" s="77" t="s">
        <v>66</v>
      </c>
      <c r="E356" s="77" t="s">
        <v>124</v>
      </c>
      <c r="F356" s="77" t="s">
        <v>17</v>
      </c>
      <c r="G356" s="78">
        <v>35908</v>
      </c>
      <c r="H356" s="78"/>
    </row>
    <row r="357" spans="1:8" ht="47.25" outlineLevel="5">
      <c r="A357" s="76" t="s">
        <v>1100</v>
      </c>
      <c r="B357" s="77" t="s">
        <v>733</v>
      </c>
      <c r="C357" s="77" t="s">
        <v>2</v>
      </c>
      <c r="D357" s="77" t="s">
        <v>66</v>
      </c>
      <c r="E357" s="77" t="s">
        <v>125</v>
      </c>
      <c r="F357" s="77" t="s">
        <v>1</v>
      </c>
      <c r="G357" s="78">
        <f>G358</f>
        <v>5588721.359999999</v>
      </c>
      <c r="H357" s="78"/>
    </row>
    <row r="358" spans="1:8" ht="78.75" outlineLevel="6">
      <c r="A358" s="76" t="s">
        <v>443</v>
      </c>
      <c r="B358" s="77" t="s">
        <v>733</v>
      </c>
      <c r="C358" s="77" t="s">
        <v>2</v>
      </c>
      <c r="D358" s="77" t="s">
        <v>66</v>
      </c>
      <c r="E358" s="77" t="s">
        <v>126</v>
      </c>
      <c r="F358" s="77" t="s">
        <v>1</v>
      </c>
      <c r="G358" s="78">
        <f>G359+G360</f>
        <v>5588721.359999999</v>
      </c>
      <c r="H358" s="78"/>
    </row>
    <row r="359" spans="1:8" ht="94.5" outlineLevel="7">
      <c r="A359" s="76" t="s">
        <v>708</v>
      </c>
      <c r="B359" s="77" t="s">
        <v>733</v>
      </c>
      <c r="C359" s="77" t="s">
        <v>2</v>
      </c>
      <c r="D359" s="77" t="s">
        <v>66</v>
      </c>
      <c r="E359" s="77" t="s">
        <v>126</v>
      </c>
      <c r="F359" s="77" t="s">
        <v>10</v>
      </c>
      <c r="G359" s="78">
        <v>5040338.6</v>
      </c>
      <c r="H359" s="78"/>
    </row>
    <row r="360" spans="1:8" ht="31.5" outlineLevel="7">
      <c r="A360" s="76" t="s">
        <v>693</v>
      </c>
      <c r="B360" s="77" t="s">
        <v>733</v>
      </c>
      <c r="C360" s="77" t="s">
        <v>2</v>
      </c>
      <c r="D360" s="77" t="s">
        <v>66</v>
      </c>
      <c r="E360" s="77" t="s">
        <v>126</v>
      </c>
      <c r="F360" s="77" t="s">
        <v>17</v>
      </c>
      <c r="G360" s="78">
        <v>548382.76</v>
      </c>
      <c r="H360" s="78"/>
    </row>
    <row r="361" spans="1:8" ht="63" outlineLevel="5">
      <c r="A361" s="76" t="s">
        <v>1101</v>
      </c>
      <c r="B361" s="77" t="s">
        <v>733</v>
      </c>
      <c r="C361" s="77" t="s">
        <v>2</v>
      </c>
      <c r="D361" s="77" t="s">
        <v>66</v>
      </c>
      <c r="E361" s="77" t="s">
        <v>127</v>
      </c>
      <c r="F361" s="77" t="s">
        <v>1</v>
      </c>
      <c r="G361" s="78">
        <f>G362</f>
        <v>472380</v>
      </c>
      <c r="H361" s="78"/>
    </row>
    <row r="362" spans="1:8" ht="31.5" outlineLevel="6">
      <c r="A362" s="76" t="s">
        <v>441</v>
      </c>
      <c r="B362" s="77" t="s">
        <v>733</v>
      </c>
      <c r="C362" s="77" t="s">
        <v>2</v>
      </c>
      <c r="D362" s="77" t="s">
        <v>66</v>
      </c>
      <c r="E362" s="77" t="s">
        <v>128</v>
      </c>
      <c r="F362" s="77" t="s">
        <v>1</v>
      </c>
      <c r="G362" s="78">
        <f>G363+G364</f>
        <v>472380</v>
      </c>
      <c r="H362" s="78"/>
    </row>
    <row r="363" spans="1:8" ht="31.5" outlineLevel="7">
      <c r="A363" s="76" t="s">
        <v>694</v>
      </c>
      <c r="B363" s="77" t="s">
        <v>733</v>
      </c>
      <c r="C363" s="77" t="s">
        <v>2</v>
      </c>
      <c r="D363" s="77" t="s">
        <v>66</v>
      </c>
      <c r="E363" s="77" t="s">
        <v>128</v>
      </c>
      <c r="F363" s="77" t="s">
        <v>47</v>
      </c>
      <c r="G363" s="78">
        <v>340380</v>
      </c>
      <c r="H363" s="78"/>
    </row>
    <row r="364" spans="1:8" ht="15.75" outlineLevel="7">
      <c r="A364" s="76" t="s">
        <v>695</v>
      </c>
      <c r="B364" s="77" t="s">
        <v>733</v>
      </c>
      <c r="C364" s="77" t="s">
        <v>2</v>
      </c>
      <c r="D364" s="77" t="s">
        <v>66</v>
      </c>
      <c r="E364" s="77" t="s">
        <v>128</v>
      </c>
      <c r="F364" s="77" t="s">
        <v>65</v>
      </c>
      <c r="G364" s="78">
        <v>132000</v>
      </c>
      <c r="H364" s="78"/>
    </row>
    <row r="365" spans="1:8" ht="63" outlineLevel="5">
      <c r="A365" s="76" t="s">
        <v>1102</v>
      </c>
      <c r="B365" s="77" t="s">
        <v>733</v>
      </c>
      <c r="C365" s="77" t="s">
        <v>2</v>
      </c>
      <c r="D365" s="77" t="s">
        <v>66</v>
      </c>
      <c r="E365" s="77" t="s">
        <v>129</v>
      </c>
      <c r="F365" s="77" t="s">
        <v>1</v>
      </c>
      <c r="G365" s="78">
        <f>G366</f>
        <v>2115560.04</v>
      </c>
      <c r="H365" s="78"/>
    </row>
    <row r="366" spans="1:8" ht="78.75" outlineLevel="6">
      <c r="A366" s="76" t="s">
        <v>443</v>
      </c>
      <c r="B366" s="77" t="s">
        <v>733</v>
      </c>
      <c r="C366" s="77" t="s">
        <v>2</v>
      </c>
      <c r="D366" s="77" t="s">
        <v>66</v>
      </c>
      <c r="E366" s="77" t="s">
        <v>130</v>
      </c>
      <c r="F366" s="77" t="s">
        <v>1</v>
      </c>
      <c r="G366" s="78">
        <f>G367</f>
        <v>2115560.04</v>
      </c>
      <c r="H366" s="78"/>
    </row>
    <row r="367" spans="1:8" ht="94.5" outlineLevel="7">
      <c r="A367" s="76" t="s">
        <v>708</v>
      </c>
      <c r="B367" s="77" t="s">
        <v>733</v>
      </c>
      <c r="C367" s="77" t="s">
        <v>2</v>
      </c>
      <c r="D367" s="77" t="s">
        <v>66</v>
      </c>
      <c r="E367" s="77" t="s">
        <v>130</v>
      </c>
      <c r="F367" s="77" t="s">
        <v>10</v>
      </c>
      <c r="G367" s="78">
        <v>2115560.04</v>
      </c>
      <c r="H367" s="78"/>
    </row>
    <row r="368" spans="1:9" s="75" customFormat="1" ht="47.25" outlineLevel="4">
      <c r="A368" s="72" t="s">
        <v>628</v>
      </c>
      <c r="B368" s="73" t="s">
        <v>733</v>
      </c>
      <c r="C368" s="73" t="s">
        <v>2</v>
      </c>
      <c r="D368" s="73" t="s">
        <v>66</v>
      </c>
      <c r="E368" s="73" t="s">
        <v>131</v>
      </c>
      <c r="F368" s="73" t="s">
        <v>1</v>
      </c>
      <c r="G368" s="74">
        <f>G369</f>
        <v>98756</v>
      </c>
      <c r="H368" s="74"/>
      <c r="I368" s="206"/>
    </row>
    <row r="369" spans="1:8" ht="31.5" outlineLevel="5">
      <c r="A369" s="76" t="s">
        <v>1067</v>
      </c>
      <c r="B369" s="77" t="s">
        <v>733</v>
      </c>
      <c r="C369" s="77" t="s">
        <v>2</v>
      </c>
      <c r="D369" s="77" t="s">
        <v>66</v>
      </c>
      <c r="E369" s="77" t="s">
        <v>138</v>
      </c>
      <c r="F369" s="77" t="s">
        <v>1</v>
      </c>
      <c r="G369" s="78">
        <f>G370</f>
        <v>98756</v>
      </c>
      <c r="H369" s="78"/>
    </row>
    <row r="370" spans="1:8" ht="31.5" outlineLevel="6">
      <c r="A370" s="76" t="s">
        <v>441</v>
      </c>
      <c r="B370" s="77" t="s">
        <v>733</v>
      </c>
      <c r="C370" s="77" t="s">
        <v>2</v>
      </c>
      <c r="D370" s="77" t="s">
        <v>66</v>
      </c>
      <c r="E370" s="77" t="s">
        <v>140</v>
      </c>
      <c r="F370" s="77" t="s">
        <v>1</v>
      </c>
      <c r="G370" s="78">
        <f>G371</f>
        <v>98756</v>
      </c>
      <c r="H370" s="78"/>
    </row>
    <row r="371" spans="1:8" ht="31.5" outlineLevel="7">
      <c r="A371" s="76" t="s">
        <v>693</v>
      </c>
      <c r="B371" s="77" t="s">
        <v>733</v>
      </c>
      <c r="C371" s="77" t="s">
        <v>2</v>
      </c>
      <c r="D371" s="77" t="s">
        <v>66</v>
      </c>
      <c r="E371" s="77" t="s">
        <v>140</v>
      </c>
      <c r="F371" s="77" t="s">
        <v>17</v>
      </c>
      <c r="G371" s="78">
        <v>98756</v>
      </c>
      <c r="H371" s="78"/>
    </row>
    <row r="372" spans="1:9" s="75" customFormat="1" ht="15.75" outlineLevel="3">
      <c r="A372" s="72" t="s">
        <v>490</v>
      </c>
      <c r="B372" s="73" t="s">
        <v>733</v>
      </c>
      <c r="C372" s="73" t="s">
        <v>2</v>
      </c>
      <c r="D372" s="73" t="s">
        <v>66</v>
      </c>
      <c r="E372" s="73" t="s">
        <v>11</v>
      </c>
      <c r="F372" s="73" t="s">
        <v>1</v>
      </c>
      <c r="G372" s="74">
        <f>G375+G373</f>
        <v>10220706.510000002</v>
      </c>
      <c r="H372" s="74"/>
      <c r="I372" s="206"/>
    </row>
    <row r="373" spans="1:9" s="75" customFormat="1" ht="15.75" outlineLevel="3">
      <c r="A373" s="76" t="s">
        <v>1234</v>
      </c>
      <c r="B373" s="77" t="s">
        <v>733</v>
      </c>
      <c r="C373" s="77" t="s">
        <v>2</v>
      </c>
      <c r="D373" s="77" t="s">
        <v>66</v>
      </c>
      <c r="E373" s="77" t="s">
        <v>1235</v>
      </c>
      <c r="F373" s="77" t="s">
        <v>1</v>
      </c>
      <c r="G373" s="78">
        <f>G374</f>
        <v>720000</v>
      </c>
      <c r="H373" s="78"/>
      <c r="I373" s="206"/>
    </row>
    <row r="374" spans="1:9" s="75" customFormat="1" ht="15.75" outlineLevel="3">
      <c r="A374" s="76" t="s">
        <v>695</v>
      </c>
      <c r="B374" s="77" t="s">
        <v>733</v>
      </c>
      <c r="C374" s="77" t="s">
        <v>2</v>
      </c>
      <c r="D374" s="77" t="s">
        <v>66</v>
      </c>
      <c r="E374" s="77" t="s">
        <v>1235</v>
      </c>
      <c r="F374" s="77" t="s">
        <v>65</v>
      </c>
      <c r="G374" s="78">
        <f>300000+10000+410000</f>
        <v>720000</v>
      </c>
      <c r="H374" s="78"/>
      <c r="I374" s="206"/>
    </row>
    <row r="375" spans="1:8" ht="31.5" outlineLevel="6">
      <c r="A375" s="76" t="s">
        <v>448</v>
      </c>
      <c r="B375" s="77" t="s">
        <v>733</v>
      </c>
      <c r="C375" s="77" t="s">
        <v>2</v>
      </c>
      <c r="D375" s="77" t="s">
        <v>66</v>
      </c>
      <c r="E375" s="77" t="s">
        <v>142</v>
      </c>
      <c r="F375" s="77" t="s">
        <v>1</v>
      </c>
      <c r="G375" s="78">
        <f>G376+G377</f>
        <v>9500706.510000002</v>
      </c>
      <c r="H375" s="78"/>
    </row>
    <row r="376" spans="1:8" ht="47.25" outlineLevel="7">
      <c r="A376" s="76" t="s">
        <v>1183</v>
      </c>
      <c r="B376" s="77" t="s">
        <v>733</v>
      </c>
      <c r="C376" s="77" t="s">
        <v>2</v>
      </c>
      <c r="D376" s="77" t="s">
        <v>66</v>
      </c>
      <c r="E376" s="77" t="s">
        <v>142</v>
      </c>
      <c r="F376" s="77" t="s">
        <v>143</v>
      </c>
      <c r="G376" s="78">
        <f>8500008.46+789141.17</f>
        <v>9289149.63</v>
      </c>
      <c r="H376" s="78"/>
    </row>
    <row r="377" spans="1:8" ht="15.75" outlineLevel="7">
      <c r="A377" s="76" t="s">
        <v>695</v>
      </c>
      <c r="B377" s="77" t="s">
        <v>733</v>
      </c>
      <c r="C377" s="77" t="s">
        <v>2</v>
      </c>
      <c r="D377" s="77" t="s">
        <v>66</v>
      </c>
      <c r="E377" s="77" t="s">
        <v>142</v>
      </c>
      <c r="F377" s="77" t="s">
        <v>65</v>
      </c>
      <c r="G377" s="78">
        <f>114194.99+78578.89+18783</f>
        <v>211556.88</v>
      </c>
      <c r="H377" s="78"/>
    </row>
    <row r="378" spans="1:9" s="75" customFormat="1" ht="15.75" outlineLevel="1">
      <c r="A378" s="72" t="s">
        <v>698</v>
      </c>
      <c r="B378" s="73" t="s">
        <v>733</v>
      </c>
      <c r="C378" s="73" t="s">
        <v>22</v>
      </c>
      <c r="D378" s="73" t="s">
        <v>3</v>
      </c>
      <c r="E378" s="73" t="s">
        <v>4</v>
      </c>
      <c r="F378" s="73" t="s">
        <v>1</v>
      </c>
      <c r="G378" s="74">
        <f>G379+G387+G420</f>
        <v>156415246.09000003</v>
      </c>
      <c r="H378" s="74">
        <f>H379+H387+H420</f>
        <v>23974418.32</v>
      </c>
      <c r="I378" s="206"/>
    </row>
    <row r="379" spans="1:9" s="75" customFormat="1" ht="15.75" outlineLevel="2">
      <c r="A379" s="72" t="s">
        <v>671</v>
      </c>
      <c r="B379" s="73" t="s">
        <v>733</v>
      </c>
      <c r="C379" s="73" t="s">
        <v>22</v>
      </c>
      <c r="D379" s="73" t="s">
        <v>159</v>
      </c>
      <c r="E379" s="73" t="s">
        <v>4</v>
      </c>
      <c r="F379" s="73" t="s">
        <v>1</v>
      </c>
      <c r="G379" s="74">
        <f aca="true" t="shared" si="1" ref="G379:H381">G380</f>
        <v>3608380</v>
      </c>
      <c r="H379" s="74">
        <f t="shared" si="1"/>
        <v>3608380</v>
      </c>
      <c r="I379" s="206"/>
    </row>
    <row r="380" spans="1:9" s="75" customFormat="1" ht="78.75" outlineLevel="3">
      <c r="A380" s="72" t="s">
        <v>660</v>
      </c>
      <c r="B380" s="73" t="s">
        <v>733</v>
      </c>
      <c r="C380" s="73" t="s">
        <v>22</v>
      </c>
      <c r="D380" s="73" t="s">
        <v>159</v>
      </c>
      <c r="E380" s="73" t="s">
        <v>160</v>
      </c>
      <c r="F380" s="73" t="s">
        <v>1</v>
      </c>
      <c r="G380" s="74">
        <f t="shared" si="1"/>
        <v>3608380</v>
      </c>
      <c r="H380" s="74">
        <f t="shared" si="1"/>
        <v>3608380</v>
      </c>
      <c r="I380" s="206"/>
    </row>
    <row r="381" spans="1:9" s="75" customFormat="1" ht="47.25" outlineLevel="4">
      <c r="A381" s="72" t="s">
        <v>630</v>
      </c>
      <c r="B381" s="73" t="s">
        <v>733</v>
      </c>
      <c r="C381" s="73" t="s">
        <v>22</v>
      </c>
      <c r="D381" s="73" t="s">
        <v>159</v>
      </c>
      <c r="E381" s="73" t="s">
        <v>161</v>
      </c>
      <c r="F381" s="73" t="s">
        <v>1</v>
      </c>
      <c r="G381" s="74">
        <f t="shared" si="1"/>
        <v>3608380</v>
      </c>
      <c r="H381" s="74">
        <f t="shared" si="1"/>
        <v>3608380</v>
      </c>
      <c r="I381" s="206"/>
    </row>
    <row r="382" spans="1:8" ht="31.5" outlineLevel="5">
      <c r="A382" s="76" t="s">
        <v>1103</v>
      </c>
      <c r="B382" s="77" t="s">
        <v>733</v>
      </c>
      <c r="C382" s="77" t="s">
        <v>22</v>
      </c>
      <c r="D382" s="77" t="s">
        <v>159</v>
      </c>
      <c r="E382" s="77" t="s">
        <v>162</v>
      </c>
      <c r="F382" s="77" t="s">
        <v>1</v>
      </c>
      <c r="G382" s="78">
        <f>G383+G385</f>
        <v>3608380</v>
      </c>
      <c r="H382" s="78">
        <f>H383+H385</f>
        <v>3608380</v>
      </c>
    </row>
    <row r="383" spans="1:8" ht="31.5" outlineLevel="6">
      <c r="A383" s="76" t="s">
        <v>450</v>
      </c>
      <c r="B383" s="77" t="s">
        <v>733</v>
      </c>
      <c r="C383" s="77" t="s">
        <v>22</v>
      </c>
      <c r="D383" s="77" t="s">
        <v>159</v>
      </c>
      <c r="E383" s="77" t="s">
        <v>163</v>
      </c>
      <c r="F383" s="77" t="s">
        <v>1</v>
      </c>
      <c r="G383" s="78">
        <f>G384</f>
        <v>3590760</v>
      </c>
      <c r="H383" s="78">
        <f>H384</f>
        <v>3590760</v>
      </c>
    </row>
    <row r="384" spans="1:8" ht="31.5" outlineLevel="7">
      <c r="A384" s="76" t="s">
        <v>693</v>
      </c>
      <c r="B384" s="77" t="s">
        <v>733</v>
      </c>
      <c r="C384" s="77" t="s">
        <v>22</v>
      </c>
      <c r="D384" s="77" t="s">
        <v>159</v>
      </c>
      <c r="E384" s="77" t="s">
        <v>163</v>
      </c>
      <c r="F384" s="77" t="s">
        <v>17</v>
      </c>
      <c r="G384" s="78">
        <v>3590760</v>
      </c>
      <c r="H384" s="78">
        <f>G384</f>
        <v>3590760</v>
      </c>
    </row>
    <row r="385" spans="1:8" ht="63" outlineLevel="6">
      <c r="A385" s="76" t="s">
        <v>451</v>
      </c>
      <c r="B385" s="77" t="s">
        <v>733</v>
      </c>
      <c r="C385" s="77" t="s">
        <v>22</v>
      </c>
      <c r="D385" s="77" t="s">
        <v>159</v>
      </c>
      <c r="E385" s="77" t="s">
        <v>164</v>
      </c>
      <c r="F385" s="77" t="s">
        <v>1</v>
      </c>
      <c r="G385" s="78">
        <f>G386</f>
        <v>17620</v>
      </c>
      <c r="H385" s="78">
        <f>H386</f>
        <v>17620</v>
      </c>
    </row>
    <row r="386" spans="1:8" ht="31.5" outlineLevel="7">
      <c r="A386" s="76" t="s">
        <v>693</v>
      </c>
      <c r="B386" s="77" t="s">
        <v>733</v>
      </c>
      <c r="C386" s="77" t="s">
        <v>22</v>
      </c>
      <c r="D386" s="77" t="s">
        <v>159</v>
      </c>
      <c r="E386" s="77" t="s">
        <v>164</v>
      </c>
      <c r="F386" s="77" t="s">
        <v>17</v>
      </c>
      <c r="G386" s="78">
        <v>17620</v>
      </c>
      <c r="H386" s="78">
        <f>G386</f>
        <v>17620</v>
      </c>
    </row>
    <row r="387" spans="1:9" s="75" customFormat="1" ht="15.75" outlineLevel="2">
      <c r="A387" s="72" t="s">
        <v>673</v>
      </c>
      <c r="B387" s="73" t="s">
        <v>733</v>
      </c>
      <c r="C387" s="73" t="s">
        <v>22</v>
      </c>
      <c r="D387" s="73" t="s">
        <v>146</v>
      </c>
      <c r="E387" s="73" t="s">
        <v>4</v>
      </c>
      <c r="F387" s="73" t="s">
        <v>1</v>
      </c>
      <c r="G387" s="74">
        <f>G388+G396+G417</f>
        <v>126459100.59000002</v>
      </c>
      <c r="H387" s="74">
        <f>H388+H396+H417</f>
        <v>20366038.32</v>
      </c>
      <c r="I387" s="206"/>
    </row>
    <row r="388" spans="1:9" s="75" customFormat="1" ht="47.25" outlineLevel="3">
      <c r="A388" s="72" t="s">
        <v>658</v>
      </c>
      <c r="B388" s="73" t="s">
        <v>733</v>
      </c>
      <c r="C388" s="73" t="s">
        <v>22</v>
      </c>
      <c r="D388" s="73" t="s">
        <v>146</v>
      </c>
      <c r="E388" s="73" t="s">
        <v>71</v>
      </c>
      <c r="F388" s="73" t="s">
        <v>1</v>
      </c>
      <c r="G388" s="74">
        <f>G389</f>
        <v>42710.07999999984</v>
      </c>
      <c r="H388" s="74"/>
      <c r="I388" s="206"/>
    </row>
    <row r="389" spans="1:9" s="75" customFormat="1" ht="63" outlineLevel="4">
      <c r="A389" s="72" t="s">
        <v>632</v>
      </c>
      <c r="B389" s="73" t="s">
        <v>733</v>
      </c>
      <c r="C389" s="73" t="s">
        <v>22</v>
      </c>
      <c r="D389" s="73" t="s">
        <v>146</v>
      </c>
      <c r="E389" s="73" t="s">
        <v>173</v>
      </c>
      <c r="F389" s="73" t="s">
        <v>1</v>
      </c>
      <c r="G389" s="74">
        <f>G390+G393</f>
        <v>42710.07999999984</v>
      </c>
      <c r="H389" s="74"/>
      <c r="I389" s="206"/>
    </row>
    <row r="390" spans="1:8" ht="63" outlineLevel="5">
      <c r="A390" s="76" t="s">
        <v>1184</v>
      </c>
      <c r="B390" s="77" t="s">
        <v>733</v>
      </c>
      <c r="C390" s="77" t="s">
        <v>22</v>
      </c>
      <c r="D390" s="77" t="s">
        <v>146</v>
      </c>
      <c r="E390" s="77" t="s">
        <v>174</v>
      </c>
      <c r="F390" s="77" t="s">
        <v>1</v>
      </c>
      <c r="G390" s="78">
        <f>G391</f>
        <v>42710.07999999984</v>
      </c>
      <c r="H390" s="78"/>
    </row>
    <row r="391" spans="1:8" ht="31.5" outlineLevel="6">
      <c r="A391" s="76" t="s">
        <v>441</v>
      </c>
      <c r="B391" s="77" t="s">
        <v>733</v>
      </c>
      <c r="C391" s="77" t="s">
        <v>22</v>
      </c>
      <c r="D391" s="77" t="s">
        <v>146</v>
      </c>
      <c r="E391" s="77" t="s">
        <v>175</v>
      </c>
      <c r="F391" s="77" t="s">
        <v>1</v>
      </c>
      <c r="G391" s="78">
        <f>G392</f>
        <v>42710.07999999984</v>
      </c>
      <c r="H391" s="78"/>
    </row>
    <row r="392" spans="1:8" ht="31.5" outlineLevel="7">
      <c r="A392" s="76" t="s">
        <v>693</v>
      </c>
      <c r="B392" s="77" t="s">
        <v>733</v>
      </c>
      <c r="C392" s="77" t="s">
        <v>22</v>
      </c>
      <c r="D392" s="77" t="s">
        <v>146</v>
      </c>
      <c r="E392" s="77" t="s">
        <v>175</v>
      </c>
      <c r="F392" s="77" t="s">
        <v>17</v>
      </c>
      <c r="G392" s="78">
        <f>4053741-3811145.18-199885.74</f>
        <v>42710.07999999984</v>
      </c>
      <c r="H392" s="78"/>
    </row>
    <row r="393" spans="1:8" ht="265.5" customHeight="1" hidden="1" outlineLevel="5">
      <c r="A393" s="76" t="s">
        <v>1185</v>
      </c>
      <c r="B393" s="77" t="s">
        <v>733</v>
      </c>
      <c r="C393" s="77" t="s">
        <v>22</v>
      </c>
      <c r="D393" s="77" t="s">
        <v>146</v>
      </c>
      <c r="E393" s="77" t="s">
        <v>176</v>
      </c>
      <c r="F393" s="77" t="s">
        <v>1</v>
      </c>
      <c r="G393" s="78">
        <f>G394</f>
        <v>0</v>
      </c>
      <c r="H393" s="78"/>
    </row>
    <row r="394" spans="1:8" ht="31.5" hidden="1" outlineLevel="6">
      <c r="A394" s="76" t="s">
        <v>441</v>
      </c>
      <c r="B394" s="77" t="s">
        <v>733</v>
      </c>
      <c r="C394" s="77" t="s">
        <v>22</v>
      </c>
      <c r="D394" s="77" t="s">
        <v>146</v>
      </c>
      <c r="E394" s="77" t="s">
        <v>177</v>
      </c>
      <c r="F394" s="77" t="s">
        <v>1</v>
      </c>
      <c r="G394" s="78">
        <f>G395</f>
        <v>0</v>
      </c>
      <c r="H394" s="78"/>
    </row>
    <row r="395" spans="1:8" ht="31.5" hidden="1" outlineLevel="7">
      <c r="A395" s="76" t="s">
        <v>693</v>
      </c>
      <c r="B395" s="77" t="s">
        <v>733</v>
      </c>
      <c r="C395" s="77" t="s">
        <v>22</v>
      </c>
      <c r="D395" s="77" t="s">
        <v>146</v>
      </c>
      <c r="E395" s="77" t="s">
        <v>177</v>
      </c>
      <c r="F395" s="77" t="s">
        <v>17</v>
      </c>
      <c r="G395" s="78">
        <f>1744240-1744240</f>
        <v>0</v>
      </c>
      <c r="H395" s="78"/>
    </row>
    <row r="396" spans="1:9" s="75" customFormat="1" ht="47.25" outlineLevel="4" collapsed="1">
      <c r="A396" s="72" t="s">
        <v>633</v>
      </c>
      <c r="B396" s="73" t="s">
        <v>733</v>
      </c>
      <c r="C396" s="73" t="s">
        <v>22</v>
      </c>
      <c r="D396" s="73" t="s">
        <v>146</v>
      </c>
      <c r="E396" s="73" t="s">
        <v>178</v>
      </c>
      <c r="F396" s="73" t="s">
        <v>1</v>
      </c>
      <c r="G396" s="74">
        <f>G397+G407+G414+G404</f>
        <v>126416390.51000002</v>
      </c>
      <c r="H396" s="74">
        <f>H397+H407+H414+H404</f>
        <v>20366038.32</v>
      </c>
      <c r="I396" s="206"/>
    </row>
    <row r="397" spans="1:8" ht="47.25" outlineLevel="5">
      <c r="A397" s="76" t="s">
        <v>1186</v>
      </c>
      <c r="B397" s="77" t="s">
        <v>733</v>
      </c>
      <c r="C397" s="77" t="s">
        <v>22</v>
      </c>
      <c r="D397" s="77" t="s">
        <v>146</v>
      </c>
      <c r="E397" s="77" t="s">
        <v>179</v>
      </c>
      <c r="F397" s="77" t="s">
        <v>1</v>
      </c>
      <c r="G397" s="78">
        <f>G398+G400+G402</f>
        <v>30366038.32</v>
      </c>
      <c r="H397" s="78">
        <f>H398+H400+H402</f>
        <v>20366038.32</v>
      </c>
    </row>
    <row r="398" spans="1:8" ht="31.5" hidden="1" outlineLevel="6">
      <c r="A398" s="76" t="s">
        <v>454</v>
      </c>
      <c r="B398" s="77" t="s">
        <v>733</v>
      </c>
      <c r="C398" s="77" t="s">
        <v>22</v>
      </c>
      <c r="D398" s="77" t="s">
        <v>146</v>
      </c>
      <c r="E398" s="77" t="s">
        <v>180</v>
      </c>
      <c r="F398" s="77" t="s">
        <v>1</v>
      </c>
      <c r="G398" s="78">
        <f>G399</f>
        <v>0</v>
      </c>
      <c r="H398" s="78"/>
    </row>
    <row r="399" spans="1:8" ht="31.5" hidden="1" outlineLevel="7">
      <c r="A399" s="76" t="s">
        <v>693</v>
      </c>
      <c r="B399" s="77" t="s">
        <v>733</v>
      </c>
      <c r="C399" s="77" t="s">
        <v>22</v>
      </c>
      <c r="D399" s="77" t="s">
        <v>146</v>
      </c>
      <c r="E399" s="77" t="s">
        <v>180</v>
      </c>
      <c r="F399" s="77" t="s">
        <v>17</v>
      </c>
      <c r="G399" s="78">
        <f>10000000-10000000</f>
        <v>0</v>
      </c>
      <c r="H399" s="78"/>
    </row>
    <row r="400" spans="1:8" ht="63" outlineLevel="7">
      <c r="A400" s="76" t="s">
        <v>1264</v>
      </c>
      <c r="B400" s="77" t="s">
        <v>733</v>
      </c>
      <c r="C400" s="77" t="s">
        <v>22</v>
      </c>
      <c r="D400" s="77" t="s">
        <v>146</v>
      </c>
      <c r="E400" s="77" t="s">
        <v>1265</v>
      </c>
      <c r="F400" s="77" t="s">
        <v>1</v>
      </c>
      <c r="G400" s="78">
        <f>G401</f>
        <v>20366038.32</v>
      </c>
      <c r="H400" s="78">
        <f>H401</f>
        <v>20366038.32</v>
      </c>
    </row>
    <row r="401" spans="1:8" ht="31.5" outlineLevel="7">
      <c r="A401" s="76" t="s">
        <v>693</v>
      </c>
      <c r="B401" s="77" t="s">
        <v>733</v>
      </c>
      <c r="C401" s="77" t="s">
        <v>22</v>
      </c>
      <c r="D401" s="77" t="s">
        <v>146</v>
      </c>
      <c r="E401" s="77" t="s">
        <v>1265</v>
      </c>
      <c r="F401" s="77" t="s">
        <v>17</v>
      </c>
      <c r="G401" s="78">
        <f>20366038.32</f>
        <v>20366038.32</v>
      </c>
      <c r="H401" s="78">
        <f>G401</f>
        <v>20366038.32</v>
      </c>
    </row>
    <row r="402" spans="1:8" ht="63" outlineLevel="7">
      <c r="A402" s="76" t="s">
        <v>1264</v>
      </c>
      <c r="B402" s="77" t="s">
        <v>733</v>
      </c>
      <c r="C402" s="77" t="s">
        <v>22</v>
      </c>
      <c r="D402" s="77" t="s">
        <v>146</v>
      </c>
      <c r="E402" s="77" t="s">
        <v>1266</v>
      </c>
      <c r="F402" s="77" t="s">
        <v>1</v>
      </c>
      <c r="G402" s="78">
        <f>G403</f>
        <v>10000000</v>
      </c>
      <c r="H402" s="78"/>
    </row>
    <row r="403" spans="1:8" ht="31.5" outlineLevel="7">
      <c r="A403" s="76" t="s">
        <v>693</v>
      </c>
      <c r="B403" s="77" t="s">
        <v>733</v>
      </c>
      <c r="C403" s="77" t="s">
        <v>22</v>
      </c>
      <c r="D403" s="77" t="s">
        <v>146</v>
      </c>
      <c r="E403" s="77" t="s">
        <v>1266</v>
      </c>
      <c r="F403" s="77" t="s">
        <v>17</v>
      </c>
      <c r="G403" s="78">
        <f>10000000</f>
        <v>10000000</v>
      </c>
      <c r="H403" s="78"/>
    </row>
    <row r="404" spans="1:8" ht="47.25" outlineLevel="7">
      <c r="A404" s="76" t="s">
        <v>1225</v>
      </c>
      <c r="B404" s="77" t="s">
        <v>733</v>
      </c>
      <c r="C404" s="77" t="s">
        <v>22</v>
      </c>
      <c r="D404" s="77" t="s">
        <v>146</v>
      </c>
      <c r="E404" s="77" t="s">
        <v>1226</v>
      </c>
      <c r="F404" s="77" t="s">
        <v>1</v>
      </c>
      <c r="G404" s="78">
        <f>G405</f>
        <v>450000</v>
      </c>
      <c r="H404" s="78"/>
    </row>
    <row r="405" spans="1:8" ht="31.5" outlineLevel="7">
      <c r="A405" s="76" t="s">
        <v>441</v>
      </c>
      <c r="B405" s="77" t="s">
        <v>733</v>
      </c>
      <c r="C405" s="77" t="s">
        <v>22</v>
      </c>
      <c r="D405" s="77" t="s">
        <v>146</v>
      </c>
      <c r="E405" s="77" t="s">
        <v>1227</v>
      </c>
      <c r="F405" s="77" t="s">
        <v>1</v>
      </c>
      <c r="G405" s="78">
        <f>G406</f>
        <v>450000</v>
      </c>
      <c r="H405" s="78"/>
    </row>
    <row r="406" spans="1:8" ht="31.5" outlineLevel="7">
      <c r="A406" s="76" t="s">
        <v>693</v>
      </c>
      <c r="B406" s="77" t="s">
        <v>733</v>
      </c>
      <c r="C406" s="77" t="s">
        <v>22</v>
      </c>
      <c r="D406" s="77" t="s">
        <v>146</v>
      </c>
      <c r="E406" s="77" t="s">
        <v>1227</v>
      </c>
      <c r="F406" s="77" t="s">
        <v>17</v>
      </c>
      <c r="G406" s="78">
        <f>450000</f>
        <v>450000</v>
      </c>
      <c r="H406" s="78"/>
    </row>
    <row r="407" spans="1:8" ht="54" customHeight="1" outlineLevel="5">
      <c r="A407" s="76" t="s">
        <v>1104</v>
      </c>
      <c r="B407" s="77" t="s">
        <v>733</v>
      </c>
      <c r="C407" s="77" t="s">
        <v>22</v>
      </c>
      <c r="D407" s="77" t="s">
        <v>146</v>
      </c>
      <c r="E407" s="77" t="s">
        <v>181</v>
      </c>
      <c r="F407" s="77" t="s">
        <v>1</v>
      </c>
      <c r="G407" s="78">
        <f>G408+G410+G412</f>
        <v>95306352.19000001</v>
      </c>
      <c r="H407" s="78"/>
    </row>
    <row r="408" spans="1:8" ht="47.25" outlineLevel="6">
      <c r="A408" s="76" t="s">
        <v>455</v>
      </c>
      <c r="B408" s="77" t="s">
        <v>733</v>
      </c>
      <c r="C408" s="77" t="s">
        <v>22</v>
      </c>
      <c r="D408" s="77" t="s">
        <v>146</v>
      </c>
      <c r="E408" s="77" t="s">
        <v>182</v>
      </c>
      <c r="F408" s="77" t="s">
        <v>1</v>
      </c>
      <c r="G408" s="78">
        <f>G409</f>
        <v>92834953.2</v>
      </c>
      <c r="H408" s="78"/>
    </row>
    <row r="409" spans="1:8" ht="31.5" outlineLevel="7">
      <c r="A409" s="76" t="s">
        <v>693</v>
      </c>
      <c r="B409" s="77" t="s">
        <v>733</v>
      </c>
      <c r="C409" s="77" t="s">
        <v>22</v>
      </c>
      <c r="D409" s="77" t="s">
        <v>146</v>
      </c>
      <c r="E409" s="77" t="s">
        <v>182</v>
      </c>
      <c r="F409" s="77" t="s">
        <v>17</v>
      </c>
      <c r="G409" s="78">
        <v>92834953.2</v>
      </c>
      <c r="H409" s="78"/>
    </row>
    <row r="410" spans="1:8" ht="31.5" outlineLevel="6">
      <c r="A410" s="76" t="s">
        <v>456</v>
      </c>
      <c r="B410" s="77" t="s">
        <v>733</v>
      </c>
      <c r="C410" s="77" t="s">
        <v>22</v>
      </c>
      <c r="D410" s="77" t="s">
        <v>146</v>
      </c>
      <c r="E410" s="77" t="s">
        <v>183</v>
      </c>
      <c r="F410" s="77" t="s">
        <v>1</v>
      </c>
      <c r="G410" s="78">
        <f>G411</f>
        <v>360636.09</v>
      </c>
      <c r="H410" s="78"/>
    </row>
    <row r="411" spans="1:8" ht="31.5" outlineLevel="7">
      <c r="A411" s="76" t="s">
        <v>693</v>
      </c>
      <c r="B411" s="77" t="s">
        <v>733</v>
      </c>
      <c r="C411" s="77" t="s">
        <v>22</v>
      </c>
      <c r="D411" s="77" t="s">
        <v>146</v>
      </c>
      <c r="E411" s="77" t="s">
        <v>183</v>
      </c>
      <c r="F411" s="77" t="s">
        <v>17</v>
      </c>
      <c r="G411" s="78">
        <v>360636.09</v>
      </c>
      <c r="H411" s="78"/>
    </row>
    <row r="412" spans="1:8" ht="31.5" outlineLevel="6">
      <c r="A412" s="76" t="s">
        <v>441</v>
      </c>
      <c r="B412" s="77" t="s">
        <v>733</v>
      </c>
      <c r="C412" s="77" t="s">
        <v>22</v>
      </c>
      <c r="D412" s="77" t="s">
        <v>146</v>
      </c>
      <c r="E412" s="77" t="s">
        <v>184</v>
      </c>
      <c r="F412" s="77" t="s">
        <v>1</v>
      </c>
      <c r="G412" s="78">
        <f>G413</f>
        <v>2110762.9</v>
      </c>
      <c r="H412" s="78"/>
    </row>
    <row r="413" spans="1:8" ht="31.5" outlineLevel="7">
      <c r="A413" s="76" t="s">
        <v>693</v>
      </c>
      <c r="B413" s="77" t="s">
        <v>733</v>
      </c>
      <c r="C413" s="77" t="s">
        <v>22</v>
      </c>
      <c r="D413" s="77" t="s">
        <v>146</v>
      </c>
      <c r="E413" s="77" t="s">
        <v>184</v>
      </c>
      <c r="F413" s="77" t="s">
        <v>17</v>
      </c>
      <c r="G413" s="78">
        <f>3134903.98-1024141.08</f>
        <v>2110762.9</v>
      </c>
      <c r="H413" s="78"/>
    </row>
    <row r="414" spans="1:8" ht="63" outlineLevel="5">
      <c r="A414" s="76" t="s">
        <v>1187</v>
      </c>
      <c r="B414" s="77" t="s">
        <v>733</v>
      </c>
      <c r="C414" s="77" t="s">
        <v>22</v>
      </c>
      <c r="D414" s="77" t="s">
        <v>146</v>
      </c>
      <c r="E414" s="77" t="s">
        <v>185</v>
      </c>
      <c r="F414" s="77" t="s">
        <v>1</v>
      </c>
      <c r="G414" s="78">
        <f>G415</f>
        <v>294000</v>
      </c>
      <c r="H414" s="78"/>
    </row>
    <row r="415" spans="1:8" ht="31.5" outlineLevel="6">
      <c r="A415" s="76" t="s">
        <v>441</v>
      </c>
      <c r="B415" s="77" t="s">
        <v>733</v>
      </c>
      <c r="C415" s="77" t="s">
        <v>22</v>
      </c>
      <c r="D415" s="77" t="s">
        <v>146</v>
      </c>
      <c r="E415" s="77" t="s">
        <v>186</v>
      </c>
      <c r="F415" s="77" t="s">
        <v>1</v>
      </c>
      <c r="G415" s="78">
        <f>G416</f>
        <v>294000</v>
      </c>
      <c r="H415" s="78"/>
    </row>
    <row r="416" spans="1:8" ht="31.5" outlineLevel="7">
      <c r="A416" s="76" t="s">
        <v>693</v>
      </c>
      <c r="B416" s="77" t="s">
        <v>733</v>
      </c>
      <c r="C416" s="77" t="s">
        <v>22</v>
      </c>
      <c r="D416" s="77" t="s">
        <v>146</v>
      </c>
      <c r="E416" s="77" t="s">
        <v>186</v>
      </c>
      <c r="F416" s="77" t="s">
        <v>17</v>
      </c>
      <c r="G416" s="78">
        <f>300000-6000</f>
        <v>294000</v>
      </c>
      <c r="H416" s="78"/>
    </row>
    <row r="417" spans="1:9" s="75" customFormat="1" ht="15.75" hidden="1" outlineLevel="3">
      <c r="A417" s="72" t="s">
        <v>490</v>
      </c>
      <c r="B417" s="73" t="s">
        <v>733</v>
      </c>
      <c r="C417" s="73" t="s">
        <v>22</v>
      </c>
      <c r="D417" s="73" t="s">
        <v>146</v>
      </c>
      <c r="E417" s="73" t="s">
        <v>11</v>
      </c>
      <c r="F417" s="73" t="s">
        <v>1</v>
      </c>
      <c r="G417" s="74">
        <f>G418</f>
        <v>0</v>
      </c>
      <c r="H417" s="74"/>
      <c r="I417" s="206"/>
    </row>
    <row r="418" spans="1:8" ht="31.5" hidden="1" outlineLevel="6">
      <c r="A418" s="76" t="s">
        <v>448</v>
      </c>
      <c r="B418" s="77" t="s">
        <v>733</v>
      </c>
      <c r="C418" s="77" t="s">
        <v>22</v>
      </c>
      <c r="D418" s="77" t="s">
        <v>146</v>
      </c>
      <c r="E418" s="77" t="s">
        <v>142</v>
      </c>
      <c r="F418" s="77" t="s">
        <v>1</v>
      </c>
      <c r="G418" s="78">
        <f>G419</f>
        <v>0</v>
      </c>
      <c r="H418" s="78"/>
    </row>
    <row r="419" spans="1:8" ht="15.75" hidden="1" outlineLevel="7">
      <c r="A419" s="76" t="s">
        <v>695</v>
      </c>
      <c r="B419" s="77" t="s">
        <v>733</v>
      </c>
      <c r="C419" s="77" t="s">
        <v>22</v>
      </c>
      <c r="D419" s="77" t="s">
        <v>146</v>
      </c>
      <c r="E419" s="77" t="s">
        <v>142</v>
      </c>
      <c r="F419" s="77" t="s">
        <v>65</v>
      </c>
      <c r="G419" s="78">
        <f>78578.89-78578.89</f>
        <v>0</v>
      </c>
      <c r="H419" s="78"/>
    </row>
    <row r="420" spans="1:9" s="75" customFormat="1" ht="31.5" outlineLevel="2" collapsed="1">
      <c r="A420" s="72" t="s">
        <v>675</v>
      </c>
      <c r="B420" s="73" t="s">
        <v>733</v>
      </c>
      <c r="C420" s="73" t="s">
        <v>22</v>
      </c>
      <c r="D420" s="73" t="s">
        <v>192</v>
      </c>
      <c r="E420" s="73" t="s">
        <v>4</v>
      </c>
      <c r="F420" s="73" t="s">
        <v>1</v>
      </c>
      <c r="G420" s="74">
        <f>G421+G426</f>
        <v>26347765.500000004</v>
      </c>
      <c r="H420" s="74"/>
      <c r="I420" s="206"/>
    </row>
    <row r="421" spans="1:9" s="75" customFormat="1" ht="47.25" outlineLevel="3">
      <c r="A421" s="72" t="s">
        <v>659</v>
      </c>
      <c r="B421" s="73" t="s">
        <v>733</v>
      </c>
      <c r="C421" s="73" t="s">
        <v>22</v>
      </c>
      <c r="D421" s="73" t="s">
        <v>192</v>
      </c>
      <c r="E421" s="73" t="s">
        <v>90</v>
      </c>
      <c r="F421" s="73" t="s">
        <v>1</v>
      </c>
      <c r="G421" s="74">
        <f>G422</f>
        <v>683807.12</v>
      </c>
      <c r="H421" s="74"/>
      <c r="I421" s="206"/>
    </row>
    <row r="422" spans="1:9" s="75" customFormat="1" ht="47.25" outlineLevel="4">
      <c r="A422" s="72" t="s">
        <v>624</v>
      </c>
      <c r="B422" s="73" t="s">
        <v>733</v>
      </c>
      <c r="C422" s="73" t="s">
        <v>22</v>
      </c>
      <c r="D422" s="73" t="s">
        <v>192</v>
      </c>
      <c r="E422" s="73" t="s">
        <v>91</v>
      </c>
      <c r="F422" s="73" t="s">
        <v>1</v>
      </c>
      <c r="G422" s="74">
        <f>G423</f>
        <v>683807.12</v>
      </c>
      <c r="H422" s="74"/>
      <c r="I422" s="206"/>
    </row>
    <row r="423" spans="1:8" ht="31.5" outlineLevel="5">
      <c r="A423" s="76" t="s">
        <v>1074</v>
      </c>
      <c r="B423" s="77" t="s">
        <v>733</v>
      </c>
      <c r="C423" s="77" t="s">
        <v>22</v>
      </c>
      <c r="D423" s="77" t="s">
        <v>192</v>
      </c>
      <c r="E423" s="77" t="s">
        <v>100</v>
      </c>
      <c r="F423" s="77" t="s">
        <v>1</v>
      </c>
      <c r="G423" s="78">
        <f>G424</f>
        <v>683807.12</v>
      </c>
      <c r="H423" s="78"/>
    </row>
    <row r="424" spans="1:8" ht="31.5" outlineLevel="6">
      <c r="A424" s="76" t="s">
        <v>441</v>
      </c>
      <c r="B424" s="77" t="s">
        <v>733</v>
      </c>
      <c r="C424" s="77" t="s">
        <v>22</v>
      </c>
      <c r="D424" s="77" t="s">
        <v>192</v>
      </c>
      <c r="E424" s="77" t="s">
        <v>101</v>
      </c>
      <c r="F424" s="77" t="s">
        <v>1</v>
      </c>
      <c r="G424" s="78">
        <f>G425</f>
        <v>683807.12</v>
      </c>
      <c r="H424" s="78"/>
    </row>
    <row r="425" spans="1:8" ht="31.5" outlineLevel="7">
      <c r="A425" s="76" t="s">
        <v>693</v>
      </c>
      <c r="B425" s="77" t="s">
        <v>733</v>
      </c>
      <c r="C425" s="77" t="s">
        <v>22</v>
      </c>
      <c r="D425" s="77" t="s">
        <v>192</v>
      </c>
      <c r="E425" s="77" t="s">
        <v>101</v>
      </c>
      <c r="F425" s="77" t="s">
        <v>17</v>
      </c>
      <c r="G425" s="78">
        <f>690807.12-7000</f>
        <v>683807.12</v>
      </c>
      <c r="H425" s="78"/>
    </row>
    <row r="426" spans="1:9" s="75" customFormat="1" ht="63" outlineLevel="3">
      <c r="A426" s="72" t="s">
        <v>656</v>
      </c>
      <c r="B426" s="73" t="s">
        <v>733</v>
      </c>
      <c r="C426" s="73" t="s">
        <v>22</v>
      </c>
      <c r="D426" s="73" t="s">
        <v>192</v>
      </c>
      <c r="E426" s="73" t="s">
        <v>6</v>
      </c>
      <c r="F426" s="73" t="s">
        <v>1</v>
      </c>
      <c r="G426" s="74">
        <f>G427+G437</f>
        <v>25663958.380000003</v>
      </c>
      <c r="H426" s="74"/>
      <c r="I426" s="206"/>
    </row>
    <row r="427" spans="1:9" s="75" customFormat="1" ht="47.25" outlineLevel="4">
      <c r="A427" s="72" t="s">
        <v>617</v>
      </c>
      <c r="B427" s="73" t="s">
        <v>733</v>
      </c>
      <c r="C427" s="73" t="s">
        <v>22</v>
      </c>
      <c r="D427" s="73" t="s">
        <v>192</v>
      </c>
      <c r="E427" s="73" t="s">
        <v>51</v>
      </c>
      <c r="F427" s="73" t="s">
        <v>1</v>
      </c>
      <c r="G427" s="74">
        <f>G428+G431+G434</f>
        <v>3794624</v>
      </c>
      <c r="H427" s="74"/>
      <c r="I427" s="206"/>
    </row>
    <row r="428" spans="1:8" ht="78.75" outlineLevel="5">
      <c r="A428" s="76" t="s">
        <v>1105</v>
      </c>
      <c r="B428" s="77" t="s">
        <v>733</v>
      </c>
      <c r="C428" s="77" t="s">
        <v>22</v>
      </c>
      <c r="D428" s="77" t="s">
        <v>192</v>
      </c>
      <c r="E428" s="77" t="s">
        <v>195</v>
      </c>
      <c r="F428" s="77" t="s">
        <v>1</v>
      </c>
      <c r="G428" s="78">
        <f>G429</f>
        <v>1494624</v>
      </c>
      <c r="H428" s="78"/>
    </row>
    <row r="429" spans="1:8" ht="31.5" outlineLevel="6">
      <c r="A429" s="76" t="s">
        <v>458</v>
      </c>
      <c r="B429" s="77" t="s">
        <v>733</v>
      </c>
      <c r="C429" s="77" t="s">
        <v>22</v>
      </c>
      <c r="D429" s="77" t="s">
        <v>192</v>
      </c>
      <c r="E429" s="77" t="s">
        <v>196</v>
      </c>
      <c r="F429" s="77" t="s">
        <v>1</v>
      </c>
      <c r="G429" s="78">
        <f>G430</f>
        <v>1494624</v>
      </c>
      <c r="H429" s="78"/>
    </row>
    <row r="430" spans="1:8" ht="31.5" outlineLevel="7">
      <c r="A430" s="76" t="s">
        <v>693</v>
      </c>
      <c r="B430" s="77" t="s">
        <v>733</v>
      </c>
      <c r="C430" s="77" t="s">
        <v>22</v>
      </c>
      <c r="D430" s="77" t="s">
        <v>192</v>
      </c>
      <c r="E430" s="77" t="s">
        <v>196</v>
      </c>
      <c r="F430" s="77" t="s">
        <v>17</v>
      </c>
      <c r="G430" s="78">
        <f>4141040-2600000-46416</f>
        <v>1494624</v>
      </c>
      <c r="H430" s="78"/>
    </row>
    <row r="431" spans="1:8" ht="126" outlineLevel="7">
      <c r="A431" s="76" t="s">
        <v>1228</v>
      </c>
      <c r="B431" s="77" t="s">
        <v>733</v>
      </c>
      <c r="C431" s="77" t="s">
        <v>22</v>
      </c>
      <c r="D431" s="77" t="s">
        <v>192</v>
      </c>
      <c r="E431" s="77" t="s">
        <v>1229</v>
      </c>
      <c r="F431" s="77" t="s">
        <v>1</v>
      </c>
      <c r="G431" s="78">
        <f>G432</f>
        <v>1800000</v>
      </c>
      <c r="H431" s="78"/>
    </row>
    <row r="432" spans="1:8" ht="31.5" outlineLevel="7">
      <c r="A432" s="76" t="s">
        <v>458</v>
      </c>
      <c r="B432" s="77" t="s">
        <v>733</v>
      </c>
      <c r="C432" s="77" t="s">
        <v>22</v>
      </c>
      <c r="D432" s="77" t="s">
        <v>192</v>
      </c>
      <c r="E432" s="77" t="s">
        <v>1230</v>
      </c>
      <c r="F432" s="77" t="s">
        <v>1</v>
      </c>
      <c r="G432" s="78">
        <f>G433</f>
        <v>1800000</v>
      </c>
      <c r="H432" s="78"/>
    </row>
    <row r="433" spans="1:8" ht="31.5" outlineLevel="7">
      <c r="A433" s="76" t="s">
        <v>693</v>
      </c>
      <c r="B433" s="77" t="s">
        <v>733</v>
      </c>
      <c r="C433" s="77" t="s">
        <v>22</v>
      </c>
      <c r="D433" s="77" t="s">
        <v>192</v>
      </c>
      <c r="E433" s="77" t="s">
        <v>1230</v>
      </c>
      <c r="F433" s="77" t="s">
        <v>17</v>
      </c>
      <c r="G433" s="78">
        <f>2300000-500000</f>
        <v>1800000</v>
      </c>
      <c r="H433" s="78"/>
    </row>
    <row r="434" spans="1:8" ht="78.75" outlineLevel="7">
      <c r="A434" s="76" t="s">
        <v>1291</v>
      </c>
      <c r="B434" s="77" t="s">
        <v>733</v>
      </c>
      <c r="C434" s="77" t="s">
        <v>22</v>
      </c>
      <c r="D434" s="77" t="s">
        <v>192</v>
      </c>
      <c r="E434" s="77" t="s">
        <v>1292</v>
      </c>
      <c r="F434" s="77" t="s">
        <v>1</v>
      </c>
      <c r="G434" s="78">
        <f>G435</f>
        <v>500000</v>
      </c>
      <c r="H434" s="78"/>
    </row>
    <row r="435" spans="1:8" ht="31.5" outlineLevel="7">
      <c r="A435" s="76" t="s">
        <v>458</v>
      </c>
      <c r="B435" s="77" t="s">
        <v>733</v>
      </c>
      <c r="C435" s="77" t="s">
        <v>22</v>
      </c>
      <c r="D435" s="77" t="s">
        <v>192</v>
      </c>
      <c r="E435" s="77" t="s">
        <v>1293</v>
      </c>
      <c r="F435" s="77" t="s">
        <v>1</v>
      </c>
      <c r="G435" s="78">
        <f>G436</f>
        <v>500000</v>
      </c>
      <c r="H435" s="78"/>
    </row>
    <row r="436" spans="1:8" ht="31.5" outlineLevel="7">
      <c r="A436" s="76" t="s">
        <v>693</v>
      </c>
      <c r="B436" s="77" t="s">
        <v>733</v>
      </c>
      <c r="C436" s="77" t="s">
        <v>22</v>
      </c>
      <c r="D436" s="77" t="s">
        <v>192</v>
      </c>
      <c r="E436" s="77" t="s">
        <v>1293</v>
      </c>
      <c r="F436" s="77" t="s">
        <v>17</v>
      </c>
      <c r="G436" s="78">
        <f>500000</f>
        <v>500000</v>
      </c>
      <c r="H436" s="78"/>
    </row>
    <row r="437" spans="1:9" s="75" customFormat="1" ht="78.75" outlineLevel="4">
      <c r="A437" s="72" t="s">
        <v>635</v>
      </c>
      <c r="B437" s="73" t="s">
        <v>733</v>
      </c>
      <c r="C437" s="73" t="s">
        <v>22</v>
      </c>
      <c r="D437" s="73" t="s">
        <v>192</v>
      </c>
      <c r="E437" s="73" t="s">
        <v>197</v>
      </c>
      <c r="F437" s="73" t="s">
        <v>1</v>
      </c>
      <c r="G437" s="74">
        <f>G438+G444+G450</f>
        <v>21869334.380000003</v>
      </c>
      <c r="H437" s="74"/>
      <c r="I437" s="206"/>
    </row>
    <row r="438" spans="1:8" ht="63" outlineLevel="5">
      <c r="A438" s="76" t="s">
        <v>1106</v>
      </c>
      <c r="B438" s="77" t="s">
        <v>733</v>
      </c>
      <c r="C438" s="77" t="s">
        <v>22</v>
      </c>
      <c r="D438" s="77" t="s">
        <v>192</v>
      </c>
      <c r="E438" s="77" t="s">
        <v>198</v>
      </c>
      <c r="F438" s="77" t="s">
        <v>1</v>
      </c>
      <c r="G438" s="78">
        <f>G439</f>
        <v>5933519.91</v>
      </c>
      <c r="H438" s="78"/>
    </row>
    <row r="439" spans="1:8" ht="78.75" outlineLevel="6">
      <c r="A439" s="76" t="s">
        <v>443</v>
      </c>
      <c r="B439" s="77" t="s">
        <v>733</v>
      </c>
      <c r="C439" s="77" t="s">
        <v>22</v>
      </c>
      <c r="D439" s="77" t="s">
        <v>192</v>
      </c>
      <c r="E439" s="77" t="s">
        <v>199</v>
      </c>
      <c r="F439" s="77" t="s">
        <v>1</v>
      </c>
      <c r="G439" s="78">
        <f>G440+G441+G442+G443</f>
        <v>5933519.91</v>
      </c>
      <c r="H439" s="78"/>
    </row>
    <row r="440" spans="1:8" ht="94.5" outlineLevel="7">
      <c r="A440" s="76" t="s">
        <v>708</v>
      </c>
      <c r="B440" s="77" t="s">
        <v>733</v>
      </c>
      <c r="C440" s="77" t="s">
        <v>22</v>
      </c>
      <c r="D440" s="77" t="s">
        <v>192</v>
      </c>
      <c r="E440" s="77" t="s">
        <v>199</v>
      </c>
      <c r="F440" s="77" t="s">
        <v>10</v>
      </c>
      <c r="G440" s="78">
        <v>5277891.38</v>
      </c>
      <c r="H440" s="78"/>
    </row>
    <row r="441" spans="1:8" ht="31.5" outlineLevel="7">
      <c r="A441" s="76" t="s">
        <v>693</v>
      </c>
      <c r="B441" s="77" t="s">
        <v>733</v>
      </c>
      <c r="C441" s="77" t="s">
        <v>22</v>
      </c>
      <c r="D441" s="77" t="s">
        <v>192</v>
      </c>
      <c r="E441" s="77" t="s">
        <v>199</v>
      </c>
      <c r="F441" s="77" t="s">
        <v>17</v>
      </c>
      <c r="G441" s="78">
        <v>178070.85</v>
      </c>
      <c r="H441" s="78"/>
    </row>
    <row r="442" spans="1:8" ht="31.5" outlineLevel="7">
      <c r="A442" s="76" t="s">
        <v>694</v>
      </c>
      <c r="B442" s="77" t="s">
        <v>733</v>
      </c>
      <c r="C442" s="77" t="s">
        <v>22</v>
      </c>
      <c r="D442" s="77" t="s">
        <v>192</v>
      </c>
      <c r="E442" s="77" t="s">
        <v>199</v>
      </c>
      <c r="F442" s="77" t="s">
        <v>47</v>
      </c>
      <c r="G442" s="78">
        <f>1485091.82-78922.14-1124000</f>
        <v>282169.68000000017</v>
      </c>
      <c r="H442" s="78"/>
    </row>
    <row r="443" spans="1:8" ht="15.75" outlineLevel="7">
      <c r="A443" s="76" t="s">
        <v>695</v>
      </c>
      <c r="B443" s="77" t="s">
        <v>733</v>
      </c>
      <c r="C443" s="77" t="s">
        <v>22</v>
      </c>
      <c r="D443" s="77" t="s">
        <v>192</v>
      </c>
      <c r="E443" s="77" t="s">
        <v>199</v>
      </c>
      <c r="F443" s="77" t="s">
        <v>65</v>
      </c>
      <c r="G443" s="78">
        <f>194588+800-31078+31078</f>
        <v>195388</v>
      </c>
      <c r="H443" s="78"/>
    </row>
    <row r="444" spans="1:8" ht="94.5" outlineLevel="5">
      <c r="A444" s="76" t="s">
        <v>1107</v>
      </c>
      <c r="B444" s="77" t="s">
        <v>733</v>
      </c>
      <c r="C444" s="77" t="s">
        <v>22</v>
      </c>
      <c r="D444" s="77" t="s">
        <v>192</v>
      </c>
      <c r="E444" s="77" t="s">
        <v>200</v>
      </c>
      <c r="F444" s="77" t="s">
        <v>1</v>
      </c>
      <c r="G444" s="78">
        <f>G445+G448</f>
        <v>10146646.38</v>
      </c>
      <c r="H444" s="78"/>
    </row>
    <row r="445" spans="1:8" ht="78.75" outlineLevel="6">
      <c r="A445" s="76" t="s">
        <v>443</v>
      </c>
      <c r="B445" s="77" t="s">
        <v>733</v>
      </c>
      <c r="C445" s="77" t="s">
        <v>22</v>
      </c>
      <c r="D445" s="77" t="s">
        <v>192</v>
      </c>
      <c r="E445" s="77" t="s">
        <v>201</v>
      </c>
      <c r="F445" s="77" t="s">
        <v>1</v>
      </c>
      <c r="G445" s="78">
        <f>G446+G447</f>
        <v>9727645.8</v>
      </c>
      <c r="H445" s="78"/>
    </row>
    <row r="446" spans="1:8" ht="94.5" outlineLevel="7">
      <c r="A446" s="76" t="s">
        <v>708</v>
      </c>
      <c r="B446" s="77" t="s">
        <v>733</v>
      </c>
      <c r="C446" s="77" t="s">
        <v>22</v>
      </c>
      <c r="D446" s="77" t="s">
        <v>192</v>
      </c>
      <c r="E446" s="77" t="s">
        <v>201</v>
      </c>
      <c r="F446" s="77" t="s">
        <v>10</v>
      </c>
      <c r="G446" s="78">
        <v>9186896.15</v>
      </c>
      <c r="H446" s="78"/>
    </row>
    <row r="447" spans="1:8" ht="31.5" outlineLevel="7">
      <c r="A447" s="76" t="s">
        <v>693</v>
      </c>
      <c r="B447" s="77" t="s">
        <v>733</v>
      </c>
      <c r="C447" s="77" t="s">
        <v>22</v>
      </c>
      <c r="D447" s="77" t="s">
        <v>192</v>
      </c>
      <c r="E447" s="77" t="s">
        <v>201</v>
      </c>
      <c r="F447" s="77" t="s">
        <v>17</v>
      </c>
      <c r="G447" s="78">
        <f>399148.07+7000+134601.58</f>
        <v>540749.65</v>
      </c>
      <c r="H447" s="78"/>
    </row>
    <row r="448" spans="1:8" ht="78.75" outlineLevel="6">
      <c r="A448" s="76" t="s">
        <v>432</v>
      </c>
      <c r="B448" s="77" t="s">
        <v>733</v>
      </c>
      <c r="C448" s="77" t="s">
        <v>22</v>
      </c>
      <c r="D448" s="77" t="s">
        <v>192</v>
      </c>
      <c r="E448" s="77" t="s">
        <v>202</v>
      </c>
      <c r="F448" s="77" t="s">
        <v>1</v>
      </c>
      <c r="G448" s="78">
        <f>G449</f>
        <v>419000.57999999996</v>
      </c>
      <c r="H448" s="78"/>
    </row>
    <row r="449" spans="1:8" ht="94.5" outlineLevel="7">
      <c r="A449" s="76" t="s">
        <v>708</v>
      </c>
      <c r="B449" s="77" t="s">
        <v>733</v>
      </c>
      <c r="C449" s="77" t="s">
        <v>22</v>
      </c>
      <c r="D449" s="77" t="s">
        <v>192</v>
      </c>
      <c r="E449" s="77" t="s">
        <v>202</v>
      </c>
      <c r="F449" s="77" t="s">
        <v>10</v>
      </c>
      <c r="G449" s="78">
        <f>285000+134000.58</f>
        <v>419000.57999999996</v>
      </c>
      <c r="H449" s="78"/>
    </row>
    <row r="450" spans="1:8" ht="110.25" outlineLevel="5">
      <c r="A450" s="76" t="s">
        <v>1108</v>
      </c>
      <c r="B450" s="77" t="s">
        <v>733</v>
      </c>
      <c r="C450" s="77" t="s">
        <v>22</v>
      </c>
      <c r="D450" s="77" t="s">
        <v>192</v>
      </c>
      <c r="E450" s="77" t="s">
        <v>203</v>
      </c>
      <c r="F450" s="77" t="s">
        <v>1</v>
      </c>
      <c r="G450" s="78">
        <f>G451</f>
        <v>5789168.09</v>
      </c>
      <c r="H450" s="78"/>
    </row>
    <row r="451" spans="1:8" ht="78.75" outlineLevel="6">
      <c r="A451" s="76" t="s">
        <v>443</v>
      </c>
      <c r="B451" s="77" t="s">
        <v>733</v>
      </c>
      <c r="C451" s="77" t="s">
        <v>22</v>
      </c>
      <c r="D451" s="77" t="s">
        <v>192</v>
      </c>
      <c r="E451" s="77" t="s">
        <v>204</v>
      </c>
      <c r="F451" s="77" t="s">
        <v>1</v>
      </c>
      <c r="G451" s="78">
        <f>G452+G453</f>
        <v>5789168.09</v>
      </c>
      <c r="H451" s="78"/>
    </row>
    <row r="452" spans="1:8" ht="94.5" outlineLevel="7">
      <c r="A452" s="76" t="s">
        <v>708</v>
      </c>
      <c r="B452" s="77" t="s">
        <v>733</v>
      </c>
      <c r="C452" s="77" t="s">
        <v>22</v>
      </c>
      <c r="D452" s="77" t="s">
        <v>192</v>
      </c>
      <c r="E452" s="77" t="s">
        <v>204</v>
      </c>
      <c r="F452" s="77" t="s">
        <v>10</v>
      </c>
      <c r="G452" s="78">
        <f>5630310.41-250349.4-74055.88</f>
        <v>5305905.13</v>
      </c>
      <c r="H452" s="78"/>
    </row>
    <row r="453" spans="1:8" ht="31.5" outlineLevel="7">
      <c r="A453" s="76" t="s">
        <v>693</v>
      </c>
      <c r="B453" s="77" t="s">
        <v>733</v>
      </c>
      <c r="C453" s="77" t="s">
        <v>22</v>
      </c>
      <c r="D453" s="77" t="s">
        <v>192</v>
      </c>
      <c r="E453" s="77" t="s">
        <v>204</v>
      </c>
      <c r="F453" s="77" t="s">
        <v>17</v>
      </c>
      <c r="G453" s="78">
        <f>405261.72-1131.83-800+79933.07</f>
        <v>483262.95999999996</v>
      </c>
      <c r="H453" s="78"/>
    </row>
    <row r="454" spans="1:9" s="75" customFormat="1" ht="31.5" outlineLevel="1">
      <c r="A454" s="72" t="s">
        <v>699</v>
      </c>
      <c r="B454" s="73" t="s">
        <v>733</v>
      </c>
      <c r="C454" s="73" t="s">
        <v>159</v>
      </c>
      <c r="D454" s="73" t="s">
        <v>3</v>
      </c>
      <c r="E454" s="73" t="s">
        <v>4</v>
      </c>
      <c r="F454" s="73" t="s">
        <v>1</v>
      </c>
      <c r="G454" s="74">
        <f>G455+G501+G536+G480</f>
        <v>162362262.92</v>
      </c>
      <c r="H454" s="74">
        <f>H455+H501+H536+H480</f>
        <v>31408633.19</v>
      </c>
      <c r="I454" s="206"/>
    </row>
    <row r="455" spans="1:9" s="75" customFormat="1" ht="15.75" outlineLevel="2">
      <c r="A455" s="72" t="s">
        <v>676</v>
      </c>
      <c r="B455" s="73" t="s">
        <v>733</v>
      </c>
      <c r="C455" s="73" t="s">
        <v>159</v>
      </c>
      <c r="D455" s="73" t="s">
        <v>2</v>
      </c>
      <c r="E455" s="73" t="s">
        <v>4</v>
      </c>
      <c r="F455" s="73" t="s">
        <v>1</v>
      </c>
      <c r="G455" s="74">
        <f>G456+J472+G469</f>
        <v>54989085.279999994</v>
      </c>
      <c r="H455" s="74">
        <f>H456+K472+H469</f>
        <v>21819763.19</v>
      </c>
      <c r="I455" s="206"/>
    </row>
    <row r="456" spans="1:9" s="75" customFormat="1" ht="78.75" outlineLevel="3">
      <c r="A456" s="72" t="s">
        <v>660</v>
      </c>
      <c r="B456" s="73" t="s">
        <v>733</v>
      </c>
      <c r="C456" s="73" t="s">
        <v>159</v>
      </c>
      <c r="D456" s="73" t="s">
        <v>2</v>
      </c>
      <c r="E456" s="73" t="s">
        <v>160</v>
      </c>
      <c r="F456" s="73" t="s">
        <v>1</v>
      </c>
      <c r="G456" s="74">
        <f>G457</f>
        <v>51464255.279999994</v>
      </c>
      <c r="H456" s="74">
        <f>H457</f>
        <v>21819763.19</v>
      </c>
      <c r="I456" s="206"/>
    </row>
    <row r="457" spans="1:9" s="75" customFormat="1" ht="47.25" outlineLevel="4">
      <c r="A457" s="72" t="s">
        <v>636</v>
      </c>
      <c r="B457" s="73" t="s">
        <v>733</v>
      </c>
      <c r="C457" s="73" t="s">
        <v>159</v>
      </c>
      <c r="D457" s="73" t="s">
        <v>2</v>
      </c>
      <c r="E457" s="73" t="s">
        <v>205</v>
      </c>
      <c r="F457" s="73" t="s">
        <v>1</v>
      </c>
      <c r="G457" s="74">
        <f>G458+G461+G466</f>
        <v>51464255.279999994</v>
      </c>
      <c r="H457" s="74">
        <f>H458+H461+H466</f>
        <v>21819763.19</v>
      </c>
      <c r="I457" s="206"/>
    </row>
    <row r="458" spans="1:8" ht="15.75" outlineLevel="5">
      <c r="A458" s="76" t="s">
        <v>1109</v>
      </c>
      <c r="B458" s="77" t="s">
        <v>733</v>
      </c>
      <c r="C458" s="77" t="s">
        <v>159</v>
      </c>
      <c r="D458" s="77" t="s">
        <v>2</v>
      </c>
      <c r="E458" s="77" t="s">
        <v>206</v>
      </c>
      <c r="F458" s="77" t="s">
        <v>1</v>
      </c>
      <c r="G458" s="78">
        <f>G459</f>
        <v>6532132.869999999</v>
      </c>
      <c r="H458" s="78"/>
    </row>
    <row r="459" spans="1:8" ht="31.5" outlineLevel="6">
      <c r="A459" s="76" t="s">
        <v>456</v>
      </c>
      <c r="B459" s="77" t="s">
        <v>733</v>
      </c>
      <c r="C459" s="77" t="s">
        <v>159</v>
      </c>
      <c r="D459" s="77" t="s">
        <v>2</v>
      </c>
      <c r="E459" s="77" t="s">
        <v>207</v>
      </c>
      <c r="F459" s="77" t="s">
        <v>1</v>
      </c>
      <c r="G459" s="78">
        <f>G460</f>
        <v>6532132.869999999</v>
      </c>
      <c r="H459" s="78"/>
    </row>
    <row r="460" spans="1:8" ht="31.5" outlineLevel="7">
      <c r="A460" s="76" t="s">
        <v>693</v>
      </c>
      <c r="B460" s="77" t="s">
        <v>733</v>
      </c>
      <c r="C460" s="77" t="s">
        <v>159</v>
      </c>
      <c r="D460" s="77" t="s">
        <v>2</v>
      </c>
      <c r="E460" s="77" t="s">
        <v>207</v>
      </c>
      <c r="F460" s="77" t="s">
        <v>17</v>
      </c>
      <c r="G460" s="78">
        <f>7452219.18-920086.31</f>
        <v>6532132.869999999</v>
      </c>
      <c r="H460" s="78"/>
    </row>
    <row r="461" spans="1:8" ht="63" outlineLevel="5">
      <c r="A461" s="148" t="s">
        <v>547</v>
      </c>
      <c r="B461" s="149" t="s">
        <v>733</v>
      </c>
      <c r="C461" s="149" t="s">
        <v>159</v>
      </c>
      <c r="D461" s="149" t="s">
        <v>2</v>
      </c>
      <c r="E461" s="149" t="s">
        <v>208</v>
      </c>
      <c r="F461" s="149" t="s">
        <v>1</v>
      </c>
      <c r="G461" s="150">
        <f>G464+G462</f>
        <v>42141426.47</v>
      </c>
      <c r="H461" s="150">
        <f>H464+H462</f>
        <v>21819763.19</v>
      </c>
    </row>
    <row r="462" spans="1:8" ht="78.75" outlineLevel="5">
      <c r="A462" s="76" t="s">
        <v>1268</v>
      </c>
      <c r="B462" s="77" t="s">
        <v>733</v>
      </c>
      <c r="C462" s="77" t="s">
        <v>159</v>
      </c>
      <c r="D462" s="77" t="s">
        <v>2</v>
      </c>
      <c r="E462" s="77" t="s">
        <v>1269</v>
      </c>
      <c r="F462" s="77" t="s">
        <v>1</v>
      </c>
      <c r="G462" s="78">
        <f>G463</f>
        <v>21819763.19</v>
      </c>
      <c r="H462" s="78">
        <f>G462</f>
        <v>21819763.19</v>
      </c>
    </row>
    <row r="463" spans="1:8" ht="31.5" outlineLevel="5">
      <c r="A463" s="76" t="s">
        <v>693</v>
      </c>
      <c r="B463" s="77" t="s">
        <v>733</v>
      </c>
      <c r="C463" s="77" t="s">
        <v>159</v>
      </c>
      <c r="D463" s="77" t="s">
        <v>2</v>
      </c>
      <c r="E463" s="77" t="s">
        <v>1269</v>
      </c>
      <c r="F463" s="77" t="s">
        <v>17</v>
      </c>
      <c r="G463" s="78">
        <f>21819763.19</f>
        <v>21819763.19</v>
      </c>
      <c r="H463" s="78">
        <f>G463</f>
        <v>21819763.19</v>
      </c>
    </row>
    <row r="464" spans="1:8" ht="78.75" outlineLevel="6">
      <c r="A464" s="76" t="s">
        <v>1268</v>
      </c>
      <c r="B464" s="77" t="s">
        <v>733</v>
      </c>
      <c r="C464" s="77" t="s">
        <v>159</v>
      </c>
      <c r="D464" s="77" t="s">
        <v>2</v>
      </c>
      <c r="E464" s="77" t="s">
        <v>1267</v>
      </c>
      <c r="F464" s="77" t="s">
        <v>1</v>
      </c>
      <c r="G464" s="78">
        <f>G465</f>
        <v>20321663.28</v>
      </c>
      <c r="H464" s="78"/>
    </row>
    <row r="465" spans="1:8" ht="31.5" outlineLevel="7">
      <c r="A465" s="76" t="s">
        <v>693</v>
      </c>
      <c r="B465" s="77" t="s">
        <v>733</v>
      </c>
      <c r="C465" s="77" t="s">
        <v>159</v>
      </c>
      <c r="D465" s="77" t="s">
        <v>2</v>
      </c>
      <c r="E465" s="77" t="s">
        <v>1267</v>
      </c>
      <c r="F465" s="77" t="s">
        <v>17</v>
      </c>
      <c r="G465" s="78">
        <v>20321663.28</v>
      </c>
      <c r="H465" s="78"/>
    </row>
    <row r="466" spans="1:8" ht="63" outlineLevel="5">
      <c r="A466" s="76" t="s">
        <v>1110</v>
      </c>
      <c r="B466" s="77" t="s">
        <v>733</v>
      </c>
      <c r="C466" s="77" t="s">
        <v>159</v>
      </c>
      <c r="D466" s="77" t="s">
        <v>2</v>
      </c>
      <c r="E466" s="77" t="s">
        <v>209</v>
      </c>
      <c r="F466" s="77" t="s">
        <v>1</v>
      </c>
      <c r="G466" s="78">
        <f>G467</f>
        <v>2790695.94</v>
      </c>
      <c r="H466" s="78"/>
    </row>
    <row r="467" spans="1:8" ht="31.5" outlineLevel="6">
      <c r="A467" s="76" t="s">
        <v>459</v>
      </c>
      <c r="B467" s="77" t="s">
        <v>733</v>
      </c>
      <c r="C467" s="77" t="s">
        <v>159</v>
      </c>
      <c r="D467" s="77" t="s">
        <v>2</v>
      </c>
      <c r="E467" s="77" t="s">
        <v>210</v>
      </c>
      <c r="F467" s="77" t="s">
        <v>1</v>
      </c>
      <c r="G467" s="78">
        <f>G468</f>
        <v>2790695.94</v>
      </c>
      <c r="H467" s="78"/>
    </row>
    <row r="468" spans="1:8" ht="31.5" outlineLevel="7">
      <c r="A468" s="76" t="s">
        <v>693</v>
      </c>
      <c r="B468" s="77" t="s">
        <v>733</v>
      </c>
      <c r="C468" s="77" t="s">
        <v>159</v>
      </c>
      <c r="D468" s="77" t="s">
        <v>2</v>
      </c>
      <c r="E468" s="77" t="s">
        <v>210</v>
      </c>
      <c r="F468" s="77" t="s">
        <v>17</v>
      </c>
      <c r="G468" s="78">
        <v>2790695.94</v>
      </c>
      <c r="H468" s="78"/>
    </row>
    <row r="469" spans="1:9" s="75" customFormat="1" ht="47.25" outlineLevel="4">
      <c r="A469" s="72" t="s">
        <v>622</v>
      </c>
      <c r="B469" s="73" t="s">
        <v>733</v>
      </c>
      <c r="C469" s="73" t="s">
        <v>159</v>
      </c>
      <c r="D469" s="73" t="s">
        <v>2</v>
      </c>
      <c r="E469" s="73" t="s">
        <v>80</v>
      </c>
      <c r="F469" s="73" t="s">
        <v>1</v>
      </c>
      <c r="G469" s="74">
        <f>G470+G473+G476</f>
        <v>3524830</v>
      </c>
      <c r="H469" s="74"/>
      <c r="I469" s="206"/>
    </row>
    <row r="470" spans="1:8" ht="47.25" outlineLevel="5">
      <c r="A470" s="76" t="s">
        <v>1270</v>
      </c>
      <c r="B470" s="77" t="s">
        <v>733</v>
      </c>
      <c r="C470" s="77" t="s">
        <v>159</v>
      </c>
      <c r="D470" s="77" t="s">
        <v>2</v>
      </c>
      <c r="E470" s="77" t="s">
        <v>1271</v>
      </c>
      <c r="F470" s="77" t="s">
        <v>1</v>
      </c>
      <c r="G470" s="78">
        <f>G471</f>
        <v>2416350</v>
      </c>
      <c r="H470" s="78"/>
    </row>
    <row r="471" spans="1:8" ht="31.5" outlineLevel="6">
      <c r="A471" s="76" t="s">
        <v>441</v>
      </c>
      <c r="B471" s="77" t="s">
        <v>733</v>
      </c>
      <c r="C471" s="77" t="s">
        <v>159</v>
      </c>
      <c r="D471" s="77" t="s">
        <v>2</v>
      </c>
      <c r="E471" s="77" t="s">
        <v>1272</v>
      </c>
      <c r="F471" s="77" t="s">
        <v>1</v>
      </c>
      <c r="G471" s="78">
        <f>G472</f>
        <v>2416350</v>
      </c>
      <c r="H471" s="78"/>
    </row>
    <row r="472" spans="1:8" ht="31.5" outlineLevel="7">
      <c r="A472" s="76" t="s">
        <v>693</v>
      </c>
      <c r="B472" s="77" t="s">
        <v>733</v>
      </c>
      <c r="C472" s="77" t="s">
        <v>159</v>
      </c>
      <c r="D472" s="77" t="s">
        <v>2</v>
      </c>
      <c r="E472" s="77" t="s">
        <v>1272</v>
      </c>
      <c r="F472" s="77" t="s">
        <v>17</v>
      </c>
      <c r="G472" s="78">
        <f>2416350</f>
        <v>2416350</v>
      </c>
      <c r="H472" s="78"/>
    </row>
    <row r="473" spans="1:8" ht="47.25" outlineLevel="7">
      <c r="A473" s="76" t="s">
        <v>1242</v>
      </c>
      <c r="B473" s="77" t="s">
        <v>733</v>
      </c>
      <c r="C473" s="77" t="s">
        <v>159</v>
      </c>
      <c r="D473" s="77" t="s">
        <v>2</v>
      </c>
      <c r="E473" s="77" t="s">
        <v>1243</v>
      </c>
      <c r="F473" s="77" t="s">
        <v>1</v>
      </c>
      <c r="G473" s="78">
        <f>G474</f>
        <v>381600</v>
      </c>
      <c r="H473" s="78"/>
    </row>
    <row r="474" spans="1:8" ht="31.5" outlineLevel="7">
      <c r="A474" s="76" t="s">
        <v>441</v>
      </c>
      <c r="B474" s="77" t="s">
        <v>733</v>
      </c>
      <c r="C474" s="77" t="s">
        <v>159</v>
      </c>
      <c r="D474" s="77" t="s">
        <v>2</v>
      </c>
      <c r="E474" s="77" t="s">
        <v>1244</v>
      </c>
      <c r="F474" s="77" t="s">
        <v>1</v>
      </c>
      <c r="G474" s="78">
        <f>G475</f>
        <v>381600</v>
      </c>
      <c r="H474" s="78"/>
    </row>
    <row r="475" spans="1:8" ht="31.5" outlineLevel="7">
      <c r="A475" s="76" t="s">
        <v>693</v>
      </c>
      <c r="B475" s="77" t="s">
        <v>733</v>
      </c>
      <c r="C475" s="77" t="s">
        <v>159</v>
      </c>
      <c r="D475" s="77" t="s">
        <v>2</v>
      </c>
      <c r="E475" s="77" t="s">
        <v>1244</v>
      </c>
      <c r="F475" s="77" t="s">
        <v>17</v>
      </c>
      <c r="G475" s="78">
        <f>381600</f>
        <v>381600</v>
      </c>
      <c r="H475" s="78"/>
    </row>
    <row r="476" spans="1:8" ht="63" outlineLevel="7">
      <c r="A476" s="76" t="s">
        <v>1245</v>
      </c>
      <c r="B476" s="77" t="s">
        <v>733</v>
      </c>
      <c r="C476" s="77" t="s">
        <v>159</v>
      </c>
      <c r="D476" s="77" t="s">
        <v>2</v>
      </c>
      <c r="E476" s="77" t="s">
        <v>1246</v>
      </c>
      <c r="F476" s="77" t="s">
        <v>1</v>
      </c>
      <c r="G476" s="78">
        <f>G477</f>
        <v>726880</v>
      </c>
      <c r="H476" s="78"/>
    </row>
    <row r="477" spans="1:8" ht="31.5" outlineLevel="7">
      <c r="A477" s="76" t="s">
        <v>441</v>
      </c>
      <c r="B477" s="77" t="s">
        <v>733</v>
      </c>
      <c r="C477" s="77" t="s">
        <v>159</v>
      </c>
      <c r="D477" s="77" t="s">
        <v>2</v>
      </c>
      <c r="E477" s="77" t="s">
        <v>1247</v>
      </c>
      <c r="F477" s="77" t="s">
        <v>1</v>
      </c>
      <c r="G477" s="78">
        <f>G478</f>
        <v>726880</v>
      </c>
      <c r="H477" s="78"/>
    </row>
    <row r="478" spans="1:8" ht="31.5" outlineLevel="7">
      <c r="A478" s="76" t="s">
        <v>693</v>
      </c>
      <c r="B478" s="77" t="s">
        <v>733</v>
      </c>
      <c r="C478" s="77" t="s">
        <v>159</v>
      </c>
      <c r="D478" s="77" t="s">
        <v>2</v>
      </c>
      <c r="E478" s="77" t="s">
        <v>1247</v>
      </c>
      <c r="F478" s="77" t="s">
        <v>17</v>
      </c>
      <c r="G478" s="78">
        <f>304880+422000</f>
        <v>726880</v>
      </c>
      <c r="H478" s="78"/>
    </row>
    <row r="479" spans="1:8" ht="15.75" outlineLevel="7">
      <c r="A479" s="82" t="s">
        <v>677</v>
      </c>
      <c r="B479" s="73" t="s">
        <v>733</v>
      </c>
      <c r="C479" s="73" t="s">
        <v>159</v>
      </c>
      <c r="D479" s="73" t="s">
        <v>5</v>
      </c>
      <c r="E479" s="83" t="s">
        <v>4</v>
      </c>
      <c r="F479" s="83" t="s">
        <v>1</v>
      </c>
      <c r="G479" s="74">
        <f>G480</f>
        <v>57979709.01</v>
      </c>
      <c r="H479" s="78"/>
    </row>
    <row r="480" spans="1:9" s="75" customFormat="1" ht="78.75" outlineLevel="3">
      <c r="A480" s="72" t="s">
        <v>660</v>
      </c>
      <c r="B480" s="73" t="s">
        <v>733</v>
      </c>
      <c r="C480" s="73" t="s">
        <v>159</v>
      </c>
      <c r="D480" s="73" t="s">
        <v>5</v>
      </c>
      <c r="E480" s="73" t="s">
        <v>160</v>
      </c>
      <c r="F480" s="73" t="s">
        <v>1</v>
      </c>
      <c r="G480" s="74">
        <f>G481+G491</f>
        <v>57979709.01</v>
      </c>
      <c r="H480" s="74"/>
      <c r="I480" s="206"/>
    </row>
    <row r="481" spans="1:9" s="75" customFormat="1" ht="63" outlineLevel="4">
      <c r="A481" s="72" t="s">
        <v>637</v>
      </c>
      <c r="B481" s="73" t="s">
        <v>733</v>
      </c>
      <c r="C481" s="73" t="s">
        <v>159</v>
      </c>
      <c r="D481" s="73" t="s">
        <v>5</v>
      </c>
      <c r="E481" s="73" t="s">
        <v>211</v>
      </c>
      <c r="F481" s="73" t="s">
        <v>1</v>
      </c>
      <c r="G481" s="74">
        <f>G482+G485+G488</f>
        <v>1907981.7999999998</v>
      </c>
      <c r="H481" s="74"/>
      <c r="I481" s="206"/>
    </row>
    <row r="482" spans="1:8" ht="15.75" outlineLevel="5">
      <c r="A482" s="76" t="s">
        <v>1188</v>
      </c>
      <c r="B482" s="77" t="s">
        <v>733</v>
      </c>
      <c r="C482" s="77" t="s">
        <v>159</v>
      </c>
      <c r="D482" s="77" t="s">
        <v>5</v>
      </c>
      <c r="E482" s="77" t="s">
        <v>212</v>
      </c>
      <c r="F482" s="77" t="s">
        <v>1</v>
      </c>
      <c r="G482" s="78">
        <f>G483</f>
        <v>499022</v>
      </c>
      <c r="H482" s="78"/>
    </row>
    <row r="483" spans="1:8" ht="31.5" outlineLevel="6">
      <c r="A483" s="76" t="s">
        <v>460</v>
      </c>
      <c r="B483" s="77" t="s">
        <v>733</v>
      </c>
      <c r="C483" s="77" t="s">
        <v>159</v>
      </c>
      <c r="D483" s="77" t="s">
        <v>5</v>
      </c>
      <c r="E483" s="77" t="s">
        <v>213</v>
      </c>
      <c r="F483" s="77" t="s">
        <v>1</v>
      </c>
      <c r="G483" s="78">
        <f>G484</f>
        <v>499022</v>
      </c>
      <c r="H483" s="78"/>
    </row>
    <row r="484" spans="1:8" ht="31.5" outlineLevel="7">
      <c r="A484" s="76" t="s">
        <v>693</v>
      </c>
      <c r="B484" s="77" t="s">
        <v>733</v>
      </c>
      <c r="C484" s="77" t="s">
        <v>159</v>
      </c>
      <c r="D484" s="77" t="s">
        <v>5</v>
      </c>
      <c r="E484" s="77" t="s">
        <v>213</v>
      </c>
      <c r="F484" s="77" t="s">
        <v>17</v>
      </c>
      <c r="G484" s="78">
        <f>565337.64-66315.64</f>
        <v>499022</v>
      </c>
      <c r="H484" s="78"/>
    </row>
    <row r="485" spans="1:8" ht="15.75" outlineLevel="5">
      <c r="A485" s="76" t="s">
        <v>1189</v>
      </c>
      <c r="B485" s="77" t="s">
        <v>733</v>
      </c>
      <c r="C485" s="77" t="s">
        <v>159</v>
      </c>
      <c r="D485" s="77" t="s">
        <v>5</v>
      </c>
      <c r="E485" s="77" t="s">
        <v>214</v>
      </c>
      <c r="F485" s="77" t="s">
        <v>1</v>
      </c>
      <c r="G485" s="78">
        <f>G486</f>
        <v>1008959.7999999999</v>
      </c>
      <c r="H485" s="78"/>
    </row>
    <row r="486" spans="1:8" ht="31.5" outlineLevel="6">
      <c r="A486" s="76" t="s">
        <v>460</v>
      </c>
      <c r="B486" s="77" t="s">
        <v>733</v>
      </c>
      <c r="C486" s="77" t="s">
        <v>159</v>
      </c>
      <c r="D486" s="77" t="s">
        <v>5</v>
      </c>
      <c r="E486" s="77" t="s">
        <v>215</v>
      </c>
      <c r="F486" s="77" t="s">
        <v>1</v>
      </c>
      <c r="G486" s="78">
        <f>G487</f>
        <v>1008959.7999999999</v>
      </c>
      <c r="H486" s="78"/>
    </row>
    <row r="487" spans="1:8" ht="31.5" outlineLevel="7">
      <c r="A487" s="76" t="s">
        <v>693</v>
      </c>
      <c r="B487" s="77" t="s">
        <v>733</v>
      </c>
      <c r="C487" s="77" t="s">
        <v>159</v>
      </c>
      <c r="D487" s="77" t="s">
        <v>5</v>
      </c>
      <c r="E487" s="77" t="s">
        <v>215</v>
      </c>
      <c r="F487" s="77" t="s">
        <v>17</v>
      </c>
      <c r="G487" s="78">
        <f>1060829.9-51870.1</f>
        <v>1008959.7999999999</v>
      </c>
      <c r="H487" s="78"/>
    </row>
    <row r="488" spans="1:8" ht="47.25" outlineLevel="7">
      <c r="A488" s="76" t="s">
        <v>1231</v>
      </c>
      <c r="B488" s="77" t="s">
        <v>733</v>
      </c>
      <c r="C488" s="77" t="s">
        <v>159</v>
      </c>
      <c r="D488" s="77" t="s">
        <v>5</v>
      </c>
      <c r="E488" s="77" t="s">
        <v>1232</v>
      </c>
      <c r="F488" s="77" t="s">
        <v>1</v>
      </c>
      <c r="G488" s="78">
        <f>G489</f>
        <v>400000</v>
      </c>
      <c r="H488" s="78"/>
    </row>
    <row r="489" spans="1:8" ht="31.5" outlineLevel="7">
      <c r="A489" s="76" t="s">
        <v>441</v>
      </c>
      <c r="B489" s="77" t="s">
        <v>733</v>
      </c>
      <c r="C489" s="77" t="s">
        <v>159</v>
      </c>
      <c r="D489" s="77" t="s">
        <v>5</v>
      </c>
      <c r="E489" s="77" t="s">
        <v>1233</v>
      </c>
      <c r="F489" s="77" t="s">
        <v>1</v>
      </c>
      <c r="G489" s="78">
        <f>G490</f>
        <v>400000</v>
      </c>
      <c r="H489" s="78"/>
    </row>
    <row r="490" spans="1:8" ht="31.5" outlineLevel="7">
      <c r="A490" s="76" t="s">
        <v>693</v>
      </c>
      <c r="B490" s="77" t="s">
        <v>733</v>
      </c>
      <c r="C490" s="77" t="s">
        <v>159</v>
      </c>
      <c r="D490" s="77" t="s">
        <v>5</v>
      </c>
      <c r="E490" s="77" t="s">
        <v>1233</v>
      </c>
      <c r="F490" s="77" t="s">
        <v>17</v>
      </c>
      <c r="G490" s="78">
        <f>400000</f>
        <v>400000</v>
      </c>
      <c r="H490" s="78"/>
    </row>
    <row r="491" spans="1:9" s="75" customFormat="1" ht="63" outlineLevel="4">
      <c r="A491" s="217" t="s">
        <v>638</v>
      </c>
      <c r="B491" s="218" t="s">
        <v>733</v>
      </c>
      <c r="C491" s="218" t="s">
        <v>159</v>
      </c>
      <c r="D491" s="218" t="s">
        <v>5</v>
      </c>
      <c r="E491" s="218" t="s">
        <v>216</v>
      </c>
      <c r="F491" s="218" t="s">
        <v>1</v>
      </c>
      <c r="G491" s="219">
        <f>G492+G495+G498</f>
        <v>56071727.21</v>
      </c>
      <c r="H491" s="219"/>
      <c r="I491" s="206"/>
    </row>
    <row r="492" spans="1:8" ht="78.75" hidden="1" outlineLevel="5">
      <c r="A492" s="217" t="s">
        <v>1111</v>
      </c>
      <c r="B492" s="218" t="s">
        <v>733</v>
      </c>
      <c r="C492" s="218" t="s">
        <v>159</v>
      </c>
      <c r="D492" s="218" t="s">
        <v>5</v>
      </c>
      <c r="E492" s="218" t="s">
        <v>217</v>
      </c>
      <c r="F492" s="218" t="s">
        <v>1</v>
      </c>
      <c r="G492" s="219">
        <f>G493</f>
        <v>0</v>
      </c>
      <c r="H492" s="219"/>
    </row>
    <row r="493" spans="1:8" ht="31.5" hidden="1" outlineLevel="6">
      <c r="A493" s="217" t="s">
        <v>461</v>
      </c>
      <c r="B493" s="218" t="s">
        <v>733</v>
      </c>
      <c r="C493" s="218" t="s">
        <v>159</v>
      </c>
      <c r="D493" s="218" t="s">
        <v>5</v>
      </c>
      <c r="E493" s="218" t="s">
        <v>218</v>
      </c>
      <c r="F493" s="218" t="s">
        <v>1</v>
      </c>
      <c r="G493" s="219">
        <f>G494</f>
        <v>0</v>
      </c>
      <c r="H493" s="219"/>
    </row>
    <row r="494" spans="1:8" ht="15.75" hidden="1" outlineLevel="7">
      <c r="A494" s="217" t="s">
        <v>695</v>
      </c>
      <c r="B494" s="218" t="s">
        <v>733</v>
      </c>
      <c r="C494" s="218" t="s">
        <v>159</v>
      </c>
      <c r="D494" s="218" t="s">
        <v>5</v>
      </c>
      <c r="E494" s="218" t="s">
        <v>218</v>
      </c>
      <c r="F494" s="218" t="s">
        <v>65</v>
      </c>
      <c r="G494" s="219">
        <f>13482633.29-13482633.29</f>
        <v>0</v>
      </c>
      <c r="H494" s="219"/>
    </row>
    <row r="495" spans="1:8" ht="47.25" outlineLevel="5" collapsed="1">
      <c r="A495" s="217" t="s">
        <v>1112</v>
      </c>
      <c r="B495" s="218" t="s">
        <v>733</v>
      </c>
      <c r="C495" s="218" t="s">
        <v>159</v>
      </c>
      <c r="D495" s="218" t="s">
        <v>5</v>
      </c>
      <c r="E495" s="218" t="s">
        <v>219</v>
      </c>
      <c r="F495" s="218" t="s">
        <v>1</v>
      </c>
      <c r="G495" s="219">
        <f>G496</f>
        <v>26728.0600000003</v>
      </c>
      <c r="H495" s="219"/>
    </row>
    <row r="496" spans="1:8" ht="31.5" outlineLevel="6">
      <c r="A496" s="148" t="s">
        <v>441</v>
      </c>
      <c r="B496" s="149" t="s">
        <v>733</v>
      </c>
      <c r="C496" s="149" t="s">
        <v>159</v>
      </c>
      <c r="D496" s="149" t="s">
        <v>5</v>
      </c>
      <c r="E496" s="149" t="s">
        <v>220</v>
      </c>
      <c r="F496" s="149" t="s">
        <v>1</v>
      </c>
      <c r="G496" s="150">
        <f>G497</f>
        <v>26728.0600000003</v>
      </c>
      <c r="H496" s="150"/>
    </row>
    <row r="497" spans="1:9" ht="31.5" outlineLevel="7">
      <c r="A497" s="148" t="s">
        <v>693</v>
      </c>
      <c r="B497" s="149" t="s">
        <v>733</v>
      </c>
      <c r="C497" s="149" t="s">
        <v>159</v>
      </c>
      <c r="D497" s="149" t="s">
        <v>5</v>
      </c>
      <c r="E497" s="149" t="s">
        <v>220</v>
      </c>
      <c r="F497" s="149" t="s">
        <v>17</v>
      </c>
      <c r="G497" s="150">
        <f>2509380.7+10396791.53-132000+39259000-79289.95+32504.07-51953882.28-32504.07+26728.06</f>
        <v>26728.0600000003</v>
      </c>
      <c r="H497" s="150"/>
      <c r="I497" s="225"/>
    </row>
    <row r="498" spans="1:10" ht="31.5" outlineLevel="7">
      <c r="A498" s="148" t="s">
        <v>1273</v>
      </c>
      <c r="B498" s="149" t="s">
        <v>733</v>
      </c>
      <c r="C498" s="149" t="s">
        <v>159</v>
      </c>
      <c r="D498" s="149" t="s">
        <v>5</v>
      </c>
      <c r="E498" s="149" t="s">
        <v>1274</v>
      </c>
      <c r="F498" s="149" t="s">
        <v>1</v>
      </c>
      <c r="G498" s="150">
        <f>G499</f>
        <v>56044999.15</v>
      </c>
      <c r="H498" s="219"/>
      <c r="I498" s="225"/>
      <c r="J498" s="224"/>
    </row>
    <row r="499" spans="1:8" ht="31.5" outlineLevel="7">
      <c r="A499" s="148" t="s">
        <v>441</v>
      </c>
      <c r="B499" s="149" t="s">
        <v>733</v>
      </c>
      <c r="C499" s="149" t="s">
        <v>159</v>
      </c>
      <c r="D499" s="149" t="s">
        <v>5</v>
      </c>
      <c r="E499" s="149" t="s">
        <v>1275</v>
      </c>
      <c r="F499" s="149" t="s">
        <v>1</v>
      </c>
      <c r="G499" s="150">
        <f>G500</f>
        <v>56044999.15</v>
      </c>
      <c r="H499" s="219"/>
    </row>
    <row r="500" spans="1:8" ht="31.5" outlineLevel="7">
      <c r="A500" s="148" t="s">
        <v>693</v>
      </c>
      <c r="B500" s="149" t="s">
        <v>733</v>
      </c>
      <c r="C500" s="149" t="s">
        <v>159</v>
      </c>
      <c r="D500" s="149" t="s">
        <v>5</v>
      </c>
      <c r="E500" s="149" t="s">
        <v>1275</v>
      </c>
      <c r="F500" s="149" t="s">
        <v>17</v>
      </c>
      <c r="G500" s="150">
        <f>51953882.28-86871.39+32504.07+1145484.19+3000000</f>
        <v>56044999.15</v>
      </c>
      <c r="H500" s="219"/>
    </row>
    <row r="501" spans="1:9" s="75" customFormat="1" ht="15.75" outlineLevel="2">
      <c r="A501" s="72" t="s">
        <v>678</v>
      </c>
      <c r="B501" s="73" t="s">
        <v>733</v>
      </c>
      <c r="C501" s="73" t="s">
        <v>159</v>
      </c>
      <c r="D501" s="73" t="s">
        <v>14</v>
      </c>
      <c r="E501" s="73" t="s">
        <v>4</v>
      </c>
      <c r="F501" s="73" t="s">
        <v>1</v>
      </c>
      <c r="G501" s="74">
        <f>G502</f>
        <v>45831588.33</v>
      </c>
      <c r="H501" s="74">
        <f>H502</f>
        <v>9588870</v>
      </c>
      <c r="I501" s="206"/>
    </row>
    <row r="502" spans="1:9" s="75" customFormat="1" ht="78.75" outlineLevel="3">
      <c r="A502" s="72" t="s">
        <v>660</v>
      </c>
      <c r="B502" s="73" t="s">
        <v>733</v>
      </c>
      <c r="C502" s="73" t="s">
        <v>159</v>
      </c>
      <c r="D502" s="73" t="s">
        <v>14</v>
      </c>
      <c r="E502" s="73" t="s">
        <v>160</v>
      </c>
      <c r="F502" s="73" t="s">
        <v>1</v>
      </c>
      <c r="G502" s="74">
        <f>G503</f>
        <v>45831588.33</v>
      </c>
      <c r="H502" s="74">
        <f>H503</f>
        <v>9588870</v>
      </c>
      <c r="I502" s="206"/>
    </row>
    <row r="503" spans="1:9" s="75" customFormat="1" ht="47.25" outlineLevel="4">
      <c r="A503" s="72" t="s">
        <v>630</v>
      </c>
      <c r="B503" s="73" t="s">
        <v>733</v>
      </c>
      <c r="C503" s="73" t="s">
        <v>159</v>
      </c>
      <c r="D503" s="73" t="s">
        <v>14</v>
      </c>
      <c r="E503" s="73" t="s">
        <v>161</v>
      </c>
      <c r="F503" s="73" t="s">
        <v>1</v>
      </c>
      <c r="G503" s="74">
        <f>G504+G507+G510+G513+G527+G530+G518+G533</f>
        <v>45831588.33</v>
      </c>
      <c r="H503" s="74">
        <f>H504+H507+H510+H513+H527+H530+H518+H533</f>
        <v>9588870</v>
      </c>
      <c r="I503" s="206"/>
    </row>
    <row r="504" spans="1:8" ht="47.25" outlineLevel="5">
      <c r="A504" s="76" t="s">
        <v>1113</v>
      </c>
      <c r="B504" s="77" t="s">
        <v>733</v>
      </c>
      <c r="C504" s="77" t="s">
        <v>159</v>
      </c>
      <c r="D504" s="77" t="s">
        <v>14</v>
      </c>
      <c r="E504" s="77" t="s">
        <v>221</v>
      </c>
      <c r="F504" s="77" t="s">
        <v>1</v>
      </c>
      <c r="G504" s="78">
        <f>G505</f>
        <v>15425832.75</v>
      </c>
      <c r="H504" s="78"/>
    </row>
    <row r="505" spans="1:8" ht="47.25" outlineLevel="6">
      <c r="A505" s="76" t="s">
        <v>462</v>
      </c>
      <c r="B505" s="77" t="s">
        <v>733</v>
      </c>
      <c r="C505" s="77" t="s">
        <v>159</v>
      </c>
      <c r="D505" s="77" t="s">
        <v>14</v>
      </c>
      <c r="E505" s="77" t="s">
        <v>222</v>
      </c>
      <c r="F505" s="77" t="s">
        <v>1</v>
      </c>
      <c r="G505" s="78">
        <f>G506</f>
        <v>15425832.75</v>
      </c>
      <c r="H505" s="78"/>
    </row>
    <row r="506" spans="1:8" ht="31.5" outlineLevel="7">
      <c r="A506" s="76" t="s">
        <v>693</v>
      </c>
      <c r="B506" s="77" t="s">
        <v>733</v>
      </c>
      <c r="C506" s="77" t="s">
        <v>159</v>
      </c>
      <c r="D506" s="77" t="s">
        <v>14</v>
      </c>
      <c r="E506" s="77" t="s">
        <v>222</v>
      </c>
      <c r="F506" s="77" t="s">
        <v>17</v>
      </c>
      <c r="G506" s="78">
        <f>15953571.42-527738.67</f>
        <v>15425832.75</v>
      </c>
      <c r="H506" s="78"/>
    </row>
    <row r="507" spans="1:8" ht="78.75" outlineLevel="5">
      <c r="A507" s="76" t="s">
        <v>1114</v>
      </c>
      <c r="B507" s="77" t="s">
        <v>733</v>
      </c>
      <c r="C507" s="77" t="s">
        <v>159</v>
      </c>
      <c r="D507" s="77" t="s">
        <v>14</v>
      </c>
      <c r="E507" s="77" t="s">
        <v>223</v>
      </c>
      <c r="F507" s="77" t="s">
        <v>1</v>
      </c>
      <c r="G507" s="78">
        <f>G508</f>
        <v>10594692.879999999</v>
      </c>
      <c r="H507" s="78"/>
    </row>
    <row r="508" spans="1:8" ht="47.25" outlineLevel="6">
      <c r="A508" s="76" t="s">
        <v>463</v>
      </c>
      <c r="B508" s="77" t="s">
        <v>733</v>
      </c>
      <c r="C508" s="77" t="s">
        <v>159</v>
      </c>
      <c r="D508" s="77" t="s">
        <v>14</v>
      </c>
      <c r="E508" s="77" t="s">
        <v>224</v>
      </c>
      <c r="F508" s="77" t="s">
        <v>1</v>
      </c>
      <c r="G508" s="78">
        <f>G509</f>
        <v>10594692.879999999</v>
      </c>
      <c r="H508" s="78"/>
    </row>
    <row r="509" spans="1:8" ht="31.5" outlineLevel="7">
      <c r="A509" s="76" t="s">
        <v>693</v>
      </c>
      <c r="B509" s="77" t="s">
        <v>733</v>
      </c>
      <c r="C509" s="77" t="s">
        <v>159</v>
      </c>
      <c r="D509" s="77" t="s">
        <v>14</v>
      </c>
      <c r="E509" s="77" t="s">
        <v>224</v>
      </c>
      <c r="F509" s="77" t="s">
        <v>17</v>
      </c>
      <c r="G509" s="78">
        <f>13274260.85-2445935.69-5914.96-227717.32</f>
        <v>10594692.879999999</v>
      </c>
      <c r="H509" s="78"/>
    </row>
    <row r="510" spans="1:8" ht="63" outlineLevel="5">
      <c r="A510" s="76" t="s">
        <v>1115</v>
      </c>
      <c r="B510" s="77" t="s">
        <v>733</v>
      </c>
      <c r="C510" s="77" t="s">
        <v>159</v>
      </c>
      <c r="D510" s="77" t="s">
        <v>14</v>
      </c>
      <c r="E510" s="77" t="s">
        <v>225</v>
      </c>
      <c r="F510" s="77" t="s">
        <v>1</v>
      </c>
      <c r="G510" s="78">
        <f>G511</f>
        <v>1555876.27</v>
      </c>
      <c r="H510" s="78"/>
    </row>
    <row r="511" spans="1:8" ht="31.5" outlineLevel="6">
      <c r="A511" s="76" t="s">
        <v>456</v>
      </c>
      <c r="B511" s="77" t="s">
        <v>733</v>
      </c>
      <c r="C511" s="77" t="s">
        <v>159</v>
      </c>
      <c r="D511" s="77" t="s">
        <v>14</v>
      </c>
      <c r="E511" s="77" t="s">
        <v>226</v>
      </c>
      <c r="F511" s="77" t="s">
        <v>1</v>
      </c>
      <c r="G511" s="78">
        <f>G512</f>
        <v>1555876.27</v>
      </c>
      <c r="H511" s="78"/>
    </row>
    <row r="512" spans="1:8" ht="31.5" outlineLevel="7">
      <c r="A512" s="76" t="s">
        <v>693</v>
      </c>
      <c r="B512" s="77" t="s">
        <v>733</v>
      </c>
      <c r="C512" s="77" t="s">
        <v>159</v>
      </c>
      <c r="D512" s="77" t="s">
        <v>14</v>
      </c>
      <c r="E512" s="77" t="s">
        <v>226</v>
      </c>
      <c r="F512" s="77" t="s">
        <v>17</v>
      </c>
      <c r="G512" s="78">
        <f>403340.65+128394.54+1024141.08</f>
        <v>1555876.27</v>
      </c>
      <c r="H512" s="78"/>
    </row>
    <row r="513" spans="1:8" ht="31.5" outlineLevel="5">
      <c r="A513" s="76" t="s">
        <v>1116</v>
      </c>
      <c r="B513" s="77" t="s">
        <v>733</v>
      </c>
      <c r="C513" s="77" t="s">
        <v>159</v>
      </c>
      <c r="D513" s="77" t="s">
        <v>14</v>
      </c>
      <c r="E513" s="77" t="s">
        <v>227</v>
      </c>
      <c r="F513" s="77" t="s">
        <v>1</v>
      </c>
      <c r="G513" s="78">
        <f>G514+G516</f>
        <v>644061.7500000001</v>
      </c>
      <c r="H513" s="78"/>
    </row>
    <row r="514" spans="1:8" ht="31.5" outlineLevel="6">
      <c r="A514" s="76" t="s">
        <v>441</v>
      </c>
      <c r="B514" s="77" t="s">
        <v>733</v>
      </c>
      <c r="C514" s="77" t="s">
        <v>159</v>
      </c>
      <c r="D514" s="77" t="s">
        <v>14</v>
      </c>
      <c r="E514" s="77" t="s">
        <v>228</v>
      </c>
      <c r="F514" s="77" t="s">
        <v>1</v>
      </c>
      <c r="G514" s="78">
        <f>G515</f>
        <v>644061.7500000001</v>
      </c>
      <c r="H514" s="78"/>
    </row>
    <row r="515" spans="1:8" ht="31.5" outlineLevel="7">
      <c r="A515" s="76" t="s">
        <v>693</v>
      </c>
      <c r="B515" s="77" t="s">
        <v>733</v>
      </c>
      <c r="C515" s="77" t="s">
        <v>159</v>
      </c>
      <c r="D515" s="77" t="s">
        <v>14</v>
      </c>
      <c r="E515" s="77" t="s">
        <v>228</v>
      </c>
      <c r="F515" s="77" t="s">
        <v>17</v>
      </c>
      <c r="G515" s="78">
        <f>936558.43-270000-1170.7-21325.98</f>
        <v>644061.7500000001</v>
      </c>
      <c r="H515" s="78"/>
    </row>
    <row r="516" spans="1:8" ht="47.25" hidden="1" outlineLevel="6">
      <c r="A516" s="76" t="s">
        <v>464</v>
      </c>
      <c r="B516" s="77" t="s">
        <v>733</v>
      </c>
      <c r="C516" s="77" t="s">
        <v>159</v>
      </c>
      <c r="D516" s="77" t="s">
        <v>14</v>
      </c>
      <c r="E516" s="77" t="s">
        <v>229</v>
      </c>
      <c r="F516" s="77" t="s">
        <v>1</v>
      </c>
      <c r="G516" s="78">
        <f>G517</f>
        <v>0</v>
      </c>
      <c r="H516" s="78"/>
    </row>
    <row r="517" spans="1:8" ht="47.25" hidden="1" outlineLevel="7">
      <c r="A517" s="76" t="s">
        <v>1183</v>
      </c>
      <c r="B517" s="77" t="s">
        <v>733</v>
      </c>
      <c r="C517" s="77" t="s">
        <v>159</v>
      </c>
      <c r="D517" s="77" t="s">
        <v>14</v>
      </c>
      <c r="E517" s="77" t="s">
        <v>229</v>
      </c>
      <c r="F517" s="77" t="s">
        <v>143</v>
      </c>
      <c r="G517" s="78">
        <f>17779824-14779824-3000000</f>
        <v>0</v>
      </c>
      <c r="H517" s="78"/>
    </row>
    <row r="518" spans="1:8" ht="31.5" outlineLevel="7">
      <c r="A518" s="76" t="s">
        <v>1248</v>
      </c>
      <c r="B518" s="77" t="s">
        <v>733</v>
      </c>
      <c r="C518" s="77" t="s">
        <v>159</v>
      </c>
      <c r="D518" s="77" t="s">
        <v>14</v>
      </c>
      <c r="E518" s="77" t="s">
        <v>1249</v>
      </c>
      <c r="F518" s="77" t="s">
        <v>1</v>
      </c>
      <c r="G518" s="78">
        <f>G519+G521+G525+G523</f>
        <v>12034805.69</v>
      </c>
      <c r="H518" s="78">
        <f>H519+H521+H525</f>
        <v>9588870</v>
      </c>
    </row>
    <row r="519" spans="1:8" ht="31.5" outlineLevel="7">
      <c r="A519" s="76" t="s">
        <v>456</v>
      </c>
      <c r="B519" s="77" t="s">
        <v>733</v>
      </c>
      <c r="C519" s="77" t="s">
        <v>159</v>
      </c>
      <c r="D519" s="77" t="s">
        <v>14</v>
      </c>
      <c r="E519" s="77" t="s">
        <v>1250</v>
      </c>
      <c r="F519" s="77" t="s">
        <v>1</v>
      </c>
      <c r="G519" s="78">
        <f>G520</f>
        <v>510635.69</v>
      </c>
      <c r="H519" s="78"/>
    </row>
    <row r="520" spans="1:8" ht="31.5" outlineLevel="7">
      <c r="A520" s="76" t="s">
        <v>693</v>
      </c>
      <c r="B520" s="77" t="s">
        <v>733</v>
      </c>
      <c r="C520" s="77" t="s">
        <v>159</v>
      </c>
      <c r="D520" s="77" t="s">
        <v>14</v>
      </c>
      <c r="E520" s="77" t="s">
        <v>1250</v>
      </c>
      <c r="F520" s="77" t="s">
        <v>17</v>
      </c>
      <c r="G520" s="78">
        <f>510635.69</f>
        <v>510635.69</v>
      </c>
      <c r="H520" s="78"/>
    </row>
    <row r="521" spans="1:8" ht="31.5" outlineLevel="7">
      <c r="A521" s="76" t="s">
        <v>441</v>
      </c>
      <c r="B521" s="77" t="s">
        <v>733</v>
      </c>
      <c r="C521" s="77" t="s">
        <v>159</v>
      </c>
      <c r="D521" s="77" t="s">
        <v>14</v>
      </c>
      <c r="E521" s="77" t="s">
        <v>1251</v>
      </c>
      <c r="F521" s="77" t="s">
        <v>1</v>
      </c>
      <c r="G521" s="78">
        <f>G522</f>
        <v>635300</v>
      </c>
      <c r="H521" s="78"/>
    </row>
    <row r="522" spans="1:8" ht="31.5" outlineLevel="7">
      <c r="A522" s="76" t="s">
        <v>693</v>
      </c>
      <c r="B522" s="77" t="s">
        <v>733</v>
      </c>
      <c r="C522" s="77" t="s">
        <v>159</v>
      </c>
      <c r="D522" s="77" t="s">
        <v>14</v>
      </c>
      <c r="E522" s="77" t="s">
        <v>1251</v>
      </c>
      <c r="F522" s="77" t="s">
        <v>17</v>
      </c>
      <c r="G522" s="78">
        <f>1935300-1300000</f>
        <v>635300</v>
      </c>
      <c r="H522" s="78"/>
    </row>
    <row r="523" spans="1:8" ht="47.25" outlineLevel="7">
      <c r="A523" s="76" t="s">
        <v>1262</v>
      </c>
      <c r="B523" s="77" t="s">
        <v>733</v>
      </c>
      <c r="C523" s="77" t="s">
        <v>159</v>
      </c>
      <c r="D523" s="77" t="s">
        <v>14</v>
      </c>
      <c r="E523" s="77" t="s">
        <v>1276</v>
      </c>
      <c r="F523" s="77" t="s">
        <v>1</v>
      </c>
      <c r="G523" s="78">
        <f>G524</f>
        <v>1300000</v>
      </c>
      <c r="H523" s="78"/>
    </row>
    <row r="524" spans="1:8" ht="31.5" outlineLevel="7">
      <c r="A524" s="76" t="s">
        <v>693</v>
      </c>
      <c r="B524" s="77" t="s">
        <v>733</v>
      </c>
      <c r="C524" s="77" t="s">
        <v>159</v>
      </c>
      <c r="D524" s="77" t="s">
        <v>14</v>
      </c>
      <c r="E524" s="77" t="s">
        <v>1276</v>
      </c>
      <c r="F524" s="77" t="s">
        <v>17</v>
      </c>
      <c r="G524" s="78">
        <f>1300000</f>
        <v>1300000</v>
      </c>
      <c r="H524" s="78"/>
    </row>
    <row r="525" spans="1:8" ht="47.25" outlineLevel="7">
      <c r="A525" s="76" t="s">
        <v>1262</v>
      </c>
      <c r="B525" s="77" t="s">
        <v>733</v>
      </c>
      <c r="C525" s="77" t="s">
        <v>159</v>
      </c>
      <c r="D525" s="77" t="s">
        <v>14</v>
      </c>
      <c r="E525" s="77" t="s">
        <v>1263</v>
      </c>
      <c r="F525" s="77" t="s">
        <v>1</v>
      </c>
      <c r="G525" s="78">
        <f>G526</f>
        <v>9588870</v>
      </c>
      <c r="H525" s="78">
        <f>H526</f>
        <v>9588870</v>
      </c>
    </row>
    <row r="526" spans="1:8" ht="31.5" outlineLevel="7">
      <c r="A526" s="76" t="s">
        <v>693</v>
      </c>
      <c r="B526" s="77" t="s">
        <v>733</v>
      </c>
      <c r="C526" s="77" t="s">
        <v>159</v>
      </c>
      <c r="D526" s="77" t="s">
        <v>14</v>
      </c>
      <c r="E526" s="77" t="s">
        <v>1263</v>
      </c>
      <c r="F526" s="77" t="s">
        <v>17</v>
      </c>
      <c r="G526" s="78">
        <f>9588870</f>
        <v>9588870</v>
      </c>
      <c r="H526" s="78">
        <f>G526</f>
        <v>9588870</v>
      </c>
    </row>
    <row r="527" spans="1:8" ht="31.5" outlineLevel="5">
      <c r="A527" s="76" t="s">
        <v>1117</v>
      </c>
      <c r="B527" s="77" t="s">
        <v>733</v>
      </c>
      <c r="C527" s="77" t="s">
        <v>159</v>
      </c>
      <c r="D527" s="77" t="s">
        <v>14</v>
      </c>
      <c r="E527" s="77" t="s">
        <v>230</v>
      </c>
      <c r="F527" s="77" t="s">
        <v>1</v>
      </c>
      <c r="G527" s="78">
        <f>G528</f>
        <v>3663773.16</v>
      </c>
      <c r="H527" s="78"/>
    </row>
    <row r="528" spans="1:8" ht="31.5" outlineLevel="6">
      <c r="A528" s="76" t="s">
        <v>441</v>
      </c>
      <c r="B528" s="77" t="s">
        <v>733</v>
      </c>
      <c r="C528" s="77" t="s">
        <v>159</v>
      </c>
      <c r="D528" s="77" t="s">
        <v>14</v>
      </c>
      <c r="E528" s="77" t="s">
        <v>231</v>
      </c>
      <c r="F528" s="77" t="s">
        <v>1</v>
      </c>
      <c r="G528" s="78">
        <f>G529</f>
        <v>3663773.16</v>
      </c>
      <c r="H528" s="78"/>
    </row>
    <row r="529" spans="1:8" ht="31.5" outlineLevel="7">
      <c r="A529" s="76" t="s">
        <v>693</v>
      </c>
      <c r="B529" s="77" t="s">
        <v>733</v>
      </c>
      <c r="C529" s="77" t="s">
        <v>159</v>
      </c>
      <c r="D529" s="77" t="s">
        <v>14</v>
      </c>
      <c r="E529" s="77" t="s">
        <v>231</v>
      </c>
      <c r="F529" s="77" t="s">
        <v>17</v>
      </c>
      <c r="G529" s="78">
        <f>4002811.57-2914.34-182295.23-143828.84-10000</f>
        <v>3663773.16</v>
      </c>
      <c r="H529" s="78"/>
    </row>
    <row r="530" spans="1:8" ht="47.25" outlineLevel="5">
      <c r="A530" s="76" t="s">
        <v>1118</v>
      </c>
      <c r="B530" s="77" t="s">
        <v>733</v>
      </c>
      <c r="C530" s="77" t="s">
        <v>159</v>
      </c>
      <c r="D530" s="77" t="s">
        <v>14</v>
      </c>
      <c r="E530" s="77" t="s">
        <v>232</v>
      </c>
      <c r="F530" s="77" t="s">
        <v>1</v>
      </c>
      <c r="G530" s="78">
        <f>G531</f>
        <v>1190564</v>
      </c>
      <c r="H530" s="78"/>
    </row>
    <row r="531" spans="1:8" ht="31.5" outlineLevel="6">
      <c r="A531" s="76" t="s">
        <v>441</v>
      </c>
      <c r="B531" s="77" t="s">
        <v>733</v>
      </c>
      <c r="C531" s="77" t="s">
        <v>159</v>
      </c>
      <c r="D531" s="77" t="s">
        <v>14</v>
      </c>
      <c r="E531" s="77" t="s">
        <v>233</v>
      </c>
      <c r="F531" s="77" t="s">
        <v>1</v>
      </c>
      <c r="G531" s="78">
        <f>G532</f>
        <v>1190564</v>
      </c>
      <c r="H531" s="78"/>
    </row>
    <row r="532" spans="1:8" ht="31.5" outlineLevel="7">
      <c r="A532" s="76" t="s">
        <v>693</v>
      </c>
      <c r="B532" s="77" t="s">
        <v>733</v>
      </c>
      <c r="C532" s="77" t="s">
        <v>159</v>
      </c>
      <c r="D532" s="77" t="s">
        <v>14</v>
      </c>
      <c r="E532" s="77" t="s">
        <v>233</v>
      </c>
      <c r="F532" s="77" t="s">
        <v>17</v>
      </c>
      <c r="G532" s="78">
        <v>1190564</v>
      </c>
      <c r="H532" s="78"/>
    </row>
    <row r="533" spans="1:8" ht="31.5" outlineLevel="7">
      <c r="A533" s="76" t="s">
        <v>1252</v>
      </c>
      <c r="B533" s="77" t="s">
        <v>733</v>
      </c>
      <c r="C533" s="77" t="s">
        <v>159</v>
      </c>
      <c r="D533" s="77" t="s">
        <v>14</v>
      </c>
      <c r="E533" s="77" t="s">
        <v>1253</v>
      </c>
      <c r="F533" s="77" t="s">
        <v>1</v>
      </c>
      <c r="G533" s="78">
        <f>G534</f>
        <v>721981.83</v>
      </c>
      <c r="H533" s="78"/>
    </row>
    <row r="534" spans="1:8" ht="31.5" outlineLevel="7">
      <c r="A534" s="76" t="s">
        <v>441</v>
      </c>
      <c r="B534" s="77" t="s">
        <v>733</v>
      </c>
      <c r="C534" s="77" t="s">
        <v>159</v>
      </c>
      <c r="D534" s="77" t="s">
        <v>14</v>
      </c>
      <c r="E534" s="77" t="s">
        <v>1254</v>
      </c>
      <c r="F534" s="77" t="s">
        <v>1</v>
      </c>
      <c r="G534" s="78">
        <f>G535</f>
        <v>721981.83</v>
      </c>
      <c r="H534" s="78"/>
    </row>
    <row r="535" spans="1:8" ht="31.5" outlineLevel="7">
      <c r="A535" s="76" t="s">
        <v>693</v>
      </c>
      <c r="B535" s="77" t="s">
        <v>733</v>
      </c>
      <c r="C535" s="77" t="s">
        <v>159</v>
      </c>
      <c r="D535" s="77" t="s">
        <v>14</v>
      </c>
      <c r="E535" s="77" t="s">
        <v>1254</v>
      </c>
      <c r="F535" s="77" t="s">
        <v>17</v>
      </c>
      <c r="G535" s="78">
        <f>182295.23+539686.6</f>
        <v>721981.83</v>
      </c>
      <c r="H535" s="78"/>
    </row>
    <row r="536" spans="1:9" s="75" customFormat="1" ht="31.5" outlineLevel="2">
      <c r="A536" s="72" t="s">
        <v>679</v>
      </c>
      <c r="B536" s="73" t="s">
        <v>733</v>
      </c>
      <c r="C536" s="73" t="s">
        <v>159</v>
      </c>
      <c r="D536" s="73" t="s">
        <v>159</v>
      </c>
      <c r="E536" s="73" t="s">
        <v>4</v>
      </c>
      <c r="F536" s="73" t="s">
        <v>1</v>
      </c>
      <c r="G536" s="74">
        <f>G537+G547+G552</f>
        <v>3561880.3</v>
      </c>
      <c r="H536" s="74"/>
      <c r="I536" s="206"/>
    </row>
    <row r="537" spans="1:9" s="75" customFormat="1" ht="78.75" outlineLevel="3">
      <c r="A537" s="72" t="s">
        <v>660</v>
      </c>
      <c r="B537" s="73" t="s">
        <v>733</v>
      </c>
      <c r="C537" s="73" t="s">
        <v>159</v>
      </c>
      <c r="D537" s="73" t="s">
        <v>159</v>
      </c>
      <c r="E537" s="73" t="s">
        <v>160</v>
      </c>
      <c r="F537" s="73" t="s">
        <v>1</v>
      </c>
      <c r="G537" s="74">
        <f>G538</f>
        <v>1435663.78</v>
      </c>
      <c r="H537" s="74"/>
      <c r="I537" s="206"/>
    </row>
    <row r="538" spans="1:9" s="75" customFormat="1" ht="47.25" outlineLevel="4">
      <c r="A538" s="72" t="s">
        <v>639</v>
      </c>
      <c r="B538" s="73" t="s">
        <v>733</v>
      </c>
      <c r="C538" s="73" t="s">
        <v>159</v>
      </c>
      <c r="D538" s="73" t="s">
        <v>159</v>
      </c>
      <c r="E538" s="73" t="s">
        <v>234</v>
      </c>
      <c r="F538" s="73" t="s">
        <v>1</v>
      </c>
      <c r="G538" s="74">
        <f>G539</f>
        <v>1435663.78</v>
      </c>
      <c r="H538" s="74"/>
      <c r="I538" s="206"/>
    </row>
    <row r="539" spans="1:8" ht="31.5" outlineLevel="5">
      <c r="A539" s="76" t="s">
        <v>1119</v>
      </c>
      <c r="B539" s="77" t="s">
        <v>733</v>
      </c>
      <c r="C539" s="77" t="s">
        <v>159</v>
      </c>
      <c r="D539" s="77" t="s">
        <v>159</v>
      </c>
      <c r="E539" s="77" t="s">
        <v>235</v>
      </c>
      <c r="F539" s="77" t="s">
        <v>1</v>
      </c>
      <c r="G539" s="78">
        <f>G540+G545</f>
        <v>1435663.78</v>
      </c>
      <c r="H539" s="78"/>
    </row>
    <row r="540" spans="1:8" ht="78.75" outlineLevel="6">
      <c r="A540" s="76" t="s">
        <v>443</v>
      </c>
      <c r="B540" s="77" t="s">
        <v>733</v>
      </c>
      <c r="C540" s="77" t="s">
        <v>159</v>
      </c>
      <c r="D540" s="77" t="s">
        <v>159</v>
      </c>
      <c r="E540" s="77" t="s">
        <v>236</v>
      </c>
      <c r="F540" s="77" t="s">
        <v>1</v>
      </c>
      <c r="G540" s="78">
        <f>G541+G542+G543+G544</f>
        <v>1435663.78</v>
      </c>
      <c r="H540" s="78"/>
    </row>
    <row r="541" spans="1:8" ht="94.5" outlineLevel="7">
      <c r="A541" s="76" t="s">
        <v>708</v>
      </c>
      <c r="B541" s="77" t="s">
        <v>733</v>
      </c>
      <c r="C541" s="77" t="s">
        <v>159</v>
      </c>
      <c r="D541" s="77" t="s">
        <v>159</v>
      </c>
      <c r="E541" s="77" t="s">
        <v>236</v>
      </c>
      <c r="F541" s="77" t="s">
        <v>10</v>
      </c>
      <c r="G541" s="78">
        <f>1029104.53+250349.4+74055.88</f>
        <v>1353509.81</v>
      </c>
      <c r="H541" s="78"/>
    </row>
    <row r="542" spans="1:8" ht="31.5" outlineLevel="7">
      <c r="A542" s="76" t="s">
        <v>693</v>
      </c>
      <c r="B542" s="77" t="s">
        <v>733</v>
      </c>
      <c r="C542" s="77" t="s">
        <v>159</v>
      </c>
      <c r="D542" s="77" t="s">
        <v>159</v>
      </c>
      <c r="E542" s="77" t="s">
        <v>236</v>
      </c>
      <c r="F542" s="77" t="s">
        <v>17</v>
      </c>
      <c r="G542" s="78">
        <f>2100+1131.83</f>
        <v>3231.83</v>
      </c>
      <c r="H542" s="78"/>
    </row>
    <row r="543" spans="1:8" ht="31.5" outlineLevel="7">
      <c r="A543" s="148" t="s">
        <v>694</v>
      </c>
      <c r="B543" s="149" t="s">
        <v>733</v>
      </c>
      <c r="C543" s="149" t="s">
        <v>159</v>
      </c>
      <c r="D543" s="149" t="s">
        <v>159</v>
      </c>
      <c r="E543" s="149" t="s">
        <v>236</v>
      </c>
      <c r="F543" s="149" t="s">
        <v>47</v>
      </c>
      <c r="G543" s="150">
        <f>78922.14</f>
        <v>78922.14</v>
      </c>
      <c r="H543" s="150"/>
    </row>
    <row r="544" spans="1:8" ht="15.75" outlineLevel="7">
      <c r="A544" s="76" t="s">
        <v>695</v>
      </c>
      <c r="B544" s="149" t="s">
        <v>733</v>
      </c>
      <c r="C544" s="149" t="s">
        <v>159</v>
      </c>
      <c r="D544" s="149" t="s">
        <v>159</v>
      </c>
      <c r="E544" s="149" t="s">
        <v>236</v>
      </c>
      <c r="F544" s="149" t="s">
        <v>65</v>
      </c>
      <c r="G544" s="150">
        <f>31078-31078</f>
        <v>0</v>
      </c>
      <c r="H544" s="150"/>
    </row>
    <row r="545" spans="1:8" ht="31.5" outlineLevel="6">
      <c r="A545" s="76" t="s">
        <v>441</v>
      </c>
      <c r="B545" s="77" t="s">
        <v>733</v>
      </c>
      <c r="C545" s="77" t="s">
        <v>159</v>
      </c>
      <c r="D545" s="77" t="s">
        <v>159</v>
      </c>
      <c r="E545" s="77" t="s">
        <v>237</v>
      </c>
      <c r="F545" s="77" t="s">
        <v>1</v>
      </c>
      <c r="G545" s="78">
        <f>G546</f>
        <v>0</v>
      </c>
      <c r="H545" s="78"/>
    </row>
    <row r="546" spans="1:8" ht="31.5" outlineLevel="7">
      <c r="A546" s="76" t="s">
        <v>693</v>
      </c>
      <c r="B546" s="77" t="s">
        <v>733</v>
      </c>
      <c r="C546" s="77" t="s">
        <v>159</v>
      </c>
      <c r="D546" s="77" t="s">
        <v>159</v>
      </c>
      <c r="E546" s="77" t="s">
        <v>237</v>
      </c>
      <c r="F546" s="77" t="s">
        <v>17</v>
      </c>
      <c r="G546" s="78">
        <f>425278.56+720205.63-1145484.19</f>
        <v>0</v>
      </c>
      <c r="H546" s="78"/>
    </row>
    <row r="547" spans="1:9" s="75" customFormat="1" ht="47.25" outlineLevel="3">
      <c r="A547" s="72" t="s">
        <v>659</v>
      </c>
      <c r="B547" s="73" t="s">
        <v>733</v>
      </c>
      <c r="C547" s="73" t="s">
        <v>159</v>
      </c>
      <c r="D547" s="73" t="s">
        <v>159</v>
      </c>
      <c r="E547" s="73" t="s">
        <v>90</v>
      </c>
      <c r="F547" s="73" t="s">
        <v>1</v>
      </c>
      <c r="G547" s="74">
        <f>G548</f>
        <v>11400</v>
      </c>
      <c r="H547" s="74"/>
      <c r="I547" s="206"/>
    </row>
    <row r="548" spans="1:9" s="75" customFormat="1" ht="47.25" outlineLevel="4">
      <c r="A548" s="72" t="s">
        <v>624</v>
      </c>
      <c r="B548" s="73" t="s">
        <v>733</v>
      </c>
      <c r="C548" s="73" t="s">
        <v>159</v>
      </c>
      <c r="D548" s="73" t="s">
        <v>159</v>
      </c>
      <c r="E548" s="73" t="s">
        <v>91</v>
      </c>
      <c r="F548" s="73" t="s">
        <v>1</v>
      </c>
      <c r="G548" s="74">
        <f>G549</f>
        <v>11400</v>
      </c>
      <c r="H548" s="74"/>
      <c r="I548" s="206"/>
    </row>
    <row r="549" spans="1:8" ht="31.5" outlineLevel="5">
      <c r="A549" s="76" t="s">
        <v>1074</v>
      </c>
      <c r="B549" s="77" t="s">
        <v>733</v>
      </c>
      <c r="C549" s="77" t="s">
        <v>159</v>
      </c>
      <c r="D549" s="77" t="s">
        <v>159</v>
      </c>
      <c r="E549" s="77" t="s">
        <v>100</v>
      </c>
      <c r="F549" s="77" t="s">
        <v>1</v>
      </c>
      <c r="G549" s="78">
        <f>G550</f>
        <v>11400</v>
      </c>
      <c r="H549" s="78"/>
    </row>
    <row r="550" spans="1:8" ht="31.5" outlineLevel="6">
      <c r="A550" s="76" t="s">
        <v>441</v>
      </c>
      <c r="B550" s="77" t="s">
        <v>733</v>
      </c>
      <c r="C550" s="77" t="s">
        <v>159</v>
      </c>
      <c r="D550" s="77" t="s">
        <v>159</v>
      </c>
      <c r="E550" s="77" t="s">
        <v>101</v>
      </c>
      <c r="F550" s="77" t="s">
        <v>1</v>
      </c>
      <c r="G550" s="78">
        <f>G551</f>
        <v>11400</v>
      </c>
      <c r="H550" s="78"/>
    </row>
    <row r="551" spans="1:8" ht="31.5" outlineLevel="7">
      <c r="A551" s="76" t="s">
        <v>693</v>
      </c>
      <c r="B551" s="77" t="s">
        <v>733</v>
      </c>
      <c r="C551" s="77" t="s">
        <v>159</v>
      </c>
      <c r="D551" s="77" t="s">
        <v>159</v>
      </c>
      <c r="E551" s="77" t="s">
        <v>101</v>
      </c>
      <c r="F551" s="77" t="s">
        <v>17</v>
      </c>
      <c r="G551" s="78">
        <v>11400</v>
      </c>
      <c r="H551" s="78"/>
    </row>
    <row r="552" spans="1:9" s="75" customFormat="1" ht="15.75" outlineLevel="3">
      <c r="A552" s="72" t="s">
        <v>490</v>
      </c>
      <c r="B552" s="73" t="s">
        <v>733</v>
      </c>
      <c r="C552" s="73" t="s">
        <v>159</v>
      </c>
      <c r="D552" s="73" t="s">
        <v>159</v>
      </c>
      <c r="E552" s="73" t="s">
        <v>11</v>
      </c>
      <c r="F552" s="73" t="s">
        <v>1</v>
      </c>
      <c r="G552" s="74">
        <f>G553</f>
        <v>2114816.52</v>
      </c>
      <c r="H552" s="74"/>
      <c r="I552" s="206"/>
    </row>
    <row r="553" spans="1:8" ht="78.75" outlineLevel="6">
      <c r="A553" s="76" t="s">
        <v>443</v>
      </c>
      <c r="B553" s="77" t="s">
        <v>733</v>
      </c>
      <c r="C553" s="77" t="s">
        <v>159</v>
      </c>
      <c r="D553" s="77" t="s">
        <v>159</v>
      </c>
      <c r="E553" s="77" t="s">
        <v>238</v>
      </c>
      <c r="F553" s="77" t="s">
        <v>1</v>
      </c>
      <c r="G553" s="78">
        <f>G554</f>
        <v>2114816.52</v>
      </c>
      <c r="H553" s="78"/>
    </row>
    <row r="554" spans="1:8" ht="47.25" outlineLevel="7">
      <c r="A554" s="76" t="s">
        <v>696</v>
      </c>
      <c r="B554" s="77" t="s">
        <v>733</v>
      </c>
      <c r="C554" s="77" t="s">
        <v>159</v>
      </c>
      <c r="D554" s="77" t="s">
        <v>159</v>
      </c>
      <c r="E554" s="77" t="s">
        <v>238</v>
      </c>
      <c r="F554" s="77" t="s">
        <v>70</v>
      </c>
      <c r="G554" s="78">
        <v>2114816.52</v>
      </c>
      <c r="H554" s="78"/>
    </row>
    <row r="555" spans="1:8" ht="15.75" outlineLevel="7">
      <c r="A555" s="72" t="s">
        <v>1294</v>
      </c>
      <c r="B555" s="73" t="s">
        <v>733</v>
      </c>
      <c r="C555" s="73" t="s">
        <v>60</v>
      </c>
      <c r="D555" s="73" t="s">
        <v>3</v>
      </c>
      <c r="E555" s="73" t="s">
        <v>4</v>
      </c>
      <c r="F555" s="73" t="s">
        <v>1</v>
      </c>
      <c r="G555" s="74">
        <f>G556</f>
        <v>199885.74</v>
      </c>
      <c r="H555" s="74"/>
    </row>
    <row r="556" spans="1:8" ht="31.5" outlineLevel="7">
      <c r="A556" s="72" t="s">
        <v>1295</v>
      </c>
      <c r="B556" s="73" t="s">
        <v>733</v>
      </c>
      <c r="C556" s="73" t="s">
        <v>60</v>
      </c>
      <c r="D556" s="73" t="s">
        <v>14</v>
      </c>
      <c r="E556" s="73" t="s">
        <v>4</v>
      </c>
      <c r="F556" s="73" t="s">
        <v>1</v>
      </c>
      <c r="G556" s="74">
        <f>G557</f>
        <v>199885.74</v>
      </c>
      <c r="H556" s="74"/>
    </row>
    <row r="557" spans="1:8" ht="47.25" outlineLevel="7">
      <c r="A557" s="72" t="s">
        <v>1297</v>
      </c>
      <c r="B557" s="73" t="s">
        <v>733</v>
      </c>
      <c r="C557" s="73" t="s">
        <v>60</v>
      </c>
      <c r="D557" s="73" t="s">
        <v>14</v>
      </c>
      <c r="E557" s="73" t="s">
        <v>1298</v>
      </c>
      <c r="F557" s="73" t="s">
        <v>1</v>
      </c>
      <c r="G557" s="74">
        <f>G558</f>
        <v>199885.74</v>
      </c>
      <c r="H557" s="74"/>
    </row>
    <row r="558" spans="1:8" ht="47.25" outlineLevel="7">
      <c r="A558" s="76" t="s">
        <v>1296</v>
      </c>
      <c r="B558" s="77" t="s">
        <v>733</v>
      </c>
      <c r="C558" s="77" t="s">
        <v>60</v>
      </c>
      <c r="D558" s="77" t="s">
        <v>14</v>
      </c>
      <c r="E558" s="77" t="s">
        <v>1299</v>
      </c>
      <c r="F558" s="77" t="s">
        <v>1</v>
      </c>
      <c r="G558" s="78">
        <f>G559</f>
        <v>199885.74</v>
      </c>
      <c r="H558" s="78"/>
    </row>
    <row r="559" spans="1:8" ht="31.5" outlineLevel="7">
      <c r="A559" s="76" t="s">
        <v>441</v>
      </c>
      <c r="B559" s="77" t="s">
        <v>733</v>
      </c>
      <c r="C559" s="77" t="s">
        <v>60</v>
      </c>
      <c r="D559" s="77" t="s">
        <v>14</v>
      </c>
      <c r="E559" s="77" t="s">
        <v>1300</v>
      </c>
      <c r="F559" s="77" t="s">
        <v>1</v>
      </c>
      <c r="G559" s="78">
        <f>G560</f>
        <v>199885.74</v>
      </c>
      <c r="H559" s="78"/>
    </row>
    <row r="560" spans="1:8" ht="31.5" outlineLevel="7">
      <c r="A560" s="76" t="s">
        <v>693</v>
      </c>
      <c r="B560" s="77" t="s">
        <v>733</v>
      </c>
      <c r="C560" s="77" t="s">
        <v>60</v>
      </c>
      <c r="D560" s="77" t="s">
        <v>14</v>
      </c>
      <c r="E560" s="77" t="s">
        <v>1300</v>
      </c>
      <c r="F560" s="77" t="s">
        <v>17</v>
      </c>
      <c r="G560" s="78">
        <f>199885.74</f>
        <v>199885.74</v>
      </c>
      <c r="H560" s="78"/>
    </row>
    <row r="561" spans="1:9" s="75" customFormat="1" ht="15.75" outlineLevel="1">
      <c r="A561" s="72" t="s">
        <v>700</v>
      </c>
      <c r="B561" s="73" t="s">
        <v>733</v>
      </c>
      <c r="C561" s="73" t="s">
        <v>239</v>
      </c>
      <c r="D561" s="73" t="s">
        <v>3</v>
      </c>
      <c r="E561" s="73" t="s">
        <v>4</v>
      </c>
      <c r="F561" s="73" t="s">
        <v>1</v>
      </c>
      <c r="G561" s="74">
        <f aca="true" t="shared" si="2" ref="G561:H566">G562</f>
        <v>1037413.73</v>
      </c>
      <c r="H561" s="74">
        <f t="shared" si="2"/>
        <v>774513.73</v>
      </c>
      <c r="I561" s="206"/>
    </row>
    <row r="562" spans="1:9" s="75" customFormat="1" ht="15.75" outlineLevel="2">
      <c r="A562" s="72" t="s">
        <v>680</v>
      </c>
      <c r="B562" s="73" t="s">
        <v>733</v>
      </c>
      <c r="C562" s="73" t="s">
        <v>239</v>
      </c>
      <c r="D562" s="73" t="s">
        <v>2</v>
      </c>
      <c r="E562" s="73" t="s">
        <v>4</v>
      </c>
      <c r="F562" s="73" t="s">
        <v>1</v>
      </c>
      <c r="G562" s="74">
        <f t="shared" si="2"/>
        <v>1037413.73</v>
      </c>
      <c r="H562" s="74">
        <f t="shared" si="2"/>
        <v>774513.73</v>
      </c>
      <c r="I562" s="206"/>
    </row>
    <row r="563" spans="1:9" s="75" customFormat="1" ht="47.25" outlineLevel="3">
      <c r="A563" s="72" t="s">
        <v>657</v>
      </c>
      <c r="B563" s="73" t="s">
        <v>733</v>
      </c>
      <c r="C563" s="73" t="s">
        <v>239</v>
      </c>
      <c r="D563" s="73" t="s">
        <v>2</v>
      </c>
      <c r="E563" s="73" t="s">
        <v>23</v>
      </c>
      <c r="F563" s="73" t="s">
        <v>1</v>
      </c>
      <c r="G563" s="74">
        <f t="shared" si="2"/>
        <v>1037413.73</v>
      </c>
      <c r="H563" s="74">
        <f t="shared" si="2"/>
        <v>774513.73</v>
      </c>
      <c r="I563" s="206"/>
    </row>
    <row r="564" spans="1:9" s="75" customFormat="1" ht="47.25" outlineLevel="4">
      <c r="A564" s="72" t="s">
        <v>641</v>
      </c>
      <c r="B564" s="73" t="s">
        <v>733</v>
      </c>
      <c r="C564" s="73" t="s">
        <v>239</v>
      </c>
      <c r="D564" s="73" t="s">
        <v>2</v>
      </c>
      <c r="E564" s="73" t="s">
        <v>249</v>
      </c>
      <c r="F564" s="73" t="s">
        <v>1</v>
      </c>
      <c r="G564" s="74">
        <f>G565+G568</f>
        <v>1037413.73</v>
      </c>
      <c r="H564" s="74">
        <f t="shared" si="2"/>
        <v>774513.73</v>
      </c>
      <c r="I564" s="206"/>
    </row>
    <row r="565" spans="1:8" ht="31.5" outlineLevel="5">
      <c r="A565" s="76" t="s">
        <v>1190</v>
      </c>
      <c r="B565" s="77" t="s">
        <v>733</v>
      </c>
      <c r="C565" s="77" t="s">
        <v>239</v>
      </c>
      <c r="D565" s="77" t="s">
        <v>2</v>
      </c>
      <c r="E565" s="77" t="s">
        <v>250</v>
      </c>
      <c r="F565" s="77" t="s">
        <v>1</v>
      </c>
      <c r="G565" s="78">
        <f t="shared" si="2"/>
        <v>774513.73</v>
      </c>
      <c r="H565" s="78">
        <f t="shared" si="2"/>
        <v>774513.73</v>
      </c>
    </row>
    <row r="566" spans="1:8" ht="47.25" outlineLevel="6">
      <c r="A566" s="76" t="s">
        <v>467</v>
      </c>
      <c r="B566" s="77" t="s">
        <v>733</v>
      </c>
      <c r="C566" s="77" t="s">
        <v>239</v>
      </c>
      <c r="D566" s="77" t="s">
        <v>2</v>
      </c>
      <c r="E566" s="77" t="s">
        <v>251</v>
      </c>
      <c r="F566" s="77" t="s">
        <v>1</v>
      </c>
      <c r="G566" s="78">
        <f t="shared" si="2"/>
        <v>774513.73</v>
      </c>
      <c r="H566" s="78">
        <f t="shared" si="2"/>
        <v>774513.73</v>
      </c>
    </row>
    <row r="567" spans="1:8" ht="47.25" outlineLevel="7">
      <c r="A567" s="76" t="s">
        <v>1183</v>
      </c>
      <c r="B567" s="77" t="s">
        <v>733</v>
      </c>
      <c r="C567" s="77" t="s">
        <v>239</v>
      </c>
      <c r="D567" s="77" t="s">
        <v>2</v>
      </c>
      <c r="E567" s="77" t="s">
        <v>251</v>
      </c>
      <c r="F567" s="77" t="s">
        <v>143</v>
      </c>
      <c r="G567" s="78">
        <v>774513.73</v>
      </c>
      <c r="H567" s="78">
        <f>G567</f>
        <v>774513.73</v>
      </c>
    </row>
    <row r="568" spans="1:8" ht="47.25" outlineLevel="7">
      <c r="A568" s="76" t="s">
        <v>587</v>
      </c>
      <c r="B568" s="77" t="s">
        <v>733</v>
      </c>
      <c r="C568" s="77" t="s">
        <v>239</v>
      </c>
      <c r="D568" s="77" t="s">
        <v>2</v>
      </c>
      <c r="E568" s="77" t="s">
        <v>415</v>
      </c>
      <c r="F568" s="77" t="s">
        <v>1</v>
      </c>
      <c r="G568" s="78">
        <f>G569</f>
        <v>262900</v>
      </c>
      <c r="H568" s="78"/>
    </row>
    <row r="569" spans="1:8" ht="31.5" outlineLevel="7">
      <c r="A569" s="76" t="s">
        <v>456</v>
      </c>
      <c r="B569" s="77" t="s">
        <v>733</v>
      </c>
      <c r="C569" s="77" t="s">
        <v>239</v>
      </c>
      <c r="D569" s="77" t="s">
        <v>2</v>
      </c>
      <c r="E569" s="77" t="s">
        <v>1237</v>
      </c>
      <c r="F569" s="77" t="s">
        <v>1</v>
      </c>
      <c r="G569" s="78">
        <f>G570</f>
        <v>262900</v>
      </c>
      <c r="H569" s="78"/>
    </row>
    <row r="570" spans="1:8" ht="31.5" outlineLevel="7">
      <c r="A570" s="76" t="s">
        <v>693</v>
      </c>
      <c r="B570" s="77" t="s">
        <v>733</v>
      </c>
      <c r="C570" s="77" t="s">
        <v>239</v>
      </c>
      <c r="D570" s="77" t="s">
        <v>2</v>
      </c>
      <c r="E570" s="77" t="s">
        <v>1237</v>
      </c>
      <c r="F570" s="77" t="s">
        <v>17</v>
      </c>
      <c r="G570" s="78">
        <f>262900</f>
        <v>262900</v>
      </c>
      <c r="H570" s="78"/>
    </row>
    <row r="571" spans="1:9" s="75" customFormat="1" ht="31.5">
      <c r="A571" s="72" t="s">
        <v>752</v>
      </c>
      <c r="B571" s="73" t="s">
        <v>751</v>
      </c>
      <c r="C571" s="73" t="s">
        <v>3</v>
      </c>
      <c r="D571" s="73" t="s">
        <v>3</v>
      </c>
      <c r="E571" s="73" t="s">
        <v>4</v>
      </c>
      <c r="F571" s="73" t="s">
        <v>1</v>
      </c>
      <c r="G571" s="74">
        <f>G572+G615</f>
        <v>28960919.549999997</v>
      </c>
      <c r="H571" s="74"/>
      <c r="I571" s="206"/>
    </row>
    <row r="572" spans="1:9" s="75" customFormat="1" ht="15.75" outlineLevel="1">
      <c r="A572" s="72" t="s">
        <v>692</v>
      </c>
      <c r="B572" s="73" t="s">
        <v>751</v>
      </c>
      <c r="C572" s="73" t="s">
        <v>2</v>
      </c>
      <c r="D572" s="73" t="s">
        <v>3</v>
      </c>
      <c r="E572" s="73" t="s">
        <v>4</v>
      </c>
      <c r="F572" s="73" t="s">
        <v>1</v>
      </c>
      <c r="G572" s="74">
        <f>G573+G596+G600</f>
        <v>17159272.56</v>
      </c>
      <c r="H572" s="74"/>
      <c r="I572" s="206"/>
    </row>
    <row r="573" spans="1:9" s="75" customFormat="1" ht="78.75" outlineLevel="2">
      <c r="A573" s="72" t="s">
        <v>665</v>
      </c>
      <c r="B573" s="73" t="s">
        <v>751</v>
      </c>
      <c r="C573" s="73" t="s">
        <v>2</v>
      </c>
      <c r="D573" s="73" t="s">
        <v>22</v>
      </c>
      <c r="E573" s="73" t="s">
        <v>4</v>
      </c>
      <c r="F573" s="73" t="s">
        <v>1</v>
      </c>
      <c r="G573" s="74">
        <f>G574+G584</f>
        <v>10930107</v>
      </c>
      <c r="H573" s="74"/>
      <c r="I573" s="206"/>
    </row>
    <row r="574" spans="1:9" s="75" customFormat="1" ht="78.75" outlineLevel="3">
      <c r="A574" s="72" t="s">
        <v>486</v>
      </c>
      <c r="B574" s="73" t="s">
        <v>751</v>
      </c>
      <c r="C574" s="73" t="s">
        <v>2</v>
      </c>
      <c r="D574" s="73" t="s">
        <v>22</v>
      </c>
      <c r="E574" s="73" t="s">
        <v>38</v>
      </c>
      <c r="F574" s="73" t="s">
        <v>1</v>
      </c>
      <c r="G574" s="74">
        <f>G575</f>
        <v>10743162</v>
      </c>
      <c r="H574" s="74"/>
      <c r="I574" s="206"/>
    </row>
    <row r="575" spans="1:9" s="75" customFormat="1" ht="31.5" outlineLevel="4">
      <c r="A575" s="72" t="s">
        <v>615</v>
      </c>
      <c r="B575" s="73" t="s">
        <v>751</v>
      </c>
      <c r="C575" s="73" t="s">
        <v>2</v>
      </c>
      <c r="D575" s="73" t="s">
        <v>22</v>
      </c>
      <c r="E575" s="73" t="s">
        <v>39</v>
      </c>
      <c r="F575" s="73" t="s">
        <v>1</v>
      </c>
      <c r="G575" s="74">
        <f>G576</f>
        <v>10743162</v>
      </c>
      <c r="H575" s="74"/>
      <c r="I575" s="206"/>
    </row>
    <row r="576" spans="1:8" ht="63" outlineLevel="5">
      <c r="A576" s="76" t="s">
        <v>1120</v>
      </c>
      <c r="B576" s="77" t="s">
        <v>751</v>
      </c>
      <c r="C576" s="77" t="s">
        <v>2</v>
      </c>
      <c r="D576" s="77" t="s">
        <v>22</v>
      </c>
      <c r="E576" s="77" t="s">
        <v>40</v>
      </c>
      <c r="F576" s="77" t="s">
        <v>1</v>
      </c>
      <c r="G576" s="78">
        <f>G577+G582+G579</f>
        <v>10743162</v>
      </c>
      <c r="H576" s="78"/>
    </row>
    <row r="577" spans="1:8" ht="31.5" outlineLevel="6">
      <c r="A577" s="76" t="s">
        <v>434</v>
      </c>
      <c r="B577" s="77" t="s">
        <v>751</v>
      </c>
      <c r="C577" s="77" t="s">
        <v>2</v>
      </c>
      <c r="D577" s="77" t="s">
        <v>22</v>
      </c>
      <c r="E577" s="77" t="s">
        <v>41</v>
      </c>
      <c r="F577" s="77" t="s">
        <v>1</v>
      </c>
      <c r="G577" s="78">
        <f>G578</f>
        <v>10372616</v>
      </c>
      <c r="H577" s="78"/>
    </row>
    <row r="578" spans="1:8" ht="94.5" outlineLevel="7">
      <c r="A578" s="76" t="s">
        <v>708</v>
      </c>
      <c r="B578" s="77" t="s">
        <v>751</v>
      </c>
      <c r="C578" s="77" t="s">
        <v>2</v>
      </c>
      <c r="D578" s="77" t="s">
        <v>22</v>
      </c>
      <c r="E578" s="77" t="s">
        <v>41</v>
      </c>
      <c r="F578" s="77" t="s">
        <v>10</v>
      </c>
      <c r="G578" s="78">
        <f>10373316-700</f>
        <v>10372616</v>
      </c>
      <c r="H578" s="78"/>
    </row>
    <row r="579" spans="1:8" ht="42.75" customHeight="1" outlineLevel="7">
      <c r="A579" s="76" t="s">
        <v>430</v>
      </c>
      <c r="B579" s="77" t="s">
        <v>751</v>
      </c>
      <c r="C579" s="77" t="s">
        <v>2</v>
      </c>
      <c r="D579" s="77" t="s">
        <v>22</v>
      </c>
      <c r="E579" s="77" t="s">
        <v>1238</v>
      </c>
      <c r="F579" s="77" t="s">
        <v>1</v>
      </c>
      <c r="G579" s="78">
        <f>G580+G581</f>
        <v>2700</v>
      </c>
      <c r="H579" s="78"/>
    </row>
    <row r="580" spans="1:8" ht="94.5" outlineLevel="7">
      <c r="A580" s="76" t="s">
        <v>708</v>
      </c>
      <c r="B580" s="77" t="s">
        <v>751</v>
      </c>
      <c r="C580" s="77" t="s">
        <v>2</v>
      </c>
      <c r="D580" s="77" t="s">
        <v>22</v>
      </c>
      <c r="E580" s="77" t="s">
        <v>1238</v>
      </c>
      <c r="F580" s="77" t="s">
        <v>10</v>
      </c>
      <c r="G580" s="78">
        <f>700</f>
        <v>700</v>
      </c>
      <c r="H580" s="78"/>
    </row>
    <row r="581" spans="1:8" ht="31.5" outlineLevel="7">
      <c r="A581" s="76" t="s">
        <v>693</v>
      </c>
      <c r="B581" s="77" t="s">
        <v>751</v>
      </c>
      <c r="C581" s="77" t="s">
        <v>2</v>
      </c>
      <c r="D581" s="77" t="s">
        <v>22</v>
      </c>
      <c r="E581" s="77" t="s">
        <v>1238</v>
      </c>
      <c r="F581" s="77" t="s">
        <v>17</v>
      </c>
      <c r="G581" s="78">
        <f>2000</f>
        <v>2000</v>
      </c>
      <c r="H581" s="78"/>
    </row>
    <row r="582" spans="1:8" ht="78.75" outlineLevel="6">
      <c r="A582" s="76" t="s">
        <v>432</v>
      </c>
      <c r="B582" s="77" t="s">
        <v>751</v>
      </c>
      <c r="C582" s="77" t="s">
        <v>2</v>
      </c>
      <c r="D582" s="77" t="s">
        <v>22</v>
      </c>
      <c r="E582" s="77" t="s">
        <v>42</v>
      </c>
      <c r="F582" s="77" t="s">
        <v>1</v>
      </c>
      <c r="G582" s="78">
        <f>G583</f>
        <v>367846</v>
      </c>
      <c r="H582" s="78"/>
    </row>
    <row r="583" spans="1:8" ht="94.5" outlineLevel="7">
      <c r="A583" s="76" t="s">
        <v>708</v>
      </c>
      <c r="B583" s="77" t="s">
        <v>751</v>
      </c>
      <c r="C583" s="77" t="s">
        <v>2</v>
      </c>
      <c r="D583" s="77" t="s">
        <v>22</v>
      </c>
      <c r="E583" s="77" t="s">
        <v>42</v>
      </c>
      <c r="F583" s="77" t="s">
        <v>10</v>
      </c>
      <c r="G583" s="78">
        <f>369846-2000</f>
        <v>367846</v>
      </c>
      <c r="H583" s="78"/>
    </row>
    <row r="584" spans="1:9" s="75" customFormat="1" ht="63" outlineLevel="3">
      <c r="A584" s="72" t="s">
        <v>656</v>
      </c>
      <c r="B584" s="73" t="s">
        <v>751</v>
      </c>
      <c r="C584" s="73" t="s">
        <v>2</v>
      </c>
      <c r="D584" s="73" t="s">
        <v>22</v>
      </c>
      <c r="E584" s="73" t="s">
        <v>6</v>
      </c>
      <c r="F584" s="73" t="s">
        <v>1</v>
      </c>
      <c r="G584" s="74">
        <f>G585</f>
        <v>186945</v>
      </c>
      <c r="H584" s="74"/>
      <c r="I584" s="206"/>
    </row>
    <row r="585" spans="1:9" s="75" customFormat="1" ht="31.5" outlineLevel="4">
      <c r="A585" s="72" t="s">
        <v>613</v>
      </c>
      <c r="B585" s="73" t="s">
        <v>751</v>
      </c>
      <c r="C585" s="73" t="s">
        <v>2</v>
      </c>
      <c r="D585" s="73" t="s">
        <v>22</v>
      </c>
      <c r="E585" s="73" t="s">
        <v>7</v>
      </c>
      <c r="F585" s="73" t="s">
        <v>1</v>
      </c>
      <c r="G585" s="74">
        <f>G586+G590+G593</f>
        <v>186945</v>
      </c>
      <c r="H585" s="74"/>
      <c r="I585" s="206"/>
    </row>
    <row r="586" spans="1:8" ht="63" outlineLevel="5">
      <c r="A586" s="76" t="s">
        <v>1063</v>
      </c>
      <c r="B586" s="77" t="s">
        <v>751</v>
      </c>
      <c r="C586" s="77" t="s">
        <v>2</v>
      </c>
      <c r="D586" s="77" t="s">
        <v>22</v>
      </c>
      <c r="E586" s="77" t="s">
        <v>15</v>
      </c>
      <c r="F586" s="77" t="s">
        <v>1</v>
      </c>
      <c r="G586" s="78">
        <f>G587</f>
        <v>95750</v>
      </c>
      <c r="H586" s="78"/>
    </row>
    <row r="587" spans="1:8" ht="31.5" outlineLevel="6">
      <c r="A587" s="76" t="s">
        <v>430</v>
      </c>
      <c r="B587" s="77" t="s">
        <v>751</v>
      </c>
      <c r="C587" s="77" t="s">
        <v>2</v>
      </c>
      <c r="D587" s="77" t="s">
        <v>22</v>
      </c>
      <c r="E587" s="77" t="s">
        <v>16</v>
      </c>
      <c r="F587" s="77" t="s">
        <v>1</v>
      </c>
      <c r="G587" s="78">
        <f>G588+G589</f>
        <v>95750</v>
      </c>
      <c r="H587" s="78"/>
    </row>
    <row r="588" spans="1:8" ht="94.5" outlineLevel="7">
      <c r="A588" s="76" t="s">
        <v>708</v>
      </c>
      <c r="B588" s="77" t="s">
        <v>751</v>
      </c>
      <c r="C588" s="77" t="s">
        <v>2</v>
      </c>
      <c r="D588" s="77" t="s">
        <v>22</v>
      </c>
      <c r="E588" s="77" t="s">
        <v>16</v>
      </c>
      <c r="F588" s="77" t="s">
        <v>10</v>
      </c>
      <c r="G588" s="78">
        <v>10000</v>
      </c>
      <c r="H588" s="78"/>
    </row>
    <row r="589" spans="1:8" ht="31.5" outlineLevel="7">
      <c r="A589" s="76" t="s">
        <v>693</v>
      </c>
      <c r="B589" s="77" t="s">
        <v>751</v>
      </c>
      <c r="C589" s="77" t="s">
        <v>2</v>
      </c>
      <c r="D589" s="77" t="s">
        <v>22</v>
      </c>
      <c r="E589" s="77" t="s">
        <v>16</v>
      </c>
      <c r="F589" s="77" t="s">
        <v>17</v>
      </c>
      <c r="G589" s="78">
        <v>85750</v>
      </c>
      <c r="H589" s="78"/>
    </row>
    <row r="590" spans="1:8" ht="15.75" outlineLevel="5">
      <c r="A590" s="76" t="s">
        <v>1064</v>
      </c>
      <c r="B590" s="77" t="s">
        <v>751</v>
      </c>
      <c r="C590" s="77" t="s">
        <v>2</v>
      </c>
      <c r="D590" s="77" t="s">
        <v>22</v>
      </c>
      <c r="E590" s="77" t="s">
        <v>18</v>
      </c>
      <c r="F590" s="77" t="s">
        <v>1</v>
      </c>
      <c r="G590" s="78">
        <f>G591</f>
        <v>42695</v>
      </c>
      <c r="H590" s="78"/>
    </row>
    <row r="591" spans="1:8" ht="31.5" outlineLevel="6">
      <c r="A591" s="76" t="s">
        <v>430</v>
      </c>
      <c r="B591" s="77" t="s">
        <v>751</v>
      </c>
      <c r="C591" s="77" t="s">
        <v>2</v>
      </c>
      <c r="D591" s="77" t="s">
        <v>22</v>
      </c>
      <c r="E591" s="77" t="s">
        <v>19</v>
      </c>
      <c r="F591" s="77" t="s">
        <v>1</v>
      </c>
      <c r="G591" s="78">
        <f>G592</f>
        <v>42695</v>
      </c>
      <c r="H591" s="78"/>
    </row>
    <row r="592" spans="1:8" ht="31.5" outlineLevel="7">
      <c r="A592" s="76" t="s">
        <v>693</v>
      </c>
      <c r="B592" s="77" t="s">
        <v>751</v>
      </c>
      <c r="C592" s="77" t="s">
        <v>2</v>
      </c>
      <c r="D592" s="77" t="s">
        <v>22</v>
      </c>
      <c r="E592" s="77" t="s">
        <v>19</v>
      </c>
      <c r="F592" s="77" t="s">
        <v>17</v>
      </c>
      <c r="G592" s="78">
        <v>42695</v>
      </c>
      <c r="H592" s="78"/>
    </row>
    <row r="593" spans="1:8" ht="47.25" outlineLevel="5">
      <c r="A593" s="76" t="s">
        <v>1062</v>
      </c>
      <c r="B593" s="77" t="s">
        <v>751</v>
      </c>
      <c r="C593" s="77" t="s">
        <v>2</v>
      </c>
      <c r="D593" s="77" t="s">
        <v>22</v>
      </c>
      <c r="E593" s="77" t="s">
        <v>8</v>
      </c>
      <c r="F593" s="77" t="s">
        <v>1</v>
      </c>
      <c r="G593" s="78">
        <f>G594</f>
        <v>48500</v>
      </c>
      <c r="H593" s="78"/>
    </row>
    <row r="594" spans="1:8" ht="31.5" outlineLevel="6">
      <c r="A594" s="76" t="s">
        <v>430</v>
      </c>
      <c r="B594" s="77" t="s">
        <v>751</v>
      </c>
      <c r="C594" s="77" t="s">
        <v>2</v>
      </c>
      <c r="D594" s="77" t="s">
        <v>22</v>
      </c>
      <c r="E594" s="77" t="s">
        <v>9</v>
      </c>
      <c r="F594" s="77" t="s">
        <v>1</v>
      </c>
      <c r="G594" s="78">
        <f>G595</f>
        <v>48500</v>
      </c>
      <c r="H594" s="78"/>
    </row>
    <row r="595" spans="1:8" ht="94.5" outlineLevel="7">
      <c r="A595" s="76" t="s">
        <v>708</v>
      </c>
      <c r="B595" s="77" t="s">
        <v>751</v>
      </c>
      <c r="C595" s="77" t="s">
        <v>2</v>
      </c>
      <c r="D595" s="77" t="s">
        <v>22</v>
      </c>
      <c r="E595" s="77" t="s">
        <v>9</v>
      </c>
      <c r="F595" s="77" t="s">
        <v>10</v>
      </c>
      <c r="G595" s="78">
        <v>48500</v>
      </c>
      <c r="H595" s="78"/>
    </row>
    <row r="596" spans="1:9" s="75" customFormat="1" ht="15.75" outlineLevel="2">
      <c r="A596" s="72" t="s">
        <v>667</v>
      </c>
      <c r="B596" s="73" t="s">
        <v>751</v>
      </c>
      <c r="C596" s="73" t="s">
        <v>2</v>
      </c>
      <c r="D596" s="73" t="s">
        <v>63</v>
      </c>
      <c r="E596" s="73" t="s">
        <v>4</v>
      </c>
      <c r="F596" s="73" t="s">
        <v>1</v>
      </c>
      <c r="G596" s="74">
        <f>G598</f>
        <v>513310</v>
      </c>
      <c r="H596" s="74"/>
      <c r="I596" s="206"/>
    </row>
    <row r="597" spans="1:9" s="75" customFormat="1" ht="15.75" outlineLevel="3">
      <c r="A597" s="72" t="s">
        <v>490</v>
      </c>
      <c r="B597" s="73" t="s">
        <v>751</v>
      </c>
      <c r="C597" s="73" t="s">
        <v>2</v>
      </c>
      <c r="D597" s="73" t="s">
        <v>63</v>
      </c>
      <c r="E597" s="73" t="s">
        <v>11</v>
      </c>
      <c r="F597" s="73" t="s">
        <v>1</v>
      </c>
      <c r="G597" s="74">
        <f>G598</f>
        <v>513310</v>
      </c>
      <c r="H597" s="74"/>
      <c r="I597" s="206"/>
    </row>
    <row r="598" spans="1:8" ht="31.5" outlineLevel="6">
      <c r="A598" s="76" t="s">
        <v>438</v>
      </c>
      <c r="B598" s="77" t="s">
        <v>751</v>
      </c>
      <c r="C598" s="77" t="s">
        <v>2</v>
      </c>
      <c r="D598" s="77" t="s">
        <v>63</v>
      </c>
      <c r="E598" s="77" t="s">
        <v>64</v>
      </c>
      <c r="F598" s="77" t="s">
        <v>1</v>
      </c>
      <c r="G598" s="78">
        <f>G599</f>
        <v>513310</v>
      </c>
      <c r="H598" s="78"/>
    </row>
    <row r="599" spans="1:8" ht="15.75" outlineLevel="7">
      <c r="A599" s="76" t="s">
        <v>695</v>
      </c>
      <c r="B599" s="77" t="s">
        <v>751</v>
      </c>
      <c r="C599" s="77" t="s">
        <v>2</v>
      </c>
      <c r="D599" s="77" t="s">
        <v>63</v>
      </c>
      <c r="E599" s="77" t="s">
        <v>64</v>
      </c>
      <c r="F599" s="77" t="s">
        <v>65</v>
      </c>
      <c r="G599" s="78">
        <f>1606000-900000-163600-29090</f>
        <v>513310</v>
      </c>
      <c r="H599" s="78"/>
    </row>
    <row r="600" spans="1:9" s="75" customFormat="1" ht="15.75" outlineLevel="2">
      <c r="A600" s="72" t="s">
        <v>668</v>
      </c>
      <c r="B600" s="73" t="s">
        <v>751</v>
      </c>
      <c r="C600" s="73" t="s">
        <v>2</v>
      </c>
      <c r="D600" s="73" t="s">
        <v>66</v>
      </c>
      <c r="E600" s="73" t="s">
        <v>4</v>
      </c>
      <c r="F600" s="73" t="s">
        <v>1</v>
      </c>
      <c r="G600" s="74">
        <f>G601+G606+G611</f>
        <v>5715855.56</v>
      </c>
      <c r="H600" s="74"/>
      <c r="I600" s="206"/>
    </row>
    <row r="601" spans="1:9" s="75" customFormat="1" ht="47.25" outlineLevel="3">
      <c r="A601" s="72" t="s">
        <v>659</v>
      </c>
      <c r="B601" s="73" t="s">
        <v>751</v>
      </c>
      <c r="C601" s="73" t="s">
        <v>2</v>
      </c>
      <c r="D601" s="73" t="s">
        <v>66</v>
      </c>
      <c r="E601" s="73" t="s">
        <v>90</v>
      </c>
      <c r="F601" s="73" t="s">
        <v>1</v>
      </c>
      <c r="G601" s="74">
        <f>G602</f>
        <v>793428.39</v>
      </c>
      <c r="H601" s="74"/>
      <c r="I601" s="206"/>
    </row>
    <row r="602" spans="1:9" s="75" customFormat="1" ht="47.25" outlineLevel="4">
      <c r="A602" s="72" t="s">
        <v>624</v>
      </c>
      <c r="B602" s="73" t="s">
        <v>751</v>
      </c>
      <c r="C602" s="73" t="s">
        <v>2</v>
      </c>
      <c r="D602" s="73" t="s">
        <v>66</v>
      </c>
      <c r="E602" s="73" t="s">
        <v>91</v>
      </c>
      <c r="F602" s="73" t="s">
        <v>1</v>
      </c>
      <c r="G602" s="74">
        <f>G603</f>
        <v>793428.39</v>
      </c>
      <c r="H602" s="74"/>
      <c r="I602" s="206"/>
    </row>
    <row r="603" spans="1:8" ht="47.25" outlineLevel="5">
      <c r="A603" s="76" t="s">
        <v>1066</v>
      </c>
      <c r="B603" s="77" t="s">
        <v>751</v>
      </c>
      <c r="C603" s="77" t="s">
        <v>2</v>
      </c>
      <c r="D603" s="77" t="s">
        <v>66</v>
      </c>
      <c r="E603" s="77" t="s">
        <v>94</v>
      </c>
      <c r="F603" s="77" t="s">
        <v>1</v>
      </c>
      <c r="G603" s="78">
        <f>G604</f>
        <v>793428.39</v>
      </c>
      <c r="H603" s="78"/>
    </row>
    <row r="604" spans="1:8" ht="31.5" outlineLevel="6">
      <c r="A604" s="76" t="s">
        <v>441</v>
      </c>
      <c r="B604" s="77" t="s">
        <v>751</v>
      </c>
      <c r="C604" s="77" t="s">
        <v>2</v>
      </c>
      <c r="D604" s="77" t="s">
        <v>66</v>
      </c>
      <c r="E604" s="77" t="s">
        <v>95</v>
      </c>
      <c r="F604" s="77" t="s">
        <v>1</v>
      </c>
      <c r="G604" s="78">
        <f>G605</f>
        <v>793428.39</v>
      </c>
      <c r="H604" s="78"/>
    </row>
    <row r="605" spans="1:8" ht="31.5" outlineLevel="7">
      <c r="A605" s="76" t="s">
        <v>693</v>
      </c>
      <c r="B605" s="77" t="s">
        <v>751</v>
      </c>
      <c r="C605" s="77" t="s">
        <v>2</v>
      </c>
      <c r="D605" s="77" t="s">
        <v>66</v>
      </c>
      <c r="E605" s="77" t="s">
        <v>95</v>
      </c>
      <c r="F605" s="77" t="s">
        <v>17</v>
      </c>
      <c r="G605" s="78">
        <v>793428.39</v>
      </c>
      <c r="H605" s="78"/>
    </row>
    <row r="606" spans="1:9" s="75" customFormat="1" ht="63" outlineLevel="3">
      <c r="A606" s="72" t="s">
        <v>656</v>
      </c>
      <c r="B606" s="73" t="s">
        <v>751</v>
      </c>
      <c r="C606" s="73" t="s">
        <v>2</v>
      </c>
      <c r="D606" s="73" t="s">
        <v>66</v>
      </c>
      <c r="E606" s="73" t="s">
        <v>6</v>
      </c>
      <c r="F606" s="73" t="s">
        <v>1</v>
      </c>
      <c r="G606" s="74">
        <f>G607</f>
        <v>162000</v>
      </c>
      <c r="H606" s="74"/>
      <c r="I606" s="206"/>
    </row>
    <row r="607" spans="1:9" s="75" customFormat="1" ht="47.25" outlineLevel="4">
      <c r="A607" s="72" t="s">
        <v>628</v>
      </c>
      <c r="B607" s="73" t="s">
        <v>751</v>
      </c>
      <c r="C607" s="73" t="s">
        <v>2</v>
      </c>
      <c r="D607" s="73" t="s">
        <v>66</v>
      </c>
      <c r="E607" s="73" t="s">
        <v>131</v>
      </c>
      <c r="F607" s="73" t="s">
        <v>1</v>
      </c>
      <c r="G607" s="74">
        <f>G608</f>
        <v>162000</v>
      </c>
      <c r="H607" s="74"/>
      <c r="I607" s="206"/>
    </row>
    <row r="608" spans="1:8" ht="31.5" outlineLevel="5">
      <c r="A608" s="76" t="s">
        <v>1067</v>
      </c>
      <c r="B608" s="77" t="s">
        <v>751</v>
      </c>
      <c r="C608" s="77" t="s">
        <v>2</v>
      </c>
      <c r="D608" s="77" t="s">
        <v>66</v>
      </c>
      <c r="E608" s="77" t="s">
        <v>138</v>
      </c>
      <c r="F608" s="77" t="s">
        <v>1</v>
      </c>
      <c r="G608" s="78">
        <f>G609</f>
        <v>162000</v>
      </c>
      <c r="H608" s="78"/>
    </row>
    <row r="609" spans="1:8" ht="31.5" outlineLevel="6">
      <c r="A609" s="76" t="s">
        <v>441</v>
      </c>
      <c r="B609" s="77" t="s">
        <v>751</v>
      </c>
      <c r="C609" s="77" t="s">
        <v>2</v>
      </c>
      <c r="D609" s="77" t="s">
        <v>66</v>
      </c>
      <c r="E609" s="77" t="s">
        <v>140</v>
      </c>
      <c r="F609" s="77" t="s">
        <v>1</v>
      </c>
      <c r="G609" s="78">
        <f>G610</f>
        <v>162000</v>
      </c>
      <c r="H609" s="78"/>
    </row>
    <row r="610" spans="1:8" ht="31.5" outlineLevel="7">
      <c r="A610" s="76" t="s">
        <v>693</v>
      </c>
      <c r="B610" s="77" t="s">
        <v>751</v>
      </c>
      <c r="C610" s="77" t="s">
        <v>2</v>
      </c>
      <c r="D610" s="77" t="s">
        <v>66</v>
      </c>
      <c r="E610" s="77" t="s">
        <v>140</v>
      </c>
      <c r="F610" s="77" t="s">
        <v>17</v>
      </c>
      <c r="G610" s="78">
        <v>162000</v>
      </c>
      <c r="H610" s="78"/>
    </row>
    <row r="611" spans="1:8" ht="15.75" outlineLevel="7">
      <c r="A611" s="142" t="s">
        <v>490</v>
      </c>
      <c r="B611" s="143" t="s">
        <v>751</v>
      </c>
      <c r="C611" s="143" t="s">
        <v>2</v>
      </c>
      <c r="D611" s="143" t="s">
        <v>66</v>
      </c>
      <c r="E611" s="143" t="s">
        <v>11</v>
      </c>
      <c r="F611" s="73" t="s">
        <v>1</v>
      </c>
      <c r="G611" s="144">
        <f>G612</f>
        <v>4760427.17</v>
      </c>
      <c r="H611" s="78"/>
    </row>
    <row r="612" spans="1:8" ht="31.5" outlineLevel="7">
      <c r="A612" s="145" t="s">
        <v>1222</v>
      </c>
      <c r="B612" s="146" t="s">
        <v>751</v>
      </c>
      <c r="C612" s="146" t="s">
        <v>2</v>
      </c>
      <c r="D612" s="146" t="s">
        <v>66</v>
      </c>
      <c r="E612" s="146" t="s">
        <v>142</v>
      </c>
      <c r="F612" s="146" t="s">
        <v>1</v>
      </c>
      <c r="G612" s="147">
        <f>G614+G613</f>
        <v>4760427.17</v>
      </c>
      <c r="H612" s="78"/>
    </row>
    <row r="613" spans="1:8" ht="31.5" outlineLevel="7">
      <c r="A613" s="134" t="s">
        <v>693</v>
      </c>
      <c r="B613" s="135" t="s">
        <v>751</v>
      </c>
      <c r="C613" s="135" t="s">
        <v>2</v>
      </c>
      <c r="D613" s="135" t="s">
        <v>66</v>
      </c>
      <c r="E613" s="135" t="s">
        <v>142</v>
      </c>
      <c r="F613" s="136">
        <v>200</v>
      </c>
      <c r="G613" s="137">
        <f>1409786.41+119068.15+53438.47+84429.39</f>
        <v>1666722.4199999997</v>
      </c>
      <c r="H613" s="78"/>
    </row>
    <row r="614" spans="1:8" ht="15.75" outlineLevel="7">
      <c r="A614" s="138" t="s">
        <v>695</v>
      </c>
      <c r="B614" s="139" t="s">
        <v>751</v>
      </c>
      <c r="C614" s="139" t="s">
        <v>2</v>
      </c>
      <c r="D614" s="139" t="s">
        <v>66</v>
      </c>
      <c r="E614" s="139" t="s">
        <v>142</v>
      </c>
      <c r="F614" s="140">
        <v>800</v>
      </c>
      <c r="G614" s="141">
        <f>3065411.27+25851.48+2442</f>
        <v>3093704.75</v>
      </c>
      <c r="H614" s="78"/>
    </row>
    <row r="615" spans="1:9" s="75" customFormat="1" ht="31.5" outlineLevel="1">
      <c r="A615" s="72" t="s">
        <v>706</v>
      </c>
      <c r="B615" s="73" t="s">
        <v>751</v>
      </c>
      <c r="C615" s="73" t="s">
        <v>66</v>
      </c>
      <c r="D615" s="73" t="s">
        <v>3</v>
      </c>
      <c r="E615" s="73" t="s">
        <v>4</v>
      </c>
      <c r="F615" s="73" t="s">
        <v>1</v>
      </c>
      <c r="G615" s="74">
        <f aca="true" t="shared" si="3" ref="G615:G620">G616</f>
        <v>11801646.99</v>
      </c>
      <c r="H615" s="74"/>
      <c r="I615" s="206"/>
    </row>
    <row r="616" spans="1:9" s="75" customFormat="1" ht="31.5" outlineLevel="2">
      <c r="A616" s="72" t="s">
        <v>691</v>
      </c>
      <c r="B616" s="73" t="s">
        <v>751</v>
      </c>
      <c r="C616" s="73" t="s">
        <v>66</v>
      </c>
      <c r="D616" s="73" t="s">
        <v>2</v>
      </c>
      <c r="E616" s="73" t="s">
        <v>4</v>
      </c>
      <c r="F616" s="73" t="s">
        <v>1</v>
      </c>
      <c r="G616" s="74">
        <f t="shared" si="3"/>
        <v>11801646.99</v>
      </c>
      <c r="H616" s="74"/>
      <c r="I616" s="206"/>
    </row>
    <row r="617" spans="1:9" s="75" customFormat="1" ht="78.75" outlineLevel="3">
      <c r="A617" s="72" t="s">
        <v>486</v>
      </c>
      <c r="B617" s="73" t="s">
        <v>751</v>
      </c>
      <c r="C617" s="73" t="s">
        <v>66</v>
      </c>
      <c r="D617" s="73" t="s">
        <v>2</v>
      </c>
      <c r="E617" s="73" t="s">
        <v>38</v>
      </c>
      <c r="F617" s="73" t="s">
        <v>1</v>
      </c>
      <c r="G617" s="74">
        <f t="shared" si="3"/>
        <v>11801646.99</v>
      </c>
      <c r="H617" s="74"/>
      <c r="I617" s="206"/>
    </row>
    <row r="618" spans="1:9" s="75" customFormat="1" ht="31.5" outlineLevel="4">
      <c r="A618" s="72" t="s">
        <v>655</v>
      </c>
      <c r="B618" s="73" t="s">
        <v>751</v>
      </c>
      <c r="C618" s="73" t="s">
        <v>66</v>
      </c>
      <c r="D618" s="73" t="s">
        <v>2</v>
      </c>
      <c r="E618" s="73" t="s">
        <v>410</v>
      </c>
      <c r="F618" s="73" t="s">
        <v>1</v>
      </c>
      <c r="G618" s="74">
        <f t="shared" si="3"/>
        <v>11801646.99</v>
      </c>
      <c r="H618" s="74"/>
      <c r="I618" s="206"/>
    </row>
    <row r="619" spans="1:8" ht="47.25" outlineLevel="5">
      <c r="A619" s="76" t="s">
        <v>1121</v>
      </c>
      <c r="B619" s="77" t="s">
        <v>751</v>
      </c>
      <c r="C619" s="77" t="s">
        <v>66</v>
      </c>
      <c r="D619" s="77" t="s">
        <v>2</v>
      </c>
      <c r="E619" s="77" t="s">
        <v>411</v>
      </c>
      <c r="F619" s="77" t="s">
        <v>1</v>
      </c>
      <c r="G619" s="78">
        <f t="shared" si="3"/>
        <v>11801646.99</v>
      </c>
      <c r="H619" s="78"/>
    </row>
    <row r="620" spans="1:8" ht="15.75" outlineLevel="6">
      <c r="A620" s="76" t="s">
        <v>429</v>
      </c>
      <c r="B620" s="77" t="s">
        <v>751</v>
      </c>
      <c r="C620" s="77" t="s">
        <v>66</v>
      </c>
      <c r="D620" s="77" t="s">
        <v>2</v>
      </c>
      <c r="E620" s="77" t="s">
        <v>412</v>
      </c>
      <c r="F620" s="77" t="s">
        <v>1</v>
      </c>
      <c r="G620" s="78">
        <f t="shared" si="3"/>
        <v>11801646.99</v>
      </c>
      <c r="H620" s="78"/>
    </row>
    <row r="621" spans="1:8" ht="31.5" outlineLevel="7">
      <c r="A621" s="76" t="s">
        <v>707</v>
      </c>
      <c r="B621" s="77" t="s">
        <v>751</v>
      </c>
      <c r="C621" s="77" t="s">
        <v>66</v>
      </c>
      <c r="D621" s="77" t="s">
        <v>2</v>
      </c>
      <c r="E621" s="77" t="s">
        <v>412</v>
      </c>
      <c r="F621" s="77" t="s">
        <v>413</v>
      </c>
      <c r="G621" s="78">
        <v>11801646.99</v>
      </c>
      <c r="H621" s="78"/>
    </row>
    <row r="622" spans="1:9" s="75" customFormat="1" ht="31.5">
      <c r="A622" s="72" t="s">
        <v>760</v>
      </c>
      <c r="B622" s="73" t="s">
        <v>759</v>
      </c>
      <c r="C622" s="73" t="s">
        <v>3</v>
      </c>
      <c r="D622" s="73" t="s">
        <v>3</v>
      </c>
      <c r="E622" s="73" t="s">
        <v>4</v>
      </c>
      <c r="F622" s="73" t="s">
        <v>1</v>
      </c>
      <c r="G622" s="74">
        <f>G623+G668+G825</f>
        <v>1407669105.8300002</v>
      </c>
      <c r="H622" s="74">
        <f>H668+H825</f>
        <v>773702911.9200001</v>
      </c>
      <c r="I622" s="206"/>
    </row>
    <row r="623" spans="1:9" s="75" customFormat="1" ht="15.75" outlineLevel="1">
      <c r="A623" s="72" t="s">
        <v>692</v>
      </c>
      <c r="B623" s="73" t="s">
        <v>759</v>
      </c>
      <c r="C623" s="73" t="s">
        <v>2</v>
      </c>
      <c r="D623" s="73" t="s">
        <v>3</v>
      </c>
      <c r="E623" s="73" t="s">
        <v>4</v>
      </c>
      <c r="F623" s="73" t="s">
        <v>1</v>
      </c>
      <c r="G623" s="74">
        <f>G624+G658</f>
        <v>17499398.95</v>
      </c>
      <c r="H623" s="74"/>
      <c r="I623" s="206"/>
    </row>
    <row r="624" spans="1:9" s="75" customFormat="1" ht="78.75" outlineLevel="2">
      <c r="A624" s="72" t="s">
        <v>665</v>
      </c>
      <c r="B624" s="73" t="s">
        <v>759</v>
      </c>
      <c r="C624" s="73" t="s">
        <v>2</v>
      </c>
      <c r="D624" s="73" t="s">
        <v>22</v>
      </c>
      <c r="E624" s="73" t="s">
        <v>4</v>
      </c>
      <c r="F624" s="73" t="s">
        <v>1</v>
      </c>
      <c r="G624" s="74">
        <f>G625+G649</f>
        <v>16641656.659999998</v>
      </c>
      <c r="H624" s="74"/>
      <c r="I624" s="206"/>
    </row>
    <row r="625" spans="1:9" s="75" customFormat="1" ht="47.25" outlineLevel="3">
      <c r="A625" s="72" t="s">
        <v>657</v>
      </c>
      <c r="B625" s="73" t="s">
        <v>759</v>
      </c>
      <c r="C625" s="73" t="s">
        <v>2</v>
      </c>
      <c r="D625" s="73" t="s">
        <v>22</v>
      </c>
      <c r="E625" s="73" t="s">
        <v>23</v>
      </c>
      <c r="F625" s="73" t="s">
        <v>1</v>
      </c>
      <c r="G625" s="74">
        <f>G626</f>
        <v>16476318.659999998</v>
      </c>
      <c r="H625" s="74"/>
      <c r="I625" s="206"/>
    </row>
    <row r="626" spans="1:9" s="75" customFormat="1" ht="47.25" outlineLevel="4">
      <c r="A626" s="72" t="s">
        <v>614</v>
      </c>
      <c r="B626" s="73" t="s">
        <v>759</v>
      </c>
      <c r="C626" s="73" t="s">
        <v>2</v>
      </c>
      <c r="D626" s="73" t="s">
        <v>22</v>
      </c>
      <c r="E626" s="73" t="s">
        <v>24</v>
      </c>
      <c r="F626" s="73" t="s">
        <v>1</v>
      </c>
      <c r="G626" s="74">
        <f>G627+G630+G635+G642</f>
        <v>16476318.659999998</v>
      </c>
      <c r="H626" s="74"/>
      <c r="I626" s="206"/>
    </row>
    <row r="627" spans="1:8" ht="141.75" outlineLevel="5">
      <c r="A627" s="76" t="s">
        <v>1122</v>
      </c>
      <c r="B627" s="77" t="s">
        <v>759</v>
      </c>
      <c r="C627" s="77" t="s">
        <v>2</v>
      </c>
      <c r="D627" s="77" t="s">
        <v>22</v>
      </c>
      <c r="E627" s="77" t="s">
        <v>25</v>
      </c>
      <c r="F627" s="77" t="s">
        <v>1</v>
      </c>
      <c r="G627" s="78">
        <f>G628</f>
        <v>478823.5900000001</v>
      </c>
      <c r="H627" s="78"/>
    </row>
    <row r="628" spans="1:8" ht="31.5" outlineLevel="6">
      <c r="A628" s="76" t="s">
        <v>434</v>
      </c>
      <c r="B628" s="77" t="s">
        <v>759</v>
      </c>
      <c r="C628" s="77" t="s">
        <v>2</v>
      </c>
      <c r="D628" s="77" t="s">
        <v>22</v>
      </c>
      <c r="E628" s="77" t="s">
        <v>26</v>
      </c>
      <c r="F628" s="77" t="s">
        <v>1</v>
      </c>
      <c r="G628" s="78">
        <f>G629</f>
        <v>478823.5900000001</v>
      </c>
      <c r="H628" s="78"/>
    </row>
    <row r="629" spans="1:8" ht="94.5" outlineLevel="7">
      <c r="A629" s="76" t="s">
        <v>708</v>
      </c>
      <c r="B629" s="77" t="s">
        <v>759</v>
      </c>
      <c r="C629" s="77" t="s">
        <v>2</v>
      </c>
      <c r="D629" s="77" t="s">
        <v>22</v>
      </c>
      <c r="E629" s="77" t="s">
        <v>26</v>
      </c>
      <c r="F629" s="77" t="s">
        <v>10</v>
      </c>
      <c r="G629" s="78">
        <f>1373779.26-688724.44-206231.23</f>
        <v>478823.5900000001</v>
      </c>
      <c r="H629" s="78"/>
    </row>
    <row r="630" spans="1:8" ht="78.75" outlineLevel="5">
      <c r="A630" s="76" t="s">
        <v>1123</v>
      </c>
      <c r="B630" s="77" t="s">
        <v>759</v>
      </c>
      <c r="C630" s="77" t="s">
        <v>2</v>
      </c>
      <c r="D630" s="77" t="s">
        <v>22</v>
      </c>
      <c r="E630" s="77" t="s">
        <v>27</v>
      </c>
      <c r="F630" s="77" t="s">
        <v>1</v>
      </c>
      <c r="G630" s="78">
        <f>G631+G633</f>
        <v>2897595.5199999996</v>
      </c>
      <c r="H630" s="78"/>
    </row>
    <row r="631" spans="1:8" ht="31.5" outlineLevel="6">
      <c r="A631" s="76" t="s">
        <v>434</v>
      </c>
      <c r="B631" s="77" t="s">
        <v>759</v>
      </c>
      <c r="C631" s="77" t="s">
        <v>2</v>
      </c>
      <c r="D631" s="77" t="s">
        <v>22</v>
      </c>
      <c r="E631" s="77" t="s">
        <v>28</v>
      </c>
      <c r="F631" s="77" t="s">
        <v>1</v>
      </c>
      <c r="G631" s="78">
        <f>G632</f>
        <v>2869995.5199999996</v>
      </c>
      <c r="H631" s="78"/>
    </row>
    <row r="632" spans="1:8" ht="94.5" outlineLevel="7">
      <c r="A632" s="148" t="s">
        <v>708</v>
      </c>
      <c r="B632" s="149" t="s">
        <v>759</v>
      </c>
      <c r="C632" s="149" t="s">
        <v>2</v>
      </c>
      <c r="D632" s="149" t="s">
        <v>22</v>
      </c>
      <c r="E632" s="149" t="s">
        <v>28</v>
      </c>
      <c r="F632" s="149" t="s">
        <v>10</v>
      </c>
      <c r="G632" s="150">
        <f>2099094.82+597793.03+173107.67</f>
        <v>2869995.5199999996</v>
      </c>
      <c r="H632" s="150"/>
    </row>
    <row r="633" spans="1:8" ht="78.75" outlineLevel="6">
      <c r="A633" s="76" t="s">
        <v>432</v>
      </c>
      <c r="B633" s="77" t="s">
        <v>759</v>
      </c>
      <c r="C633" s="77" t="s">
        <v>2</v>
      </c>
      <c r="D633" s="77" t="s">
        <v>22</v>
      </c>
      <c r="E633" s="77" t="s">
        <v>29</v>
      </c>
      <c r="F633" s="77" t="s">
        <v>1</v>
      </c>
      <c r="G633" s="78">
        <f>G634</f>
        <v>27600</v>
      </c>
      <c r="H633" s="78"/>
    </row>
    <row r="634" spans="1:8" ht="94.5" outlineLevel="7">
      <c r="A634" s="76" t="s">
        <v>708</v>
      </c>
      <c r="B634" s="77" t="s">
        <v>759</v>
      </c>
      <c r="C634" s="77" t="s">
        <v>2</v>
      </c>
      <c r="D634" s="77" t="s">
        <v>22</v>
      </c>
      <c r="E634" s="77" t="s">
        <v>29</v>
      </c>
      <c r="F634" s="77" t="s">
        <v>10</v>
      </c>
      <c r="G634" s="78">
        <f>25000+2600</f>
        <v>27600</v>
      </c>
      <c r="H634" s="78"/>
    </row>
    <row r="635" spans="1:8" ht="126" outlineLevel="5">
      <c r="A635" s="76" t="s">
        <v>1124</v>
      </c>
      <c r="B635" s="77" t="s">
        <v>759</v>
      </c>
      <c r="C635" s="77" t="s">
        <v>2</v>
      </c>
      <c r="D635" s="77" t="s">
        <v>22</v>
      </c>
      <c r="E635" s="77" t="s">
        <v>30</v>
      </c>
      <c r="F635" s="77" t="s">
        <v>1</v>
      </c>
      <c r="G635" s="78">
        <f>G636+G638+G640</f>
        <v>6074534.6</v>
      </c>
      <c r="H635" s="78"/>
    </row>
    <row r="636" spans="1:8" ht="31.5" outlineLevel="6">
      <c r="A636" s="76" t="s">
        <v>434</v>
      </c>
      <c r="B636" s="77" t="s">
        <v>759</v>
      </c>
      <c r="C636" s="77" t="s">
        <v>2</v>
      </c>
      <c r="D636" s="77" t="s">
        <v>22</v>
      </c>
      <c r="E636" s="77" t="s">
        <v>31</v>
      </c>
      <c r="F636" s="77" t="s">
        <v>1</v>
      </c>
      <c r="G636" s="78">
        <f>G637</f>
        <v>5940605.4799999995</v>
      </c>
      <c r="H636" s="78"/>
    </row>
    <row r="637" spans="1:8" ht="94.5" outlineLevel="7">
      <c r="A637" s="76" t="s">
        <v>708</v>
      </c>
      <c r="B637" s="77" t="s">
        <v>759</v>
      </c>
      <c r="C637" s="77" t="s">
        <v>2</v>
      </c>
      <c r="D637" s="77" t="s">
        <v>22</v>
      </c>
      <c r="E637" s="77" t="s">
        <v>31</v>
      </c>
      <c r="F637" s="77" t="s">
        <v>10</v>
      </c>
      <c r="G637" s="78">
        <f>5841197.31+84089.46+15318.71</f>
        <v>5940605.4799999995</v>
      </c>
      <c r="H637" s="78"/>
    </row>
    <row r="638" spans="1:8" ht="31.5" outlineLevel="6">
      <c r="A638" s="76" t="s">
        <v>430</v>
      </c>
      <c r="B638" s="77" t="s">
        <v>759</v>
      </c>
      <c r="C638" s="77" t="s">
        <v>2</v>
      </c>
      <c r="D638" s="77" t="s">
        <v>22</v>
      </c>
      <c r="E638" s="77" t="s">
        <v>32</v>
      </c>
      <c r="F638" s="77" t="s">
        <v>1</v>
      </c>
      <c r="G638" s="78">
        <f>G639</f>
        <v>900</v>
      </c>
      <c r="H638" s="78"/>
    </row>
    <row r="639" spans="1:8" ht="94.5" outlineLevel="7">
      <c r="A639" s="76" t="s">
        <v>708</v>
      </c>
      <c r="B639" s="77" t="s">
        <v>759</v>
      </c>
      <c r="C639" s="77" t="s">
        <v>2</v>
      </c>
      <c r="D639" s="77" t="s">
        <v>22</v>
      </c>
      <c r="E639" s="77" t="s">
        <v>32</v>
      </c>
      <c r="F639" s="77" t="s">
        <v>10</v>
      </c>
      <c r="G639" s="78">
        <v>900</v>
      </c>
      <c r="H639" s="78"/>
    </row>
    <row r="640" spans="1:8" ht="78.75" outlineLevel="6">
      <c r="A640" s="76" t="s">
        <v>432</v>
      </c>
      <c r="B640" s="77" t="s">
        <v>759</v>
      </c>
      <c r="C640" s="77" t="s">
        <v>2</v>
      </c>
      <c r="D640" s="77" t="s">
        <v>22</v>
      </c>
      <c r="E640" s="77" t="s">
        <v>33</v>
      </c>
      <c r="F640" s="77" t="s">
        <v>1</v>
      </c>
      <c r="G640" s="78">
        <f>G641</f>
        <v>133029.12</v>
      </c>
      <c r="H640" s="78"/>
    </row>
    <row r="641" spans="1:8" ht="94.5" outlineLevel="7">
      <c r="A641" s="76" t="s">
        <v>708</v>
      </c>
      <c r="B641" s="77" t="s">
        <v>759</v>
      </c>
      <c r="C641" s="77" t="s">
        <v>2</v>
      </c>
      <c r="D641" s="77" t="s">
        <v>22</v>
      </c>
      <c r="E641" s="77" t="s">
        <v>33</v>
      </c>
      <c r="F641" s="77" t="s">
        <v>10</v>
      </c>
      <c r="G641" s="78">
        <f>60482+72547.12</f>
        <v>133029.12</v>
      </c>
      <c r="H641" s="78"/>
    </row>
    <row r="642" spans="1:8" ht="157.5" outlineLevel="5">
      <c r="A642" s="76" t="s">
        <v>1125</v>
      </c>
      <c r="B642" s="77" t="s">
        <v>759</v>
      </c>
      <c r="C642" s="77" t="s">
        <v>2</v>
      </c>
      <c r="D642" s="77" t="s">
        <v>22</v>
      </c>
      <c r="E642" s="77" t="s">
        <v>34</v>
      </c>
      <c r="F642" s="77" t="s">
        <v>1</v>
      </c>
      <c r="G642" s="78">
        <f>G643+G645+G647</f>
        <v>7025364.949999999</v>
      </c>
      <c r="H642" s="78"/>
    </row>
    <row r="643" spans="1:8" ht="31.5" outlineLevel="6">
      <c r="A643" s="76" t="s">
        <v>434</v>
      </c>
      <c r="B643" s="77" t="s">
        <v>759</v>
      </c>
      <c r="C643" s="77" t="s">
        <v>2</v>
      </c>
      <c r="D643" s="77" t="s">
        <v>22</v>
      </c>
      <c r="E643" s="77" t="s">
        <v>35</v>
      </c>
      <c r="F643" s="77" t="s">
        <v>1</v>
      </c>
      <c r="G643" s="78">
        <f>G644</f>
        <v>6922132.949999999</v>
      </c>
      <c r="H643" s="78"/>
    </row>
    <row r="644" spans="1:8" ht="94.5" outlineLevel="7">
      <c r="A644" s="76" t="s">
        <v>708</v>
      </c>
      <c r="B644" s="77" t="s">
        <v>759</v>
      </c>
      <c r="C644" s="77" t="s">
        <v>2</v>
      </c>
      <c r="D644" s="77" t="s">
        <v>22</v>
      </c>
      <c r="E644" s="77" t="s">
        <v>35</v>
      </c>
      <c r="F644" s="77" t="s">
        <v>10</v>
      </c>
      <c r="G644" s="78">
        <f>7012233.27-69200-20900.32</f>
        <v>6922132.949999999</v>
      </c>
      <c r="H644" s="78"/>
    </row>
    <row r="645" spans="1:8" ht="31.5" outlineLevel="6">
      <c r="A645" s="76" t="s">
        <v>430</v>
      </c>
      <c r="B645" s="77" t="s">
        <v>759</v>
      </c>
      <c r="C645" s="77" t="s">
        <v>2</v>
      </c>
      <c r="D645" s="77" t="s">
        <v>22</v>
      </c>
      <c r="E645" s="77" t="s">
        <v>36</v>
      </c>
      <c r="F645" s="77" t="s">
        <v>1</v>
      </c>
      <c r="G645" s="78">
        <f>G646</f>
        <v>2250</v>
      </c>
      <c r="H645" s="78"/>
    </row>
    <row r="646" spans="1:8" ht="94.5" outlineLevel="7">
      <c r="A646" s="76" t="s">
        <v>708</v>
      </c>
      <c r="B646" s="77" t="s">
        <v>759</v>
      </c>
      <c r="C646" s="77" t="s">
        <v>2</v>
      </c>
      <c r="D646" s="77" t="s">
        <v>22</v>
      </c>
      <c r="E646" s="77" t="s">
        <v>36</v>
      </c>
      <c r="F646" s="77" t="s">
        <v>10</v>
      </c>
      <c r="G646" s="78">
        <v>2250</v>
      </c>
      <c r="H646" s="78"/>
    </row>
    <row r="647" spans="1:8" ht="78.75" outlineLevel="6">
      <c r="A647" s="76" t="s">
        <v>432</v>
      </c>
      <c r="B647" s="77" t="s">
        <v>759</v>
      </c>
      <c r="C647" s="77" t="s">
        <v>2</v>
      </c>
      <c r="D647" s="77" t="s">
        <v>22</v>
      </c>
      <c r="E647" s="77" t="s">
        <v>37</v>
      </c>
      <c r="F647" s="77" t="s">
        <v>1</v>
      </c>
      <c r="G647" s="78">
        <f>G648</f>
        <v>100982</v>
      </c>
      <c r="H647" s="78"/>
    </row>
    <row r="648" spans="1:8" ht="94.5" outlineLevel="7">
      <c r="A648" s="76" t="s">
        <v>708</v>
      </c>
      <c r="B648" s="77" t="s">
        <v>759</v>
      </c>
      <c r="C648" s="77" t="s">
        <v>2</v>
      </c>
      <c r="D648" s="77" t="s">
        <v>22</v>
      </c>
      <c r="E648" s="77" t="s">
        <v>37</v>
      </c>
      <c r="F648" s="77" t="s">
        <v>10</v>
      </c>
      <c r="G648" s="78">
        <f>61382+39600</f>
        <v>100982</v>
      </c>
      <c r="H648" s="78"/>
    </row>
    <row r="649" spans="1:9" s="75" customFormat="1" ht="63" outlineLevel="3">
      <c r="A649" s="72" t="s">
        <v>656</v>
      </c>
      <c r="B649" s="73" t="s">
        <v>759</v>
      </c>
      <c r="C649" s="73" t="s">
        <v>2</v>
      </c>
      <c r="D649" s="73" t="s">
        <v>22</v>
      </c>
      <c r="E649" s="73" t="s">
        <v>6</v>
      </c>
      <c r="F649" s="73" t="s">
        <v>1</v>
      </c>
      <c r="G649" s="74">
        <f>G650</f>
        <v>165338</v>
      </c>
      <c r="H649" s="74"/>
      <c r="I649" s="206"/>
    </row>
    <row r="650" spans="1:9" s="75" customFormat="1" ht="31.5" outlineLevel="4">
      <c r="A650" s="72" t="s">
        <v>613</v>
      </c>
      <c r="B650" s="73" t="s">
        <v>759</v>
      </c>
      <c r="C650" s="73" t="s">
        <v>2</v>
      </c>
      <c r="D650" s="73" t="s">
        <v>22</v>
      </c>
      <c r="E650" s="73" t="s">
        <v>7</v>
      </c>
      <c r="F650" s="73" t="s">
        <v>1</v>
      </c>
      <c r="G650" s="74">
        <f>G651+G655</f>
        <v>165338</v>
      </c>
      <c r="H650" s="74"/>
      <c r="I650" s="206"/>
    </row>
    <row r="651" spans="1:8" ht="63" outlineLevel="5">
      <c r="A651" s="76" t="s">
        <v>1063</v>
      </c>
      <c r="B651" s="77" t="s">
        <v>759</v>
      </c>
      <c r="C651" s="77" t="s">
        <v>2</v>
      </c>
      <c r="D651" s="77" t="s">
        <v>22</v>
      </c>
      <c r="E651" s="77" t="s">
        <v>15</v>
      </c>
      <c r="F651" s="77" t="s">
        <v>1</v>
      </c>
      <c r="G651" s="78">
        <f>G652</f>
        <v>100845.08</v>
      </c>
      <c r="H651" s="78"/>
    </row>
    <row r="652" spans="1:8" ht="31.5" outlineLevel="6">
      <c r="A652" s="76" t="s">
        <v>430</v>
      </c>
      <c r="B652" s="77" t="s">
        <v>759</v>
      </c>
      <c r="C652" s="77" t="s">
        <v>2</v>
      </c>
      <c r="D652" s="77" t="s">
        <v>22</v>
      </c>
      <c r="E652" s="77" t="s">
        <v>16</v>
      </c>
      <c r="F652" s="77" t="s">
        <v>1</v>
      </c>
      <c r="G652" s="78">
        <f>G653+G654</f>
        <v>100845.08</v>
      </c>
      <c r="H652" s="78"/>
    </row>
    <row r="653" spans="1:8" ht="94.5" outlineLevel="7">
      <c r="A653" s="76" t="s">
        <v>708</v>
      </c>
      <c r="B653" s="77" t="s">
        <v>759</v>
      </c>
      <c r="C653" s="77" t="s">
        <v>2</v>
      </c>
      <c r="D653" s="77" t="s">
        <v>22</v>
      </c>
      <c r="E653" s="77" t="s">
        <v>16</v>
      </c>
      <c r="F653" s="77" t="s">
        <v>10</v>
      </c>
      <c r="G653" s="78">
        <v>63300</v>
      </c>
      <c r="H653" s="78"/>
    </row>
    <row r="654" spans="1:8" ht="31.5" outlineLevel="7">
      <c r="A654" s="76" t="s">
        <v>693</v>
      </c>
      <c r="B654" s="77" t="s">
        <v>759</v>
      </c>
      <c r="C654" s="77" t="s">
        <v>2</v>
      </c>
      <c r="D654" s="77" t="s">
        <v>22</v>
      </c>
      <c r="E654" s="77" t="s">
        <v>16</v>
      </c>
      <c r="F654" s="77" t="s">
        <v>17</v>
      </c>
      <c r="G654" s="78">
        <v>37545.08</v>
      </c>
      <c r="H654" s="78"/>
    </row>
    <row r="655" spans="1:8" ht="15.75" outlineLevel="5">
      <c r="A655" s="76" t="s">
        <v>1064</v>
      </c>
      <c r="B655" s="77" t="s">
        <v>759</v>
      </c>
      <c r="C655" s="77" t="s">
        <v>2</v>
      </c>
      <c r="D655" s="77" t="s">
        <v>22</v>
      </c>
      <c r="E655" s="77" t="s">
        <v>18</v>
      </c>
      <c r="F655" s="77" t="s">
        <v>1</v>
      </c>
      <c r="G655" s="78">
        <f>G656</f>
        <v>64492.92</v>
      </c>
      <c r="H655" s="78"/>
    </row>
    <row r="656" spans="1:8" ht="31.5" outlineLevel="6">
      <c r="A656" s="76" t="s">
        <v>430</v>
      </c>
      <c r="B656" s="77" t="s">
        <v>759</v>
      </c>
      <c r="C656" s="77" t="s">
        <v>2</v>
      </c>
      <c r="D656" s="77" t="s">
        <v>22</v>
      </c>
      <c r="E656" s="77" t="s">
        <v>19</v>
      </c>
      <c r="F656" s="77" t="s">
        <v>1</v>
      </c>
      <c r="G656" s="78">
        <f>G657</f>
        <v>64492.92</v>
      </c>
      <c r="H656" s="78"/>
    </row>
    <row r="657" spans="1:8" ht="31.5" outlineLevel="7">
      <c r="A657" s="76" t="s">
        <v>693</v>
      </c>
      <c r="B657" s="77" t="s">
        <v>759</v>
      </c>
      <c r="C657" s="77" t="s">
        <v>2</v>
      </c>
      <c r="D657" s="77" t="s">
        <v>22</v>
      </c>
      <c r="E657" s="77" t="s">
        <v>19</v>
      </c>
      <c r="F657" s="77" t="s">
        <v>17</v>
      </c>
      <c r="G657" s="78">
        <v>64492.92</v>
      </c>
      <c r="H657" s="78"/>
    </row>
    <row r="658" spans="1:9" s="75" customFormat="1" ht="15.75" outlineLevel="2">
      <c r="A658" s="72" t="s">
        <v>668</v>
      </c>
      <c r="B658" s="73" t="s">
        <v>759</v>
      </c>
      <c r="C658" s="73" t="s">
        <v>2</v>
      </c>
      <c r="D658" s="73" t="s">
        <v>66</v>
      </c>
      <c r="E658" s="73" t="s">
        <v>4</v>
      </c>
      <c r="F658" s="73" t="s">
        <v>1</v>
      </c>
      <c r="G658" s="74">
        <f>G659+G664</f>
        <v>857742.29</v>
      </c>
      <c r="H658" s="74"/>
      <c r="I658" s="206"/>
    </row>
    <row r="659" spans="1:9" s="75" customFormat="1" ht="47.25" outlineLevel="3">
      <c r="A659" s="72" t="s">
        <v>659</v>
      </c>
      <c r="B659" s="73" t="s">
        <v>759</v>
      </c>
      <c r="C659" s="73" t="s">
        <v>2</v>
      </c>
      <c r="D659" s="73" t="s">
        <v>66</v>
      </c>
      <c r="E659" s="73" t="s">
        <v>90</v>
      </c>
      <c r="F659" s="73" t="s">
        <v>1</v>
      </c>
      <c r="G659" s="74">
        <f>G660</f>
        <v>837822.0700000001</v>
      </c>
      <c r="H659" s="74"/>
      <c r="I659" s="206"/>
    </row>
    <row r="660" spans="1:9" s="75" customFormat="1" ht="47.25" outlineLevel="4">
      <c r="A660" s="72" t="s">
        <v>624</v>
      </c>
      <c r="B660" s="73" t="s">
        <v>759</v>
      </c>
      <c r="C660" s="73" t="s">
        <v>2</v>
      </c>
      <c r="D660" s="73" t="s">
        <v>66</v>
      </c>
      <c r="E660" s="73" t="s">
        <v>91</v>
      </c>
      <c r="F660" s="73" t="s">
        <v>1</v>
      </c>
      <c r="G660" s="74">
        <f>G661</f>
        <v>837822.0700000001</v>
      </c>
      <c r="H660" s="74"/>
      <c r="I660" s="206"/>
    </row>
    <row r="661" spans="1:8" ht="47.25" outlineLevel="5">
      <c r="A661" s="76" t="s">
        <v>1066</v>
      </c>
      <c r="B661" s="77" t="s">
        <v>759</v>
      </c>
      <c r="C661" s="77" t="s">
        <v>2</v>
      </c>
      <c r="D661" s="77" t="s">
        <v>66</v>
      </c>
      <c r="E661" s="77" t="s">
        <v>94</v>
      </c>
      <c r="F661" s="77" t="s">
        <v>1</v>
      </c>
      <c r="G661" s="78">
        <f>G662</f>
        <v>837822.0700000001</v>
      </c>
      <c r="H661" s="78"/>
    </row>
    <row r="662" spans="1:8" ht="31.5" outlineLevel="6">
      <c r="A662" s="76" t="s">
        <v>441</v>
      </c>
      <c r="B662" s="77" t="s">
        <v>759</v>
      </c>
      <c r="C662" s="77" t="s">
        <v>2</v>
      </c>
      <c r="D662" s="77" t="s">
        <v>66</v>
      </c>
      <c r="E662" s="77" t="s">
        <v>95</v>
      </c>
      <c r="F662" s="77" t="s">
        <v>1</v>
      </c>
      <c r="G662" s="78">
        <f>G663</f>
        <v>837822.0700000001</v>
      </c>
      <c r="H662" s="78"/>
    </row>
    <row r="663" spans="1:8" ht="31.5" outlineLevel="7">
      <c r="A663" s="76" t="s">
        <v>693</v>
      </c>
      <c r="B663" s="77" t="s">
        <v>759</v>
      </c>
      <c r="C663" s="77" t="s">
        <v>2</v>
      </c>
      <c r="D663" s="77" t="s">
        <v>66</v>
      </c>
      <c r="E663" s="77" t="s">
        <v>95</v>
      </c>
      <c r="F663" s="77" t="s">
        <v>17</v>
      </c>
      <c r="G663" s="78">
        <f>857742.29-19920.22</f>
        <v>837822.0700000001</v>
      </c>
      <c r="H663" s="78"/>
    </row>
    <row r="664" spans="1:8" ht="15.75" outlineLevel="7">
      <c r="A664" s="82" t="s">
        <v>490</v>
      </c>
      <c r="B664" s="73" t="s">
        <v>759</v>
      </c>
      <c r="C664" s="73" t="s">
        <v>2</v>
      </c>
      <c r="D664" s="73" t="s">
        <v>66</v>
      </c>
      <c r="E664" s="83" t="s">
        <v>11</v>
      </c>
      <c r="F664" s="83" t="s">
        <v>1</v>
      </c>
      <c r="G664" s="74">
        <f>G665</f>
        <v>19920.22</v>
      </c>
      <c r="H664" s="78"/>
    </row>
    <row r="665" spans="1:8" ht="31.5" outlineLevel="7">
      <c r="A665" s="19" t="s">
        <v>448</v>
      </c>
      <c r="B665" s="77" t="s">
        <v>759</v>
      </c>
      <c r="C665" s="20" t="s">
        <v>2</v>
      </c>
      <c r="D665" s="20" t="s">
        <v>66</v>
      </c>
      <c r="E665" s="20" t="s">
        <v>142</v>
      </c>
      <c r="F665" s="20" t="s">
        <v>1</v>
      </c>
      <c r="G665" s="78">
        <f>G666+G667</f>
        <v>19920.22</v>
      </c>
      <c r="H665" s="78"/>
    </row>
    <row r="666" spans="1:8" ht="94.5" outlineLevel="7">
      <c r="A666" s="148" t="s">
        <v>708</v>
      </c>
      <c r="B666" s="77" t="s">
        <v>759</v>
      </c>
      <c r="C666" s="109" t="s">
        <v>2</v>
      </c>
      <c r="D666" s="109" t="s">
        <v>66</v>
      </c>
      <c r="E666" s="109" t="s">
        <v>142</v>
      </c>
      <c r="F666" s="109" t="s">
        <v>10</v>
      </c>
      <c r="G666" s="78">
        <f>19420.22</f>
        <v>19420.22</v>
      </c>
      <c r="H666" s="78"/>
    </row>
    <row r="667" spans="1:8" ht="15.75" outlineLevel="7">
      <c r="A667" s="19" t="s">
        <v>695</v>
      </c>
      <c r="B667" s="77" t="s">
        <v>759</v>
      </c>
      <c r="C667" s="20" t="s">
        <v>2</v>
      </c>
      <c r="D667" s="20" t="s">
        <v>66</v>
      </c>
      <c r="E667" s="20" t="s">
        <v>142</v>
      </c>
      <c r="F667" s="20" t="s">
        <v>65</v>
      </c>
      <c r="G667" s="78">
        <v>500</v>
      </c>
      <c r="H667" s="78"/>
    </row>
    <row r="668" spans="1:9" s="75" customFormat="1" ht="15.75" outlineLevel="1">
      <c r="A668" s="72" t="s">
        <v>700</v>
      </c>
      <c r="B668" s="73" t="s">
        <v>759</v>
      </c>
      <c r="C668" s="73" t="s">
        <v>239</v>
      </c>
      <c r="D668" s="73" t="s">
        <v>3</v>
      </c>
      <c r="E668" s="73" t="s">
        <v>4</v>
      </c>
      <c r="F668" s="73" t="s">
        <v>1</v>
      </c>
      <c r="G668" s="74">
        <f>G669+G704+G749+G777+G792</f>
        <v>1328871370.88</v>
      </c>
      <c r="H668" s="74">
        <f>H669+H704+H749+H777+H792</f>
        <v>712404575.9200001</v>
      </c>
      <c r="I668" s="206"/>
    </row>
    <row r="669" spans="1:9" s="75" customFormat="1" ht="15.75" outlineLevel="2">
      <c r="A669" s="72" t="s">
        <v>680</v>
      </c>
      <c r="B669" s="73" t="s">
        <v>759</v>
      </c>
      <c r="C669" s="73" t="s">
        <v>239</v>
      </c>
      <c r="D669" s="73" t="s">
        <v>2</v>
      </c>
      <c r="E669" s="73" t="s">
        <v>4</v>
      </c>
      <c r="F669" s="73" t="s">
        <v>1</v>
      </c>
      <c r="G669" s="74">
        <f>G670+G699</f>
        <v>559665269.26</v>
      </c>
      <c r="H669" s="74">
        <f>H670</f>
        <v>336234518.78</v>
      </c>
      <c r="I669" s="206"/>
    </row>
    <row r="670" spans="1:9" s="75" customFormat="1" ht="47.25" outlineLevel="3">
      <c r="A670" s="72" t="s">
        <v>657</v>
      </c>
      <c r="B670" s="73" t="s">
        <v>759</v>
      </c>
      <c r="C670" s="73" t="s">
        <v>239</v>
      </c>
      <c r="D670" s="73" t="s">
        <v>2</v>
      </c>
      <c r="E670" s="73" t="s">
        <v>23</v>
      </c>
      <c r="F670" s="73" t="s">
        <v>1</v>
      </c>
      <c r="G670" s="74">
        <f>G671+G685</f>
        <v>557272511.26</v>
      </c>
      <c r="H670" s="74">
        <f>H671</f>
        <v>336234518.78</v>
      </c>
      <c r="I670" s="206"/>
    </row>
    <row r="671" spans="1:9" s="75" customFormat="1" ht="31.5" outlineLevel="4">
      <c r="A671" s="72" t="s">
        <v>640</v>
      </c>
      <c r="B671" s="73" t="s">
        <v>759</v>
      </c>
      <c r="C671" s="73" t="s">
        <v>239</v>
      </c>
      <c r="D671" s="73" t="s">
        <v>2</v>
      </c>
      <c r="E671" s="73" t="s">
        <v>240</v>
      </c>
      <c r="F671" s="73" t="s">
        <v>1</v>
      </c>
      <c r="G671" s="74">
        <f>G672+G679+G682</f>
        <v>548820879.76</v>
      </c>
      <c r="H671" s="74">
        <f>H672</f>
        <v>336234518.78</v>
      </c>
      <c r="I671" s="206"/>
    </row>
    <row r="672" spans="1:8" ht="78.75" outlineLevel="5">
      <c r="A672" s="76" t="s">
        <v>1126</v>
      </c>
      <c r="B672" s="77" t="s">
        <v>759</v>
      </c>
      <c r="C672" s="77" t="s">
        <v>239</v>
      </c>
      <c r="D672" s="77" t="s">
        <v>2</v>
      </c>
      <c r="E672" s="77" t="s">
        <v>241</v>
      </c>
      <c r="F672" s="77" t="s">
        <v>1</v>
      </c>
      <c r="G672" s="78">
        <f>G673+G675+G677</f>
        <v>336265219.90999997</v>
      </c>
      <c r="H672" s="78">
        <f>H673+H675</f>
        <v>336234518.78</v>
      </c>
    </row>
    <row r="673" spans="1:8" ht="78.75" outlineLevel="6">
      <c r="A673" s="76" t="s">
        <v>465</v>
      </c>
      <c r="B673" s="77" t="s">
        <v>759</v>
      </c>
      <c r="C673" s="77" t="s">
        <v>239</v>
      </c>
      <c r="D673" s="77" t="s">
        <v>2</v>
      </c>
      <c r="E673" s="77" t="s">
        <v>242</v>
      </c>
      <c r="F673" s="77" t="s">
        <v>1</v>
      </c>
      <c r="G673" s="78">
        <f>G674</f>
        <v>488918.78</v>
      </c>
      <c r="H673" s="78">
        <f>H674</f>
        <v>488918.78</v>
      </c>
    </row>
    <row r="674" spans="1:8" ht="47.25" outlineLevel="7">
      <c r="A674" s="76" t="s">
        <v>696</v>
      </c>
      <c r="B674" s="77" t="s">
        <v>759</v>
      </c>
      <c r="C674" s="77" t="s">
        <v>239</v>
      </c>
      <c r="D674" s="77" t="s">
        <v>2</v>
      </c>
      <c r="E674" s="77" t="s">
        <v>242</v>
      </c>
      <c r="F674" s="77" t="s">
        <v>70</v>
      </c>
      <c r="G674" s="78">
        <v>488918.78</v>
      </c>
      <c r="H674" s="78">
        <f>G674</f>
        <v>488918.78</v>
      </c>
    </row>
    <row r="675" spans="1:8" ht="78.75" outlineLevel="6">
      <c r="A675" s="76" t="s">
        <v>466</v>
      </c>
      <c r="B675" s="77" t="s">
        <v>759</v>
      </c>
      <c r="C675" s="77" t="s">
        <v>239</v>
      </c>
      <c r="D675" s="77" t="s">
        <v>2</v>
      </c>
      <c r="E675" s="77" t="s">
        <v>243</v>
      </c>
      <c r="F675" s="77" t="s">
        <v>1</v>
      </c>
      <c r="G675" s="78">
        <f>G676</f>
        <v>335745600</v>
      </c>
      <c r="H675" s="78">
        <f>H676</f>
        <v>335745600</v>
      </c>
    </row>
    <row r="676" spans="1:8" ht="47.25" outlineLevel="7">
      <c r="A676" s="76" t="s">
        <v>696</v>
      </c>
      <c r="B676" s="77" t="s">
        <v>759</v>
      </c>
      <c r="C676" s="77" t="s">
        <v>239</v>
      </c>
      <c r="D676" s="77" t="s">
        <v>2</v>
      </c>
      <c r="E676" s="77" t="s">
        <v>243</v>
      </c>
      <c r="F676" s="77" t="s">
        <v>70</v>
      </c>
      <c r="G676" s="78">
        <v>335745600</v>
      </c>
      <c r="H676" s="78">
        <f>G676</f>
        <v>335745600</v>
      </c>
    </row>
    <row r="677" spans="1:8" ht="78.75" outlineLevel="6">
      <c r="A677" s="76" t="s">
        <v>465</v>
      </c>
      <c r="B677" s="77" t="s">
        <v>759</v>
      </c>
      <c r="C677" s="77" t="s">
        <v>239</v>
      </c>
      <c r="D677" s="77" t="s">
        <v>2</v>
      </c>
      <c r="E677" s="77" t="s">
        <v>244</v>
      </c>
      <c r="F677" s="77" t="s">
        <v>1</v>
      </c>
      <c r="G677" s="78">
        <f>G678</f>
        <v>30701.13</v>
      </c>
      <c r="H677" s="78"/>
    </row>
    <row r="678" spans="1:8" ht="47.25" outlineLevel="7">
      <c r="A678" s="76" t="s">
        <v>696</v>
      </c>
      <c r="B678" s="77" t="s">
        <v>759</v>
      </c>
      <c r="C678" s="77" t="s">
        <v>239</v>
      </c>
      <c r="D678" s="77" t="s">
        <v>2</v>
      </c>
      <c r="E678" s="77" t="s">
        <v>244</v>
      </c>
      <c r="F678" s="77" t="s">
        <v>70</v>
      </c>
      <c r="G678" s="78">
        <v>30701.13</v>
      </c>
      <c r="H678" s="78"/>
    </row>
    <row r="679" spans="1:8" ht="63" outlineLevel="5">
      <c r="A679" s="76" t="s">
        <v>1127</v>
      </c>
      <c r="B679" s="77" t="s">
        <v>759</v>
      </c>
      <c r="C679" s="77" t="s">
        <v>239</v>
      </c>
      <c r="D679" s="77" t="s">
        <v>2</v>
      </c>
      <c r="E679" s="77" t="s">
        <v>245</v>
      </c>
      <c r="F679" s="77" t="s">
        <v>1</v>
      </c>
      <c r="G679" s="78">
        <f>G680</f>
        <v>204543626.85</v>
      </c>
      <c r="H679" s="78"/>
    </row>
    <row r="680" spans="1:8" ht="78.75" outlineLevel="6">
      <c r="A680" s="76" t="s">
        <v>443</v>
      </c>
      <c r="B680" s="77" t="s">
        <v>759</v>
      </c>
      <c r="C680" s="77" t="s">
        <v>239</v>
      </c>
      <c r="D680" s="77" t="s">
        <v>2</v>
      </c>
      <c r="E680" s="77" t="s">
        <v>246</v>
      </c>
      <c r="F680" s="77" t="s">
        <v>1</v>
      </c>
      <c r="G680" s="78">
        <f>G681</f>
        <v>204543626.85</v>
      </c>
      <c r="H680" s="78"/>
    </row>
    <row r="681" spans="1:8" ht="47.25" outlineLevel="7">
      <c r="A681" s="76" t="s">
        <v>696</v>
      </c>
      <c r="B681" s="77" t="s">
        <v>759</v>
      </c>
      <c r="C681" s="77" t="s">
        <v>239</v>
      </c>
      <c r="D681" s="77" t="s">
        <v>2</v>
      </c>
      <c r="E681" s="77" t="s">
        <v>246</v>
      </c>
      <c r="F681" s="77" t="s">
        <v>70</v>
      </c>
      <c r="G681" s="78">
        <v>204543626.85</v>
      </c>
      <c r="H681" s="78"/>
    </row>
    <row r="682" spans="1:8" ht="31.5" outlineLevel="5">
      <c r="A682" s="76" t="s">
        <v>1128</v>
      </c>
      <c r="B682" s="77" t="s">
        <v>759</v>
      </c>
      <c r="C682" s="77" t="s">
        <v>239</v>
      </c>
      <c r="D682" s="77" t="s">
        <v>2</v>
      </c>
      <c r="E682" s="77" t="s">
        <v>247</v>
      </c>
      <c r="F682" s="77" t="s">
        <v>1</v>
      </c>
      <c r="G682" s="78">
        <f>G683</f>
        <v>8012033</v>
      </c>
      <c r="H682" s="78"/>
    </row>
    <row r="683" spans="1:8" ht="78.75" outlineLevel="6">
      <c r="A683" s="76" t="s">
        <v>432</v>
      </c>
      <c r="B683" s="77" t="s">
        <v>759</v>
      </c>
      <c r="C683" s="77" t="s">
        <v>239</v>
      </c>
      <c r="D683" s="77" t="s">
        <v>2</v>
      </c>
      <c r="E683" s="77" t="s">
        <v>248</v>
      </c>
      <c r="F683" s="77" t="s">
        <v>1</v>
      </c>
      <c r="G683" s="78">
        <f>G684</f>
        <v>8012033</v>
      </c>
      <c r="H683" s="78"/>
    </row>
    <row r="684" spans="1:8" ht="47.25" outlineLevel="7">
      <c r="A684" s="76" t="s">
        <v>696</v>
      </c>
      <c r="B684" s="77" t="s">
        <v>759</v>
      </c>
      <c r="C684" s="77" t="s">
        <v>239</v>
      </c>
      <c r="D684" s="77" t="s">
        <v>2</v>
      </c>
      <c r="E684" s="77" t="s">
        <v>248</v>
      </c>
      <c r="F684" s="77" t="s">
        <v>70</v>
      </c>
      <c r="G684" s="78">
        <v>8012033</v>
      </c>
      <c r="H684" s="78"/>
    </row>
    <row r="685" spans="1:9" s="75" customFormat="1" ht="47.25" outlineLevel="4">
      <c r="A685" s="72" t="s">
        <v>641</v>
      </c>
      <c r="B685" s="73" t="s">
        <v>759</v>
      </c>
      <c r="C685" s="73" t="s">
        <v>239</v>
      </c>
      <c r="D685" s="73" t="s">
        <v>2</v>
      </c>
      <c r="E685" s="73" t="s">
        <v>249</v>
      </c>
      <c r="F685" s="73" t="s">
        <v>1</v>
      </c>
      <c r="G685" s="74">
        <f>G686+G694+G689</f>
        <v>8451631.5</v>
      </c>
      <c r="H685" s="74"/>
      <c r="I685" s="206"/>
    </row>
    <row r="686" spans="1:8" ht="31.5" outlineLevel="5">
      <c r="A686" s="76" t="s">
        <v>1135</v>
      </c>
      <c r="B686" s="77" t="s">
        <v>759</v>
      </c>
      <c r="C686" s="77" t="s">
        <v>239</v>
      </c>
      <c r="D686" s="77" t="s">
        <v>2</v>
      </c>
      <c r="E686" s="77" t="s">
        <v>252</v>
      </c>
      <c r="F686" s="77" t="s">
        <v>1</v>
      </c>
      <c r="G686" s="78">
        <f>G687</f>
        <v>1187188</v>
      </c>
      <c r="H686" s="78"/>
    </row>
    <row r="687" spans="1:8" ht="31.5" outlineLevel="6">
      <c r="A687" s="76" t="s">
        <v>441</v>
      </c>
      <c r="B687" s="77" t="s">
        <v>759</v>
      </c>
      <c r="C687" s="77" t="s">
        <v>239</v>
      </c>
      <c r="D687" s="77" t="s">
        <v>2</v>
      </c>
      <c r="E687" s="77" t="s">
        <v>253</v>
      </c>
      <c r="F687" s="77" t="s">
        <v>1</v>
      </c>
      <c r="G687" s="78">
        <f>G688</f>
        <v>1187188</v>
      </c>
      <c r="H687" s="78"/>
    </row>
    <row r="688" spans="1:8" ht="47.25" outlineLevel="7">
      <c r="A688" s="76" t="s">
        <v>696</v>
      </c>
      <c r="B688" s="77" t="s">
        <v>759</v>
      </c>
      <c r="C688" s="77" t="s">
        <v>239</v>
      </c>
      <c r="D688" s="77" t="s">
        <v>2</v>
      </c>
      <c r="E688" s="77" t="s">
        <v>253</v>
      </c>
      <c r="F688" s="77" t="s">
        <v>70</v>
      </c>
      <c r="G688" s="78">
        <v>1187188</v>
      </c>
      <c r="H688" s="78"/>
    </row>
    <row r="689" spans="1:8" ht="47.25" outlineLevel="7">
      <c r="A689" s="76" t="s">
        <v>587</v>
      </c>
      <c r="B689" s="77" t="s">
        <v>759</v>
      </c>
      <c r="C689" s="77" t="s">
        <v>239</v>
      </c>
      <c r="D689" s="77" t="s">
        <v>2</v>
      </c>
      <c r="E689" s="77" t="s">
        <v>415</v>
      </c>
      <c r="F689" s="77" t="s">
        <v>1</v>
      </c>
      <c r="G689" s="78">
        <f>G690+G692</f>
        <v>6228219.5</v>
      </c>
      <c r="H689" s="78"/>
    </row>
    <row r="690" spans="1:8" ht="31.5" outlineLevel="7">
      <c r="A690" s="76" t="s">
        <v>456</v>
      </c>
      <c r="B690" s="77" t="s">
        <v>759</v>
      </c>
      <c r="C690" s="77" t="s">
        <v>239</v>
      </c>
      <c r="D690" s="77" t="s">
        <v>2</v>
      </c>
      <c r="E690" s="77" t="s">
        <v>1237</v>
      </c>
      <c r="F690" s="77" t="s">
        <v>1</v>
      </c>
      <c r="G690" s="78">
        <f>G691</f>
        <v>4673209.5</v>
      </c>
      <c r="H690" s="78"/>
    </row>
    <row r="691" spans="1:8" ht="47.25" outlineLevel="7">
      <c r="A691" s="76" t="s">
        <v>696</v>
      </c>
      <c r="B691" s="77" t="s">
        <v>759</v>
      </c>
      <c r="C691" s="77" t="s">
        <v>239</v>
      </c>
      <c r="D691" s="77" t="s">
        <v>2</v>
      </c>
      <c r="E691" s="77" t="s">
        <v>1237</v>
      </c>
      <c r="F691" s="77" t="s">
        <v>70</v>
      </c>
      <c r="G691" s="78">
        <f>944051+3729158.5</f>
        <v>4673209.5</v>
      </c>
      <c r="H691" s="78"/>
    </row>
    <row r="692" spans="1:8" ht="31.5" outlineLevel="7">
      <c r="A692" s="76" t="s">
        <v>441</v>
      </c>
      <c r="B692" s="77" t="s">
        <v>759</v>
      </c>
      <c r="C692" s="77" t="s">
        <v>239</v>
      </c>
      <c r="D692" s="77" t="s">
        <v>2</v>
      </c>
      <c r="E692" s="77" t="s">
        <v>1326</v>
      </c>
      <c r="F692" s="77" t="s">
        <v>1</v>
      </c>
      <c r="G692" s="78">
        <f>G693</f>
        <v>1555010</v>
      </c>
      <c r="H692" s="78"/>
    </row>
    <row r="693" spans="1:8" ht="47.25" outlineLevel="7">
      <c r="A693" s="76" t="s">
        <v>696</v>
      </c>
      <c r="B693" s="77" t="s">
        <v>759</v>
      </c>
      <c r="C693" s="77" t="s">
        <v>239</v>
      </c>
      <c r="D693" s="77" t="s">
        <v>2</v>
      </c>
      <c r="E693" s="77" t="s">
        <v>1326</v>
      </c>
      <c r="F693" s="77" t="s">
        <v>70</v>
      </c>
      <c r="G693" s="78">
        <v>1555010</v>
      </c>
      <c r="H693" s="78"/>
    </row>
    <row r="694" spans="1:8" ht="47.25" outlineLevel="5">
      <c r="A694" s="76" t="s">
        <v>1129</v>
      </c>
      <c r="B694" s="77" t="s">
        <v>759</v>
      </c>
      <c r="C694" s="77" t="s">
        <v>239</v>
      </c>
      <c r="D694" s="77" t="s">
        <v>2</v>
      </c>
      <c r="E694" s="77" t="s">
        <v>254</v>
      </c>
      <c r="F694" s="77" t="s">
        <v>1</v>
      </c>
      <c r="G694" s="78">
        <f>G697+G695</f>
        <v>1036224</v>
      </c>
      <c r="H694" s="78"/>
    </row>
    <row r="695" spans="1:8" ht="31.5" outlineLevel="5">
      <c r="A695" s="76" t="s">
        <v>456</v>
      </c>
      <c r="B695" s="77" t="s">
        <v>759</v>
      </c>
      <c r="C695" s="77" t="s">
        <v>239</v>
      </c>
      <c r="D695" s="77" t="s">
        <v>2</v>
      </c>
      <c r="E695" s="77" t="s">
        <v>416</v>
      </c>
      <c r="F695" s="77" t="s">
        <v>1</v>
      </c>
      <c r="G695" s="78">
        <f>G696</f>
        <v>887050</v>
      </c>
      <c r="H695" s="78"/>
    </row>
    <row r="696" spans="1:8" ht="47.25" outlineLevel="5">
      <c r="A696" s="76" t="s">
        <v>696</v>
      </c>
      <c r="B696" s="77" t="s">
        <v>759</v>
      </c>
      <c r="C696" s="77" t="s">
        <v>239</v>
      </c>
      <c r="D696" s="77" t="s">
        <v>2</v>
      </c>
      <c r="E696" s="77" t="s">
        <v>416</v>
      </c>
      <c r="F696" s="77" t="s">
        <v>70</v>
      </c>
      <c r="G696" s="78">
        <f>887050</f>
        <v>887050</v>
      </c>
      <c r="H696" s="78"/>
    </row>
    <row r="697" spans="1:8" ht="31.5" outlineLevel="6">
      <c r="A697" s="76" t="s">
        <v>441</v>
      </c>
      <c r="B697" s="77" t="s">
        <v>759</v>
      </c>
      <c r="C697" s="77" t="s">
        <v>239</v>
      </c>
      <c r="D697" s="77" t="s">
        <v>2</v>
      </c>
      <c r="E697" s="77" t="s">
        <v>255</v>
      </c>
      <c r="F697" s="77" t="s">
        <v>1</v>
      </c>
      <c r="G697" s="78">
        <f>G698</f>
        <v>149174</v>
      </c>
      <c r="H697" s="78"/>
    </row>
    <row r="698" spans="1:8" ht="47.25" outlineLevel="7">
      <c r="A698" s="76" t="s">
        <v>696</v>
      </c>
      <c r="B698" s="77" t="s">
        <v>759</v>
      </c>
      <c r="C698" s="77" t="s">
        <v>239</v>
      </c>
      <c r="D698" s="77" t="s">
        <v>2</v>
      </c>
      <c r="E698" s="77" t="s">
        <v>255</v>
      </c>
      <c r="F698" s="77" t="s">
        <v>70</v>
      </c>
      <c r="G698" s="78">
        <f>180030-30856</f>
        <v>149174</v>
      </c>
      <c r="H698" s="78"/>
    </row>
    <row r="699" spans="1:9" s="75" customFormat="1" ht="47.25" outlineLevel="3">
      <c r="A699" s="72" t="s">
        <v>659</v>
      </c>
      <c r="B699" s="73" t="s">
        <v>759</v>
      </c>
      <c r="C699" s="73" t="s">
        <v>239</v>
      </c>
      <c r="D699" s="73" t="s">
        <v>2</v>
      </c>
      <c r="E699" s="73" t="s">
        <v>90</v>
      </c>
      <c r="F699" s="73" t="s">
        <v>1</v>
      </c>
      <c r="G699" s="74">
        <f>G700</f>
        <v>2392758</v>
      </c>
      <c r="H699" s="74"/>
      <c r="I699" s="206"/>
    </row>
    <row r="700" spans="1:9" s="75" customFormat="1" ht="47.25" outlineLevel="4">
      <c r="A700" s="72" t="s">
        <v>624</v>
      </c>
      <c r="B700" s="73" t="s">
        <v>759</v>
      </c>
      <c r="C700" s="73" t="s">
        <v>239</v>
      </c>
      <c r="D700" s="73" t="s">
        <v>2</v>
      </c>
      <c r="E700" s="73" t="s">
        <v>91</v>
      </c>
      <c r="F700" s="73" t="s">
        <v>1</v>
      </c>
      <c r="G700" s="74">
        <f>G701</f>
        <v>2392758</v>
      </c>
      <c r="H700" s="74"/>
      <c r="I700" s="206"/>
    </row>
    <row r="701" spans="1:8" ht="31.5" outlineLevel="5">
      <c r="A701" s="76" t="s">
        <v>1074</v>
      </c>
      <c r="B701" s="77" t="s">
        <v>759</v>
      </c>
      <c r="C701" s="77" t="s">
        <v>239</v>
      </c>
      <c r="D701" s="77" t="s">
        <v>2</v>
      </c>
      <c r="E701" s="77" t="s">
        <v>100</v>
      </c>
      <c r="F701" s="77" t="s">
        <v>1</v>
      </c>
      <c r="G701" s="78">
        <f>G702</f>
        <v>2392758</v>
      </c>
      <c r="H701" s="78"/>
    </row>
    <row r="702" spans="1:8" ht="31.5" outlineLevel="6">
      <c r="A702" s="76" t="s">
        <v>441</v>
      </c>
      <c r="B702" s="77" t="s">
        <v>759</v>
      </c>
      <c r="C702" s="77" t="s">
        <v>239</v>
      </c>
      <c r="D702" s="77" t="s">
        <v>2</v>
      </c>
      <c r="E702" s="77" t="s">
        <v>101</v>
      </c>
      <c r="F702" s="77" t="s">
        <v>1</v>
      </c>
      <c r="G702" s="78">
        <f>G703</f>
        <v>2392758</v>
      </c>
      <c r="H702" s="78"/>
    </row>
    <row r="703" spans="1:8" ht="47.25" outlineLevel="7">
      <c r="A703" s="76" t="s">
        <v>696</v>
      </c>
      <c r="B703" s="77" t="s">
        <v>759</v>
      </c>
      <c r="C703" s="77" t="s">
        <v>239</v>
      </c>
      <c r="D703" s="77" t="s">
        <v>2</v>
      </c>
      <c r="E703" s="77" t="s">
        <v>101</v>
      </c>
      <c r="F703" s="77" t="s">
        <v>70</v>
      </c>
      <c r="G703" s="78">
        <f>2382758+10000</f>
        <v>2392758</v>
      </c>
      <c r="H703" s="78"/>
    </row>
    <row r="704" spans="1:9" s="75" customFormat="1" ht="15.75" outlineLevel="2">
      <c r="A704" s="72" t="s">
        <v>681</v>
      </c>
      <c r="B704" s="73" t="s">
        <v>759</v>
      </c>
      <c r="C704" s="73" t="s">
        <v>239</v>
      </c>
      <c r="D704" s="73" t="s">
        <v>5</v>
      </c>
      <c r="E704" s="73" t="s">
        <v>4</v>
      </c>
      <c r="F704" s="73" t="s">
        <v>1</v>
      </c>
      <c r="G704" s="74">
        <f>G705+G744</f>
        <v>469452604.18000007</v>
      </c>
      <c r="H704" s="74">
        <f>H705</f>
        <v>351362545.7</v>
      </c>
      <c r="I704" s="206"/>
    </row>
    <row r="705" spans="1:9" s="75" customFormat="1" ht="47.25" outlineLevel="3">
      <c r="A705" s="72" t="s">
        <v>657</v>
      </c>
      <c r="B705" s="73" t="s">
        <v>759</v>
      </c>
      <c r="C705" s="73" t="s">
        <v>239</v>
      </c>
      <c r="D705" s="73" t="s">
        <v>5</v>
      </c>
      <c r="E705" s="73" t="s">
        <v>23</v>
      </c>
      <c r="F705" s="73" t="s">
        <v>1</v>
      </c>
      <c r="G705" s="74">
        <f>G706+G730</f>
        <v>468469204.18000007</v>
      </c>
      <c r="H705" s="74">
        <f>H706</f>
        <v>351362545.7</v>
      </c>
      <c r="I705" s="206"/>
    </row>
    <row r="706" spans="1:9" s="75" customFormat="1" ht="63" outlineLevel="4">
      <c r="A706" s="72" t="s">
        <v>642</v>
      </c>
      <c r="B706" s="73" t="s">
        <v>759</v>
      </c>
      <c r="C706" s="73" t="s">
        <v>239</v>
      </c>
      <c r="D706" s="73" t="s">
        <v>5</v>
      </c>
      <c r="E706" s="73" t="s">
        <v>256</v>
      </c>
      <c r="F706" s="73" t="s">
        <v>1</v>
      </c>
      <c r="G706" s="74">
        <f>G707+G714+G721+G724+G727</f>
        <v>459808174.70000005</v>
      </c>
      <c r="H706" s="74">
        <f>H707+H714+H721</f>
        <v>351362545.7</v>
      </c>
      <c r="I706" s="206"/>
    </row>
    <row r="707" spans="1:8" ht="63" outlineLevel="5">
      <c r="A707" s="76" t="s">
        <v>1130</v>
      </c>
      <c r="B707" s="77" t="s">
        <v>759</v>
      </c>
      <c r="C707" s="77" t="s">
        <v>239</v>
      </c>
      <c r="D707" s="77" t="s">
        <v>5</v>
      </c>
      <c r="E707" s="77" t="s">
        <v>257</v>
      </c>
      <c r="F707" s="77" t="s">
        <v>1</v>
      </c>
      <c r="G707" s="78">
        <f>G708+G710+G712</f>
        <v>138171741.06000003</v>
      </c>
      <c r="H707" s="78">
        <f>H708+H710</f>
        <v>138159615.44000003</v>
      </c>
    </row>
    <row r="708" spans="1:8" ht="78.75" outlineLevel="6">
      <c r="A708" s="76" t="s">
        <v>465</v>
      </c>
      <c r="B708" s="77" t="s">
        <v>759</v>
      </c>
      <c r="C708" s="77" t="s">
        <v>239</v>
      </c>
      <c r="D708" s="77" t="s">
        <v>5</v>
      </c>
      <c r="E708" s="77" t="s">
        <v>258</v>
      </c>
      <c r="F708" s="77" t="s">
        <v>1</v>
      </c>
      <c r="G708" s="78">
        <f>G709</f>
        <v>230386.86</v>
      </c>
      <c r="H708" s="78">
        <f>H709</f>
        <v>230386.86</v>
      </c>
    </row>
    <row r="709" spans="1:8" ht="47.25" outlineLevel="7">
      <c r="A709" s="76" t="s">
        <v>696</v>
      </c>
      <c r="B709" s="77" t="s">
        <v>759</v>
      </c>
      <c r="C709" s="77" t="s">
        <v>239</v>
      </c>
      <c r="D709" s="77" t="s">
        <v>5</v>
      </c>
      <c r="E709" s="77" t="s">
        <v>258</v>
      </c>
      <c r="F709" s="77" t="s">
        <v>70</v>
      </c>
      <c r="G709" s="78">
        <v>230386.86</v>
      </c>
      <c r="H709" s="78">
        <f>G709</f>
        <v>230386.86</v>
      </c>
    </row>
    <row r="710" spans="1:8" ht="63" outlineLevel="6">
      <c r="A710" s="76" t="s">
        <v>468</v>
      </c>
      <c r="B710" s="77" t="s">
        <v>759</v>
      </c>
      <c r="C710" s="77" t="s">
        <v>239</v>
      </c>
      <c r="D710" s="77" t="s">
        <v>5</v>
      </c>
      <c r="E710" s="77" t="s">
        <v>259</v>
      </c>
      <c r="F710" s="77" t="s">
        <v>1</v>
      </c>
      <c r="G710" s="78">
        <f>G711</f>
        <v>137929228.58</v>
      </c>
      <c r="H710" s="78">
        <f>H711</f>
        <v>137929228.58</v>
      </c>
    </row>
    <row r="711" spans="1:8" ht="47.25" outlineLevel="7">
      <c r="A711" s="76" t="s">
        <v>696</v>
      </c>
      <c r="B711" s="77" t="s">
        <v>759</v>
      </c>
      <c r="C711" s="77" t="s">
        <v>239</v>
      </c>
      <c r="D711" s="77" t="s">
        <v>5</v>
      </c>
      <c r="E711" s="77" t="s">
        <v>259</v>
      </c>
      <c r="F711" s="77" t="s">
        <v>70</v>
      </c>
      <c r="G711" s="78">
        <f>140091428.58-2162200</f>
        <v>137929228.58</v>
      </c>
      <c r="H711" s="78">
        <f>G711</f>
        <v>137929228.58</v>
      </c>
    </row>
    <row r="712" spans="1:8" ht="78.75" outlineLevel="6">
      <c r="A712" s="76" t="s">
        <v>465</v>
      </c>
      <c r="B712" s="77" t="s">
        <v>759</v>
      </c>
      <c r="C712" s="77" t="s">
        <v>239</v>
      </c>
      <c r="D712" s="77" t="s">
        <v>5</v>
      </c>
      <c r="E712" s="77" t="s">
        <v>260</v>
      </c>
      <c r="F712" s="77" t="s">
        <v>1</v>
      </c>
      <c r="G712" s="78">
        <f>G713</f>
        <v>12125.62</v>
      </c>
      <c r="H712" s="78"/>
    </row>
    <row r="713" spans="1:8" ht="47.25" outlineLevel="7">
      <c r="A713" s="76" t="s">
        <v>696</v>
      </c>
      <c r="B713" s="77" t="s">
        <v>759</v>
      </c>
      <c r="C713" s="77" t="s">
        <v>239</v>
      </c>
      <c r="D713" s="77" t="s">
        <v>5</v>
      </c>
      <c r="E713" s="77" t="s">
        <v>260</v>
      </c>
      <c r="F713" s="77" t="s">
        <v>70</v>
      </c>
      <c r="G713" s="78">
        <v>12125.62</v>
      </c>
      <c r="H713" s="78"/>
    </row>
    <row r="714" spans="1:8" ht="63" outlineLevel="5">
      <c r="A714" s="76" t="s">
        <v>1131</v>
      </c>
      <c r="B714" s="77" t="s">
        <v>759</v>
      </c>
      <c r="C714" s="77" t="s">
        <v>239</v>
      </c>
      <c r="D714" s="77" t="s">
        <v>5</v>
      </c>
      <c r="E714" s="77" t="s">
        <v>261</v>
      </c>
      <c r="F714" s="77" t="s">
        <v>1</v>
      </c>
      <c r="G714" s="78">
        <f>G715+G717+G719</f>
        <v>178529211.02</v>
      </c>
      <c r="H714" s="78">
        <f>H715+H717</f>
        <v>178515760.55</v>
      </c>
    </row>
    <row r="715" spans="1:8" ht="78.75" outlineLevel="6">
      <c r="A715" s="76" t="s">
        <v>465</v>
      </c>
      <c r="B715" s="77" t="s">
        <v>759</v>
      </c>
      <c r="C715" s="77" t="s">
        <v>239</v>
      </c>
      <c r="D715" s="77" t="s">
        <v>5</v>
      </c>
      <c r="E715" s="77" t="s">
        <v>262</v>
      </c>
      <c r="F715" s="77" t="s">
        <v>1</v>
      </c>
      <c r="G715" s="78">
        <f>G716</f>
        <v>255558.84</v>
      </c>
      <c r="H715" s="78">
        <f>H716</f>
        <v>255558.84</v>
      </c>
    </row>
    <row r="716" spans="1:8" ht="47.25" outlineLevel="7">
      <c r="A716" s="76" t="s">
        <v>696</v>
      </c>
      <c r="B716" s="77" t="s">
        <v>759</v>
      </c>
      <c r="C716" s="77" t="s">
        <v>239</v>
      </c>
      <c r="D716" s="77" t="s">
        <v>5</v>
      </c>
      <c r="E716" s="77" t="s">
        <v>262</v>
      </c>
      <c r="F716" s="77" t="s">
        <v>70</v>
      </c>
      <c r="G716" s="78">
        <v>255558.84</v>
      </c>
      <c r="H716" s="78">
        <f>G716</f>
        <v>255558.84</v>
      </c>
    </row>
    <row r="717" spans="1:8" ht="63" outlineLevel="6">
      <c r="A717" s="76" t="s">
        <v>468</v>
      </c>
      <c r="B717" s="77" t="s">
        <v>759</v>
      </c>
      <c r="C717" s="77" t="s">
        <v>239</v>
      </c>
      <c r="D717" s="77" t="s">
        <v>5</v>
      </c>
      <c r="E717" s="77" t="s">
        <v>263</v>
      </c>
      <c r="F717" s="77" t="s">
        <v>1</v>
      </c>
      <c r="G717" s="78">
        <f>G718</f>
        <v>178260201.71</v>
      </c>
      <c r="H717" s="78">
        <f>H718</f>
        <v>178260201.71</v>
      </c>
    </row>
    <row r="718" spans="1:8" ht="47.25" outlineLevel="7">
      <c r="A718" s="76" t="s">
        <v>696</v>
      </c>
      <c r="B718" s="77" t="s">
        <v>759</v>
      </c>
      <c r="C718" s="77" t="s">
        <v>239</v>
      </c>
      <c r="D718" s="77" t="s">
        <v>5</v>
      </c>
      <c r="E718" s="77" t="s">
        <v>263</v>
      </c>
      <c r="F718" s="77" t="s">
        <v>70</v>
      </c>
      <c r="G718" s="78">
        <v>178260201.71</v>
      </c>
      <c r="H718" s="78">
        <f>G718</f>
        <v>178260201.71</v>
      </c>
    </row>
    <row r="719" spans="1:8" ht="78.75" outlineLevel="6">
      <c r="A719" s="76" t="s">
        <v>465</v>
      </c>
      <c r="B719" s="77" t="s">
        <v>759</v>
      </c>
      <c r="C719" s="77" t="s">
        <v>239</v>
      </c>
      <c r="D719" s="77" t="s">
        <v>5</v>
      </c>
      <c r="E719" s="77" t="s">
        <v>264</v>
      </c>
      <c r="F719" s="77" t="s">
        <v>1</v>
      </c>
      <c r="G719" s="78">
        <f>G720</f>
        <v>13450.47</v>
      </c>
      <c r="H719" s="78"/>
    </row>
    <row r="720" spans="1:8" ht="47.25" outlineLevel="7">
      <c r="A720" s="76" t="s">
        <v>696</v>
      </c>
      <c r="B720" s="77" t="s">
        <v>759</v>
      </c>
      <c r="C720" s="77" t="s">
        <v>239</v>
      </c>
      <c r="D720" s="77" t="s">
        <v>5</v>
      </c>
      <c r="E720" s="77" t="s">
        <v>264</v>
      </c>
      <c r="F720" s="77" t="s">
        <v>70</v>
      </c>
      <c r="G720" s="78">
        <v>13450.47</v>
      </c>
      <c r="H720" s="78"/>
    </row>
    <row r="721" spans="1:8" ht="63" outlineLevel="5">
      <c r="A721" s="76" t="s">
        <v>1132</v>
      </c>
      <c r="B721" s="77" t="s">
        <v>759</v>
      </c>
      <c r="C721" s="77" t="s">
        <v>239</v>
      </c>
      <c r="D721" s="77" t="s">
        <v>5</v>
      </c>
      <c r="E721" s="77" t="s">
        <v>265</v>
      </c>
      <c r="F721" s="77" t="s">
        <v>1</v>
      </c>
      <c r="G721" s="78">
        <f>G722</f>
        <v>34687169.71</v>
      </c>
      <c r="H721" s="78">
        <f>H722</f>
        <v>34687169.71</v>
      </c>
    </row>
    <row r="722" spans="1:8" ht="63" outlineLevel="6">
      <c r="A722" s="76" t="s">
        <v>468</v>
      </c>
      <c r="B722" s="77" t="s">
        <v>759</v>
      </c>
      <c r="C722" s="77" t="s">
        <v>239</v>
      </c>
      <c r="D722" s="77" t="s">
        <v>5</v>
      </c>
      <c r="E722" s="77" t="s">
        <v>266</v>
      </c>
      <c r="F722" s="77" t="s">
        <v>1</v>
      </c>
      <c r="G722" s="78">
        <f>G723</f>
        <v>34687169.71</v>
      </c>
      <c r="H722" s="78">
        <f>H723</f>
        <v>34687169.71</v>
      </c>
    </row>
    <row r="723" spans="1:8" ht="47.25" outlineLevel="7">
      <c r="A723" s="76" t="s">
        <v>696</v>
      </c>
      <c r="B723" s="77" t="s">
        <v>759</v>
      </c>
      <c r="C723" s="77" t="s">
        <v>239</v>
      </c>
      <c r="D723" s="77" t="s">
        <v>5</v>
      </c>
      <c r="E723" s="77" t="s">
        <v>266</v>
      </c>
      <c r="F723" s="77" t="s">
        <v>70</v>
      </c>
      <c r="G723" s="78">
        <v>34687169.71</v>
      </c>
      <c r="H723" s="78">
        <f>G723</f>
        <v>34687169.71</v>
      </c>
    </row>
    <row r="724" spans="1:8" ht="94.5" outlineLevel="5">
      <c r="A724" s="76" t="s">
        <v>1133</v>
      </c>
      <c r="B724" s="77" t="s">
        <v>759</v>
      </c>
      <c r="C724" s="77" t="s">
        <v>239</v>
      </c>
      <c r="D724" s="77" t="s">
        <v>5</v>
      </c>
      <c r="E724" s="77" t="s">
        <v>267</v>
      </c>
      <c r="F724" s="77" t="s">
        <v>1</v>
      </c>
      <c r="G724" s="78">
        <f>G725</f>
        <v>101563041.91</v>
      </c>
      <c r="H724" s="78"/>
    </row>
    <row r="725" spans="1:8" ht="78.75" outlineLevel="6">
      <c r="A725" s="76" t="s">
        <v>443</v>
      </c>
      <c r="B725" s="77" t="s">
        <v>759</v>
      </c>
      <c r="C725" s="77" t="s">
        <v>239</v>
      </c>
      <c r="D725" s="77" t="s">
        <v>5</v>
      </c>
      <c r="E725" s="77" t="s">
        <v>268</v>
      </c>
      <c r="F725" s="77" t="s">
        <v>1</v>
      </c>
      <c r="G725" s="78">
        <f>G726</f>
        <v>101563041.91</v>
      </c>
      <c r="H725" s="78"/>
    </row>
    <row r="726" spans="1:8" ht="47.25" outlineLevel="7">
      <c r="A726" s="76" t="s">
        <v>696</v>
      </c>
      <c r="B726" s="77" t="s">
        <v>759</v>
      </c>
      <c r="C726" s="77" t="s">
        <v>239</v>
      </c>
      <c r="D726" s="77" t="s">
        <v>5</v>
      </c>
      <c r="E726" s="77" t="s">
        <v>268</v>
      </c>
      <c r="F726" s="77" t="s">
        <v>70</v>
      </c>
      <c r="G726" s="78">
        <v>101563041.91</v>
      </c>
      <c r="H726" s="78"/>
    </row>
    <row r="727" spans="1:8" ht="31.5" outlineLevel="5">
      <c r="A727" s="76" t="s">
        <v>1128</v>
      </c>
      <c r="B727" s="77" t="s">
        <v>759</v>
      </c>
      <c r="C727" s="77" t="s">
        <v>239</v>
      </c>
      <c r="D727" s="77" t="s">
        <v>5</v>
      </c>
      <c r="E727" s="77" t="s">
        <v>269</v>
      </c>
      <c r="F727" s="77" t="s">
        <v>1</v>
      </c>
      <c r="G727" s="78">
        <f>G728</f>
        <v>6857011</v>
      </c>
      <c r="H727" s="78"/>
    </row>
    <row r="728" spans="1:8" ht="78.75" outlineLevel="6">
      <c r="A728" s="76" t="s">
        <v>432</v>
      </c>
      <c r="B728" s="77" t="s">
        <v>759</v>
      </c>
      <c r="C728" s="77" t="s">
        <v>239</v>
      </c>
      <c r="D728" s="77" t="s">
        <v>5</v>
      </c>
      <c r="E728" s="77" t="s">
        <v>270</v>
      </c>
      <c r="F728" s="77" t="s">
        <v>1</v>
      </c>
      <c r="G728" s="78">
        <f>G729</f>
        <v>6857011</v>
      </c>
      <c r="H728" s="78"/>
    </row>
    <row r="729" spans="1:8" ht="47.25" outlineLevel="7">
      <c r="A729" s="76" t="s">
        <v>696</v>
      </c>
      <c r="B729" s="77" t="s">
        <v>759</v>
      </c>
      <c r="C729" s="77" t="s">
        <v>239</v>
      </c>
      <c r="D729" s="77" t="s">
        <v>5</v>
      </c>
      <c r="E729" s="77" t="s">
        <v>270</v>
      </c>
      <c r="F729" s="77" t="s">
        <v>70</v>
      </c>
      <c r="G729" s="78">
        <v>6857011</v>
      </c>
      <c r="H729" s="78"/>
    </row>
    <row r="730" spans="1:9" s="75" customFormat="1" ht="47.25" outlineLevel="4">
      <c r="A730" s="72" t="s">
        <v>641</v>
      </c>
      <c r="B730" s="73" t="s">
        <v>759</v>
      </c>
      <c r="C730" s="73" t="s">
        <v>239</v>
      </c>
      <c r="D730" s="73" t="s">
        <v>5</v>
      </c>
      <c r="E730" s="73" t="s">
        <v>249</v>
      </c>
      <c r="F730" s="73" t="s">
        <v>1</v>
      </c>
      <c r="G730" s="74">
        <f>G736+G731+G739</f>
        <v>8661029.48</v>
      </c>
      <c r="H730" s="74"/>
      <c r="I730" s="206"/>
    </row>
    <row r="731" spans="1:9" s="75" customFormat="1" ht="47.25" outlineLevel="4">
      <c r="A731" s="76" t="s">
        <v>587</v>
      </c>
      <c r="B731" s="77" t="s">
        <v>759</v>
      </c>
      <c r="C731" s="77" t="s">
        <v>239</v>
      </c>
      <c r="D731" s="77" t="s">
        <v>5</v>
      </c>
      <c r="E731" s="77" t="s">
        <v>415</v>
      </c>
      <c r="F731" s="77" t="s">
        <v>1</v>
      </c>
      <c r="G731" s="78">
        <f>G732+G734</f>
        <v>4295200.48</v>
      </c>
      <c r="H731" s="74"/>
      <c r="I731" s="206"/>
    </row>
    <row r="732" spans="1:9" s="75" customFormat="1" ht="31.5" outlineLevel="4">
      <c r="A732" s="76" t="s">
        <v>456</v>
      </c>
      <c r="B732" s="77" t="s">
        <v>759</v>
      </c>
      <c r="C732" s="77" t="s">
        <v>239</v>
      </c>
      <c r="D732" s="77" t="s">
        <v>5</v>
      </c>
      <c r="E732" s="77" t="s">
        <v>1237</v>
      </c>
      <c r="F732" s="77" t="s">
        <v>1</v>
      </c>
      <c r="G732" s="78">
        <f>G733</f>
        <v>4242996.48</v>
      </c>
      <c r="H732" s="74"/>
      <c r="I732" s="206"/>
    </row>
    <row r="733" spans="1:9" s="75" customFormat="1" ht="47.25" outlineLevel="4">
      <c r="A733" s="76" t="s">
        <v>696</v>
      </c>
      <c r="B733" s="77" t="s">
        <v>759</v>
      </c>
      <c r="C733" s="77" t="s">
        <v>239</v>
      </c>
      <c r="D733" s="77" t="s">
        <v>5</v>
      </c>
      <c r="E733" s="77" t="s">
        <v>1237</v>
      </c>
      <c r="F733" s="77" t="s">
        <v>70</v>
      </c>
      <c r="G733" s="78">
        <f>9786493.98-5543497.5</f>
        <v>4242996.48</v>
      </c>
      <c r="H733" s="74"/>
      <c r="I733" s="206"/>
    </row>
    <row r="734" spans="1:9" s="75" customFormat="1" ht="31.5" outlineLevel="4">
      <c r="A734" s="76" t="s">
        <v>441</v>
      </c>
      <c r="B734" s="77" t="s">
        <v>759</v>
      </c>
      <c r="C734" s="77" t="s">
        <v>239</v>
      </c>
      <c r="D734" s="77" t="s">
        <v>5</v>
      </c>
      <c r="E734" s="77" t="s">
        <v>1326</v>
      </c>
      <c r="F734" s="77" t="s">
        <v>1</v>
      </c>
      <c r="G734" s="78">
        <f>G735</f>
        <v>52204</v>
      </c>
      <c r="H734" s="74"/>
      <c r="I734" s="206"/>
    </row>
    <row r="735" spans="1:9" s="75" customFormat="1" ht="47.25" outlineLevel="4">
      <c r="A735" s="76" t="s">
        <v>696</v>
      </c>
      <c r="B735" s="77" t="s">
        <v>759</v>
      </c>
      <c r="C735" s="77" t="s">
        <v>239</v>
      </c>
      <c r="D735" s="77" t="s">
        <v>5</v>
      </c>
      <c r="E735" s="77" t="s">
        <v>1326</v>
      </c>
      <c r="F735" s="77" t="s">
        <v>70</v>
      </c>
      <c r="G735" s="78">
        <f>52204</f>
        <v>52204</v>
      </c>
      <c r="H735" s="74"/>
      <c r="I735" s="206"/>
    </row>
    <row r="736" spans="1:8" ht="15.75" outlineLevel="5">
      <c r="A736" s="76" t="s">
        <v>1191</v>
      </c>
      <c r="B736" s="77" t="s">
        <v>759</v>
      </c>
      <c r="C736" s="77" t="s">
        <v>239</v>
      </c>
      <c r="D736" s="77" t="s">
        <v>5</v>
      </c>
      <c r="E736" s="77" t="s">
        <v>271</v>
      </c>
      <c r="F736" s="77" t="s">
        <v>1</v>
      </c>
      <c r="G736" s="78">
        <f>G737</f>
        <v>3617636</v>
      </c>
      <c r="H736" s="78"/>
    </row>
    <row r="737" spans="1:8" ht="31.5" outlineLevel="6">
      <c r="A737" s="76" t="s">
        <v>441</v>
      </c>
      <c r="B737" s="77" t="s">
        <v>759</v>
      </c>
      <c r="C737" s="77" t="s">
        <v>239</v>
      </c>
      <c r="D737" s="77" t="s">
        <v>5</v>
      </c>
      <c r="E737" s="77" t="s">
        <v>272</v>
      </c>
      <c r="F737" s="77" t="s">
        <v>1</v>
      </c>
      <c r="G737" s="78">
        <f>G738</f>
        <v>3617636</v>
      </c>
      <c r="H737" s="78"/>
    </row>
    <row r="738" spans="1:8" ht="47.25" outlineLevel="7">
      <c r="A738" s="76" t="s">
        <v>696</v>
      </c>
      <c r="B738" s="77" t="s">
        <v>759</v>
      </c>
      <c r="C738" s="77" t="s">
        <v>239</v>
      </c>
      <c r="D738" s="77" t="s">
        <v>5</v>
      </c>
      <c r="E738" s="77" t="s">
        <v>272</v>
      </c>
      <c r="F738" s="77" t="s">
        <v>70</v>
      </c>
      <c r="G738" s="78">
        <v>3617636</v>
      </c>
      <c r="H738" s="78"/>
    </row>
    <row r="739" spans="1:8" ht="47.25" outlineLevel="7">
      <c r="A739" s="76" t="s">
        <v>565</v>
      </c>
      <c r="B739" s="77" t="s">
        <v>759</v>
      </c>
      <c r="C739" s="77" t="s">
        <v>239</v>
      </c>
      <c r="D739" s="77" t="s">
        <v>5</v>
      </c>
      <c r="E739" s="77" t="s">
        <v>254</v>
      </c>
      <c r="F739" s="77" t="s">
        <v>1</v>
      </c>
      <c r="G739" s="78">
        <f>G740+G742</f>
        <v>748193</v>
      </c>
      <c r="H739" s="78"/>
    </row>
    <row r="740" spans="1:8" ht="31.5" outlineLevel="7">
      <c r="A740" s="76" t="s">
        <v>456</v>
      </c>
      <c r="B740" s="77" t="s">
        <v>759</v>
      </c>
      <c r="C740" s="77" t="s">
        <v>239</v>
      </c>
      <c r="D740" s="77" t="s">
        <v>5</v>
      </c>
      <c r="E740" s="77" t="s">
        <v>416</v>
      </c>
      <c r="F740" s="77" t="s">
        <v>1</v>
      </c>
      <c r="G740" s="78">
        <f>G741</f>
        <v>645519.8200000001</v>
      </c>
      <c r="H740" s="78"/>
    </row>
    <row r="741" spans="1:8" ht="47.25" outlineLevel="7">
      <c r="A741" s="76" t="s">
        <v>696</v>
      </c>
      <c r="B741" s="77" t="s">
        <v>759</v>
      </c>
      <c r="C741" s="77" t="s">
        <v>239</v>
      </c>
      <c r="D741" s="77" t="s">
        <v>5</v>
      </c>
      <c r="E741" s="77" t="s">
        <v>416</v>
      </c>
      <c r="F741" s="77" t="s">
        <v>70</v>
      </c>
      <c r="G741" s="78">
        <f>843817-198297.18</f>
        <v>645519.8200000001</v>
      </c>
      <c r="H741" s="78"/>
    </row>
    <row r="742" spans="1:8" ht="31.5" outlineLevel="7">
      <c r="A742" s="76" t="s">
        <v>441</v>
      </c>
      <c r="B742" s="77" t="s">
        <v>759</v>
      </c>
      <c r="C742" s="77" t="s">
        <v>239</v>
      </c>
      <c r="D742" s="77" t="s">
        <v>5</v>
      </c>
      <c r="E742" s="77" t="s">
        <v>255</v>
      </c>
      <c r="F742" s="77" t="s">
        <v>1</v>
      </c>
      <c r="G742" s="78">
        <f>G743</f>
        <v>102673.18</v>
      </c>
      <c r="H742" s="78"/>
    </row>
    <row r="743" spans="1:8" ht="47.25" outlineLevel="7">
      <c r="A743" s="76" t="s">
        <v>696</v>
      </c>
      <c r="B743" s="77" t="s">
        <v>759</v>
      </c>
      <c r="C743" s="77" t="s">
        <v>239</v>
      </c>
      <c r="D743" s="77" t="s">
        <v>5</v>
      </c>
      <c r="E743" s="77" t="s">
        <v>255</v>
      </c>
      <c r="F743" s="77" t="s">
        <v>70</v>
      </c>
      <c r="G743" s="78">
        <f>102673.18</f>
        <v>102673.18</v>
      </c>
      <c r="H743" s="78"/>
    </row>
    <row r="744" spans="1:9" s="75" customFormat="1" ht="47.25" outlineLevel="3">
      <c r="A744" s="72" t="s">
        <v>659</v>
      </c>
      <c r="B744" s="73" t="s">
        <v>759</v>
      </c>
      <c r="C744" s="73" t="s">
        <v>239</v>
      </c>
      <c r="D744" s="73" t="s">
        <v>5</v>
      </c>
      <c r="E744" s="73" t="s">
        <v>90</v>
      </c>
      <c r="F744" s="73" t="s">
        <v>1</v>
      </c>
      <c r="G744" s="74">
        <f>G745</f>
        <v>983400</v>
      </c>
      <c r="H744" s="74"/>
      <c r="I744" s="206"/>
    </row>
    <row r="745" spans="1:9" s="75" customFormat="1" ht="47.25" outlineLevel="4">
      <c r="A745" s="72" t="s">
        <v>624</v>
      </c>
      <c r="B745" s="73" t="s">
        <v>759</v>
      </c>
      <c r="C745" s="73" t="s">
        <v>239</v>
      </c>
      <c r="D745" s="73" t="s">
        <v>5</v>
      </c>
      <c r="E745" s="73" t="s">
        <v>91</v>
      </c>
      <c r="F745" s="73" t="s">
        <v>1</v>
      </c>
      <c r="G745" s="74">
        <f>G746</f>
        <v>983400</v>
      </c>
      <c r="H745" s="74"/>
      <c r="I745" s="206"/>
    </row>
    <row r="746" spans="1:8" ht="31.5" outlineLevel="5">
      <c r="A746" s="76" t="s">
        <v>1074</v>
      </c>
      <c r="B746" s="77" t="s">
        <v>759</v>
      </c>
      <c r="C746" s="77" t="s">
        <v>239</v>
      </c>
      <c r="D746" s="77" t="s">
        <v>5</v>
      </c>
      <c r="E746" s="77" t="s">
        <v>100</v>
      </c>
      <c r="F746" s="77" t="s">
        <v>1</v>
      </c>
      <c r="G746" s="78">
        <f>G747</f>
        <v>983400</v>
      </c>
      <c r="H746" s="78"/>
    </row>
    <row r="747" spans="1:8" ht="31.5" outlineLevel="6">
      <c r="A747" s="76" t="s">
        <v>441</v>
      </c>
      <c r="B747" s="77" t="s">
        <v>759</v>
      </c>
      <c r="C747" s="77" t="s">
        <v>239</v>
      </c>
      <c r="D747" s="77" t="s">
        <v>5</v>
      </c>
      <c r="E747" s="77" t="s">
        <v>101</v>
      </c>
      <c r="F747" s="77" t="s">
        <v>1</v>
      </c>
      <c r="G747" s="78">
        <f>G748</f>
        <v>983400</v>
      </c>
      <c r="H747" s="78"/>
    </row>
    <row r="748" spans="1:8" ht="47.25" outlineLevel="7">
      <c r="A748" s="76" t="s">
        <v>696</v>
      </c>
      <c r="B748" s="77" t="s">
        <v>759</v>
      </c>
      <c r="C748" s="77" t="s">
        <v>239</v>
      </c>
      <c r="D748" s="77" t="s">
        <v>5</v>
      </c>
      <c r="E748" s="77" t="s">
        <v>101</v>
      </c>
      <c r="F748" s="77" t="s">
        <v>70</v>
      </c>
      <c r="G748" s="78">
        <f>963400+20000</f>
        <v>983400</v>
      </c>
      <c r="H748" s="78"/>
    </row>
    <row r="749" spans="1:9" s="75" customFormat="1" ht="15.75" outlineLevel="2">
      <c r="A749" s="72" t="s">
        <v>682</v>
      </c>
      <c r="B749" s="73" t="s">
        <v>759</v>
      </c>
      <c r="C749" s="73" t="s">
        <v>239</v>
      </c>
      <c r="D749" s="73" t="s">
        <v>14</v>
      </c>
      <c r="E749" s="73" t="s">
        <v>4</v>
      </c>
      <c r="F749" s="73" t="s">
        <v>1</v>
      </c>
      <c r="G749" s="74">
        <f>G750+G772</f>
        <v>215864963.44</v>
      </c>
      <c r="H749" s="74">
        <f>H750</f>
        <v>5845011.44</v>
      </c>
      <c r="I749" s="206"/>
    </row>
    <row r="750" spans="1:9" s="75" customFormat="1" ht="47.25" outlineLevel="3">
      <c r="A750" s="72" t="s">
        <v>657</v>
      </c>
      <c r="B750" s="73" t="s">
        <v>759</v>
      </c>
      <c r="C750" s="73" t="s">
        <v>239</v>
      </c>
      <c r="D750" s="73" t="s">
        <v>14</v>
      </c>
      <c r="E750" s="73" t="s">
        <v>23</v>
      </c>
      <c r="F750" s="73" t="s">
        <v>1</v>
      </c>
      <c r="G750" s="74">
        <f>G751+G762</f>
        <v>214543513.44</v>
      </c>
      <c r="H750" s="74">
        <f>H751</f>
        <v>5845011.44</v>
      </c>
      <c r="I750" s="206"/>
    </row>
    <row r="751" spans="1:9" s="75" customFormat="1" ht="63" outlineLevel="4">
      <c r="A751" s="72" t="s">
        <v>642</v>
      </c>
      <c r="B751" s="73" t="s">
        <v>759</v>
      </c>
      <c r="C751" s="73" t="s">
        <v>239</v>
      </c>
      <c r="D751" s="73" t="s">
        <v>14</v>
      </c>
      <c r="E751" s="73" t="s">
        <v>256</v>
      </c>
      <c r="F751" s="73" t="s">
        <v>1</v>
      </c>
      <c r="G751" s="74">
        <f>G752+G759</f>
        <v>213276171.44</v>
      </c>
      <c r="H751" s="74">
        <f>H752</f>
        <v>5845011.44</v>
      </c>
      <c r="I751" s="206"/>
    </row>
    <row r="752" spans="1:8" ht="47.25" outlineLevel="5">
      <c r="A752" s="76" t="s">
        <v>1134</v>
      </c>
      <c r="B752" s="77" t="s">
        <v>759</v>
      </c>
      <c r="C752" s="77" t="s">
        <v>239</v>
      </c>
      <c r="D752" s="77" t="s">
        <v>14</v>
      </c>
      <c r="E752" s="77" t="s">
        <v>273</v>
      </c>
      <c r="F752" s="77" t="s">
        <v>1</v>
      </c>
      <c r="G752" s="78">
        <f>G753+G755+G757</f>
        <v>209853851.44</v>
      </c>
      <c r="H752" s="78">
        <f>H755</f>
        <v>5845011.44</v>
      </c>
    </row>
    <row r="753" spans="1:8" ht="78.75" outlineLevel="6">
      <c r="A753" s="76" t="s">
        <v>443</v>
      </c>
      <c r="B753" s="77" t="s">
        <v>759</v>
      </c>
      <c r="C753" s="77" t="s">
        <v>239</v>
      </c>
      <c r="D753" s="77" t="s">
        <v>14</v>
      </c>
      <c r="E753" s="77" t="s">
        <v>274</v>
      </c>
      <c r="F753" s="77" t="s">
        <v>1</v>
      </c>
      <c r="G753" s="78">
        <f>G754</f>
        <v>201050490</v>
      </c>
      <c r="H753" s="78"/>
    </row>
    <row r="754" spans="1:8" ht="47.25" outlineLevel="7">
      <c r="A754" s="76" t="s">
        <v>696</v>
      </c>
      <c r="B754" s="77" t="s">
        <v>759</v>
      </c>
      <c r="C754" s="77" t="s">
        <v>239</v>
      </c>
      <c r="D754" s="77" t="s">
        <v>14</v>
      </c>
      <c r="E754" s="77" t="s">
        <v>274</v>
      </c>
      <c r="F754" s="77" t="s">
        <v>70</v>
      </c>
      <c r="G754" s="78">
        <v>201050490</v>
      </c>
      <c r="H754" s="78"/>
    </row>
    <row r="755" spans="1:8" ht="78.75" outlineLevel="6">
      <c r="A755" s="76" t="s">
        <v>465</v>
      </c>
      <c r="B755" s="77" t="s">
        <v>759</v>
      </c>
      <c r="C755" s="77" t="s">
        <v>239</v>
      </c>
      <c r="D755" s="77" t="s">
        <v>14</v>
      </c>
      <c r="E755" s="77" t="s">
        <v>275</v>
      </c>
      <c r="F755" s="77" t="s">
        <v>1</v>
      </c>
      <c r="G755" s="78">
        <f>G756</f>
        <v>5845011.44</v>
      </c>
      <c r="H755" s="78">
        <f>H756</f>
        <v>5845011.44</v>
      </c>
    </row>
    <row r="756" spans="1:8" ht="47.25" outlineLevel="7">
      <c r="A756" s="76" t="s">
        <v>696</v>
      </c>
      <c r="B756" s="77" t="s">
        <v>759</v>
      </c>
      <c r="C756" s="77" t="s">
        <v>239</v>
      </c>
      <c r="D756" s="77" t="s">
        <v>14</v>
      </c>
      <c r="E756" s="77" t="s">
        <v>275</v>
      </c>
      <c r="F756" s="77" t="s">
        <v>70</v>
      </c>
      <c r="G756" s="78">
        <v>5845011.44</v>
      </c>
      <c r="H756" s="78">
        <f>G756</f>
        <v>5845011.44</v>
      </c>
    </row>
    <row r="757" spans="1:8" ht="78.75" outlineLevel="6">
      <c r="A757" s="76" t="s">
        <v>465</v>
      </c>
      <c r="B757" s="77" t="s">
        <v>759</v>
      </c>
      <c r="C757" s="77" t="s">
        <v>239</v>
      </c>
      <c r="D757" s="77" t="s">
        <v>14</v>
      </c>
      <c r="E757" s="77" t="s">
        <v>276</v>
      </c>
      <c r="F757" s="77" t="s">
        <v>1</v>
      </c>
      <c r="G757" s="78">
        <f>G758</f>
        <v>2958350</v>
      </c>
      <c r="H757" s="78"/>
    </row>
    <row r="758" spans="1:8" ht="47.25" outlineLevel="7">
      <c r="A758" s="76" t="s">
        <v>696</v>
      </c>
      <c r="B758" s="77" t="s">
        <v>759</v>
      </c>
      <c r="C758" s="77" t="s">
        <v>239</v>
      </c>
      <c r="D758" s="77" t="s">
        <v>14</v>
      </c>
      <c r="E758" s="77" t="s">
        <v>276</v>
      </c>
      <c r="F758" s="77" t="s">
        <v>70</v>
      </c>
      <c r="G758" s="78">
        <v>2958350</v>
      </c>
      <c r="H758" s="78"/>
    </row>
    <row r="759" spans="1:8" ht="31.5" outlineLevel="5">
      <c r="A759" s="76" t="s">
        <v>1128</v>
      </c>
      <c r="B759" s="77" t="s">
        <v>759</v>
      </c>
      <c r="C759" s="77" t="s">
        <v>239</v>
      </c>
      <c r="D759" s="77" t="s">
        <v>14</v>
      </c>
      <c r="E759" s="77" t="s">
        <v>277</v>
      </c>
      <c r="F759" s="77" t="s">
        <v>1</v>
      </c>
      <c r="G759" s="78">
        <f>G760</f>
        <v>3422320</v>
      </c>
      <c r="H759" s="78"/>
    </row>
    <row r="760" spans="1:8" ht="78.75" outlineLevel="6">
      <c r="A760" s="76" t="s">
        <v>432</v>
      </c>
      <c r="B760" s="77" t="s">
        <v>759</v>
      </c>
      <c r="C760" s="77" t="s">
        <v>239</v>
      </c>
      <c r="D760" s="77" t="s">
        <v>14</v>
      </c>
      <c r="E760" s="77" t="s">
        <v>278</v>
      </c>
      <c r="F760" s="77" t="s">
        <v>1</v>
      </c>
      <c r="G760" s="78">
        <f>G761</f>
        <v>3422320</v>
      </c>
      <c r="H760" s="78"/>
    </row>
    <row r="761" spans="1:8" ht="47.25" outlineLevel="7">
      <c r="A761" s="76" t="s">
        <v>696</v>
      </c>
      <c r="B761" s="77" t="s">
        <v>759</v>
      </c>
      <c r="C761" s="77" t="s">
        <v>239</v>
      </c>
      <c r="D761" s="77" t="s">
        <v>14</v>
      </c>
      <c r="E761" s="77" t="s">
        <v>278</v>
      </c>
      <c r="F761" s="77" t="s">
        <v>70</v>
      </c>
      <c r="G761" s="78">
        <v>3422320</v>
      </c>
      <c r="H761" s="78"/>
    </row>
    <row r="762" spans="1:9" s="75" customFormat="1" ht="47.25" outlineLevel="4">
      <c r="A762" s="72" t="s">
        <v>641</v>
      </c>
      <c r="B762" s="73" t="s">
        <v>759</v>
      </c>
      <c r="C762" s="73" t="s">
        <v>239</v>
      </c>
      <c r="D762" s="73" t="s">
        <v>14</v>
      </c>
      <c r="E762" s="73" t="s">
        <v>249</v>
      </c>
      <c r="F762" s="73" t="s">
        <v>1</v>
      </c>
      <c r="G762" s="74">
        <f>G763+G769+G766</f>
        <v>1267342</v>
      </c>
      <c r="H762" s="74"/>
      <c r="I762" s="206"/>
    </row>
    <row r="763" spans="1:8" ht="31.5" outlineLevel="5">
      <c r="A763" s="76" t="s">
        <v>1135</v>
      </c>
      <c r="B763" s="77" t="s">
        <v>759</v>
      </c>
      <c r="C763" s="77" t="s">
        <v>239</v>
      </c>
      <c r="D763" s="77" t="s">
        <v>14</v>
      </c>
      <c r="E763" s="77" t="s">
        <v>252</v>
      </c>
      <c r="F763" s="77" t="s">
        <v>1</v>
      </c>
      <c r="G763" s="78">
        <f>G764</f>
        <v>464000</v>
      </c>
      <c r="H763" s="78"/>
    </row>
    <row r="764" spans="1:8" ht="31.5" outlineLevel="6">
      <c r="A764" s="76" t="s">
        <v>441</v>
      </c>
      <c r="B764" s="77" t="s">
        <v>759</v>
      </c>
      <c r="C764" s="77" t="s">
        <v>239</v>
      </c>
      <c r="D764" s="77" t="s">
        <v>14</v>
      </c>
      <c r="E764" s="77" t="s">
        <v>253</v>
      </c>
      <c r="F764" s="77" t="s">
        <v>1</v>
      </c>
      <c r="G764" s="78">
        <f>G765</f>
        <v>464000</v>
      </c>
      <c r="H764" s="78"/>
    </row>
    <row r="765" spans="1:8" ht="47.25" outlineLevel="7">
      <c r="A765" s="76" t="s">
        <v>696</v>
      </c>
      <c r="B765" s="77" t="s">
        <v>759</v>
      </c>
      <c r="C765" s="77" t="s">
        <v>239</v>
      </c>
      <c r="D765" s="77" t="s">
        <v>14</v>
      </c>
      <c r="E765" s="77" t="s">
        <v>253</v>
      </c>
      <c r="F765" s="77" t="s">
        <v>70</v>
      </c>
      <c r="G765" s="78">
        <v>464000</v>
      </c>
      <c r="H765" s="78"/>
    </row>
    <row r="766" spans="1:8" ht="47.25" outlineLevel="7">
      <c r="A766" s="76" t="s">
        <v>587</v>
      </c>
      <c r="B766" s="77" t="s">
        <v>759</v>
      </c>
      <c r="C766" s="77" t="s">
        <v>239</v>
      </c>
      <c r="D766" s="77" t="s">
        <v>14</v>
      </c>
      <c r="E766" s="77" t="s">
        <v>415</v>
      </c>
      <c r="F766" s="77" t="s">
        <v>1</v>
      </c>
      <c r="G766" s="78">
        <f>G767</f>
        <v>207125</v>
      </c>
      <c r="H766" s="78"/>
    </row>
    <row r="767" spans="1:8" ht="31.5" outlineLevel="7">
      <c r="A767" s="76" t="s">
        <v>456</v>
      </c>
      <c r="B767" s="77" t="s">
        <v>759</v>
      </c>
      <c r="C767" s="77" t="s">
        <v>239</v>
      </c>
      <c r="D767" s="77" t="s">
        <v>14</v>
      </c>
      <c r="E767" s="77" t="s">
        <v>1237</v>
      </c>
      <c r="F767" s="77" t="s">
        <v>1</v>
      </c>
      <c r="G767" s="78">
        <f>G768</f>
        <v>207125</v>
      </c>
      <c r="H767" s="78"/>
    </row>
    <row r="768" spans="1:8" ht="47.25" outlineLevel="7">
      <c r="A768" s="76" t="s">
        <v>696</v>
      </c>
      <c r="B768" s="77" t="s">
        <v>759</v>
      </c>
      <c r="C768" s="77" t="s">
        <v>239</v>
      </c>
      <c r="D768" s="77" t="s">
        <v>14</v>
      </c>
      <c r="E768" s="77" t="s">
        <v>1237</v>
      </c>
      <c r="F768" s="77" t="s">
        <v>70</v>
      </c>
      <c r="G768" s="78">
        <v>207125</v>
      </c>
      <c r="H768" s="78"/>
    </row>
    <row r="769" spans="1:8" ht="47.25" outlineLevel="5">
      <c r="A769" s="76" t="s">
        <v>1129</v>
      </c>
      <c r="B769" s="77" t="s">
        <v>759</v>
      </c>
      <c r="C769" s="77" t="s">
        <v>239</v>
      </c>
      <c r="D769" s="77" t="s">
        <v>14</v>
      </c>
      <c r="E769" s="77" t="s">
        <v>254</v>
      </c>
      <c r="F769" s="77" t="s">
        <v>1</v>
      </c>
      <c r="G769" s="78">
        <f>G770</f>
        <v>596217</v>
      </c>
      <c r="H769" s="78"/>
    </row>
    <row r="770" spans="1:8" ht="31.5" outlineLevel="6">
      <c r="A770" s="76" t="s">
        <v>441</v>
      </c>
      <c r="B770" s="77" t="s">
        <v>759</v>
      </c>
      <c r="C770" s="77" t="s">
        <v>239</v>
      </c>
      <c r="D770" s="77" t="s">
        <v>14</v>
      </c>
      <c r="E770" s="77" t="s">
        <v>255</v>
      </c>
      <c r="F770" s="77" t="s">
        <v>1</v>
      </c>
      <c r="G770" s="78">
        <f>G771</f>
        <v>596217</v>
      </c>
      <c r="H770" s="78"/>
    </row>
    <row r="771" spans="1:8" ht="47.25" outlineLevel="7">
      <c r="A771" s="76" t="s">
        <v>696</v>
      </c>
      <c r="B771" s="77" t="s">
        <v>759</v>
      </c>
      <c r="C771" s="77" t="s">
        <v>239</v>
      </c>
      <c r="D771" s="77" t="s">
        <v>14</v>
      </c>
      <c r="E771" s="77" t="s">
        <v>255</v>
      </c>
      <c r="F771" s="77" t="s">
        <v>70</v>
      </c>
      <c r="G771" s="78">
        <f>469737+126480</f>
        <v>596217</v>
      </c>
      <c r="H771" s="78"/>
    </row>
    <row r="772" spans="1:9" s="75" customFormat="1" ht="47.25" outlineLevel="3">
      <c r="A772" s="72" t="s">
        <v>659</v>
      </c>
      <c r="B772" s="73" t="s">
        <v>759</v>
      </c>
      <c r="C772" s="73" t="s">
        <v>239</v>
      </c>
      <c r="D772" s="73" t="s">
        <v>14</v>
      </c>
      <c r="E772" s="73" t="s">
        <v>90</v>
      </c>
      <c r="F772" s="73" t="s">
        <v>1</v>
      </c>
      <c r="G772" s="74">
        <f>G773</f>
        <v>1321450</v>
      </c>
      <c r="H772" s="74"/>
      <c r="I772" s="206"/>
    </row>
    <row r="773" spans="1:9" s="75" customFormat="1" ht="47.25" outlineLevel="4">
      <c r="A773" s="72" t="s">
        <v>624</v>
      </c>
      <c r="B773" s="73" t="s">
        <v>759</v>
      </c>
      <c r="C773" s="73" t="s">
        <v>239</v>
      </c>
      <c r="D773" s="73" t="s">
        <v>14</v>
      </c>
      <c r="E773" s="73" t="s">
        <v>91</v>
      </c>
      <c r="F773" s="73" t="s">
        <v>1</v>
      </c>
      <c r="G773" s="74">
        <f>G774</f>
        <v>1321450</v>
      </c>
      <c r="H773" s="74"/>
      <c r="I773" s="206"/>
    </row>
    <row r="774" spans="1:8" ht="31.5" outlineLevel="5">
      <c r="A774" s="76" t="s">
        <v>1074</v>
      </c>
      <c r="B774" s="77" t="s">
        <v>759</v>
      </c>
      <c r="C774" s="77" t="s">
        <v>239</v>
      </c>
      <c r="D774" s="77" t="s">
        <v>14</v>
      </c>
      <c r="E774" s="77" t="s">
        <v>100</v>
      </c>
      <c r="F774" s="77" t="s">
        <v>1</v>
      </c>
      <c r="G774" s="78">
        <f>G775</f>
        <v>1321450</v>
      </c>
      <c r="H774" s="78"/>
    </row>
    <row r="775" spans="1:8" ht="31.5" outlineLevel="6">
      <c r="A775" s="76" t="s">
        <v>441</v>
      </c>
      <c r="B775" s="77" t="s">
        <v>759</v>
      </c>
      <c r="C775" s="77" t="s">
        <v>239</v>
      </c>
      <c r="D775" s="77" t="s">
        <v>14</v>
      </c>
      <c r="E775" s="77" t="s">
        <v>101</v>
      </c>
      <c r="F775" s="77" t="s">
        <v>1</v>
      </c>
      <c r="G775" s="78">
        <f>G776</f>
        <v>1321450</v>
      </c>
      <c r="H775" s="78"/>
    </row>
    <row r="776" spans="1:8" ht="47.25" outlineLevel="7">
      <c r="A776" s="76" t="s">
        <v>696</v>
      </c>
      <c r="B776" s="77" t="s">
        <v>759</v>
      </c>
      <c r="C776" s="77" t="s">
        <v>239</v>
      </c>
      <c r="D776" s="77" t="s">
        <v>14</v>
      </c>
      <c r="E776" s="77" t="s">
        <v>101</v>
      </c>
      <c r="F776" s="77" t="s">
        <v>70</v>
      </c>
      <c r="G776" s="78">
        <v>1321450</v>
      </c>
      <c r="H776" s="78"/>
    </row>
    <row r="777" spans="1:9" s="75" customFormat="1" ht="15.75" outlineLevel="2">
      <c r="A777" s="72" t="s">
        <v>683</v>
      </c>
      <c r="B777" s="73" t="s">
        <v>759</v>
      </c>
      <c r="C777" s="73" t="s">
        <v>239</v>
      </c>
      <c r="D777" s="73" t="s">
        <v>239</v>
      </c>
      <c r="E777" s="73" t="s">
        <v>4</v>
      </c>
      <c r="F777" s="73" t="s">
        <v>1</v>
      </c>
      <c r="G777" s="74">
        <f>G778</f>
        <v>12712790</v>
      </c>
      <c r="H777" s="74">
        <f>H778</f>
        <v>3866700</v>
      </c>
      <c r="I777" s="206"/>
    </row>
    <row r="778" spans="1:9" s="75" customFormat="1" ht="47.25" outlineLevel="3">
      <c r="A778" s="72" t="s">
        <v>657</v>
      </c>
      <c r="B778" s="73" t="s">
        <v>759</v>
      </c>
      <c r="C778" s="73" t="s">
        <v>239</v>
      </c>
      <c r="D778" s="73" t="s">
        <v>239</v>
      </c>
      <c r="E778" s="73" t="s">
        <v>23</v>
      </c>
      <c r="F778" s="73" t="s">
        <v>1</v>
      </c>
      <c r="G778" s="74">
        <f>G779</f>
        <v>12712790</v>
      </c>
      <c r="H778" s="74">
        <f>H779</f>
        <v>3866700</v>
      </c>
      <c r="I778" s="206"/>
    </row>
    <row r="779" spans="1:9" s="75" customFormat="1" ht="47.25" outlineLevel="4">
      <c r="A779" s="72" t="s">
        <v>644</v>
      </c>
      <c r="B779" s="73" t="s">
        <v>759</v>
      </c>
      <c r="C779" s="73" t="s">
        <v>239</v>
      </c>
      <c r="D779" s="73" t="s">
        <v>239</v>
      </c>
      <c r="E779" s="73" t="s">
        <v>291</v>
      </c>
      <c r="F779" s="73" t="s">
        <v>1</v>
      </c>
      <c r="G779" s="74">
        <f>G780+G787</f>
        <v>12712790</v>
      </c>
      <c r="H779" s="74">
        <f>H780+H787</f>
        <v>3866700</v>
      </c>
      <c r="I779" s="206"/>
    </row>
    <row r="780" spans="1:8" ht="31.5" outlineLevel="5">
      <c r="A780" s="76" t="s">
        <v>1136</v>
      </c>
      <c r="B780" s="77" t="s">
        <v>759</v>
      </c>
      <c r="C780" s="77" t="s">
        <v>239</v>
      </c>
      <c r="D780" s="77" t="s">
        <v>239</v>
      </c>
      <c r="E780" s="77" t="s">
        <v>292</v>
      </c>
      <c r="F780" s="77" t="s">
        <v>1</v>
      </c>
      <c r="G780" s="78">
        <f>G781+G785+G783</f>
        <v>7574557.2</v>
      </c>
      <c r="H780" s="78">
        <f>H781+H785+H783</f>
        <v>752400</v>
      </c>
    </row>
    <row r="781" spans="1:8" ht="31.5" outlineLevel="6">
      <c r="A781" s="76" t="s">
        <v>441</v>
      </c>
      <c r="B781" s="77" t="s">
        <v>759</v>
      </c>
      <c r="C781" s="77" t="s">
        <v>239</v>
      </c>
      <c r="D781" s="77" t="s">
        <v>239</v>
      </c>
      <c r="E781" s="77" t="s">
        <v>293</v>
      </c>
      <c r="F781" s="77" t="s">
        <v>1</v>
      </c>
      <c r="G781" s="78">
        <f>G782</f>
        <v>6782557.2</v>
      </c>
      <c r="H781" s="78"/>
    </row>
    <row r="782" spans="1:8" ht="47.25" outlineLevel="7">
      <c r="A782" s="76" t="s">
        <v>696</v>
      </c>
      <c r="B782" s="77" t="s">
        <v>759</v>
      </c>
      <c r="C782" s="77" t="s">
        <v>239</v>
      </c>
      <c r="D782" s="77" t="s">
        <v>239</v>
      </c>
      <c r="E782" s="77" t="s">
        <v>293</v>
      </c>
      <c r="F782" s="77" t="s">
        <v>70</v>
      </c>
      <c r="G782" s="78">
        <f>6822157.2-39600</f>
        <v>6782557.2</v>
      </c>
      <c r="H782" s="78"/>
    </row>
    <row r="783" spans="1:8" ht="47.25" outlineLevel="7">
      <c r="A783" s="148" t="s">
        <v>1210</v>
      </c>
      <c r="B783" s="149" t="s">
        <v>759</v>
      </c>
      <c r="C783" s="149" t="s">
        <v>239</v>
      </c>
      <c r="D783" s="149" t="s">
        <v>239</v>
      </c>
      <c r="E783" s="149" t="s">
        <v>1224</v>
      </c>
      <c r="F783" s="149" t="s">
        <v>1</v>
      </c>
      <c r="G783" s="150">
        <f>G784</f>
        <v>752400</v>
      </c>
      <c r="H783" s="150">
        <f>G783</f>
        <v>752400</v>
      </c>
    </row>
    <row r="784" spans="1:8" ht="47.25" outlineLevel="7">
      <c r="A784" s="148" t="s">
        <v>696</v>
      </c>
      <c r="B784" s="149" t="s">
        <v>759</v>
      </c>
      <c r="C784" s="149" t="s">
        <v>239</v>
      </c>
      <c r="D784" s="149" t="s">
        <v>239</v>
      </c>
      <c r="E784" s="149" t="s">
        <v>1224</v>
      </c>
      <c r="F784" s="149" t="s">
        <v>70</v>
      </c>
      <c r="G784" s="150">
        <v>752400</v>
      </c>
      <c r="H784" s="150">
        <f>G784</f>
        <v>752400</v>
      </c>
    </row>
    <row r="785" spans="1:8" ht="54.75" customHeight="1" outlineLevel="7">
      <c r="A785" s="148" t="s">
        <v>1210</v>
      </c>
      <c r="B785" s="149" t="s">
        <v>759</v>
      </c>
      <c r="C785" s="149" t="s">
        <v>239</v>
      </c>
      <c r="D785" s="149" t="s">
        <v>239</v>
      </c>
      <c r="E785" s="149" t="s">
        <v>1223</v>
      </c>
      <c r="F785" s="149" t="s">
        <v>1</v>
      </c>
      <c r="G785" s="150">
        <f>G786</f>
        <v>39600</v>
      </c>
      <c r="H785" s="150"/>
    </row>
    <row r="786" spans="1:8" ht="47.25" outlineLevel="7">
      <c r="A786" s="148" t="s">
        <v>696</v>
      </c>
      <c r="B786" s="149" t="s">
        <v>759</v>
      </c>
      <c r="C786" s="149" t="s">
        <v>239</v>
      </c>
      <c r="D786" s="149" t="s">
        <v>239</v>
      </c>
      <c r="E786" s="149" t="s">
        <v>1223</v>
      </c>
      <c r="F786" s="149" t="s">
        <v>70</v>
      </c>
      <c r="G786" s="150">
        <v>39600</v>
      </c>
      <c r="H786" s="150"/>
    </row>
    <row r="787" spans="1:8" ht="47.25" outlineLevel="7">
      <c r="A787" s="148" t="s">
        <v>575</v>
      </c>
      <c r="B787" s="149" t="s">
        <v>759</v>
      </c>
      <c r="C787" s="149" t="s">
        <v>239</v>
      </c>
      <c r="D787" s="149" t="s">
        <v>239</v>
      </c>
      <c r="E787" s="149" t="s">
        <v>294</v>
      </c>
      <c r="F787" s="149" t="s">
        <v>1</v>
      </c>
      <c r="G787" s="150">
        <f>G788+G790</f>
        <v>5138232.8</v>
      </c>
      <c r="H787" s="150">
        <f>H788+H790</f>
        <v>3114300</v>
      </c>
    </row>
    <row r="788" spans="1:8" ht="47.25" outlineLevel="6">
      <c r="A788" s="76" t="s">
        <v>1192</v>
      </c>
      <c r="B788" s="77" t="s">
        <v>759</v>
      </c>
      <c r="C788" s="77" t="s">
        <v>239</v>
      </c>
      <c r="D788" s="77" t="s">
        <v>239</v>
      </c>
      <c r="E788" s="77" t="s">
        <v>295</v>
      </c>
      <c r="F788" s="77" t="s">
        <v>1</v>
      </c>
      <c r="G788" s="78">
        <f>G789</f>
        <v>3114300</v>
      </c>
      <c r="H788" s="78">
        <f>H789</f>
        <v>3114300</v>
      </c>
    </row>
    <row r="789" spans="1:8" ht="47.25" outlineLevel="7">
      <c r="A789" s="76" t="s">
        <v>696</v>
      </c>
      <c r="B789" s="77" t="s">
        <v>759</v>
      </c>
      <c r="C789" s="77" t="s">
        <v>239</v>
      </c>
      <c r="D789" s="77" t="s">
        <v>239</v>
      </c>
      <c r="E789" s="77" t="s">
        <v>295</v>
      </c>
      <c r="F789" s="77" t="s">
        <v>70</v>
      </c>
      <c r="G789" s="78">
        <f>3866700-752400</f>
        <v>3114300</v>
      </c>
      <c r="H789" s="78">
        <f>G789</f>
        <v>3114300</v>
      </c>
    </row>
    <row r="790" spans="1:8" ht="47.25" outlineLevel="6">
      <c r="A790" s="76" t="s">
        <v>1192</v>
      </c>
      <c r="B790" s="77" t="s">
        <v>759</v>
      </c>
      <c r="C790" s="77" t="s">
        <v>239</v>
      </c>
      <c r="D790" s="77" t="s">
        <v>239</v>
      </c>
      <c r="E790" s="77" t="s">
        <v>296</v>
      </c>
      <c r="F790" s="77" t="s">
        <v>1</v>
      </c>
      <c r="G790" s="78">
        <f>G791</f>
        <v>2023932.8</v>
      </c>
      <c r="H790" s="78"/>
    </row>
    <row r="791" spans="1:8" ht="47.25" outlineLevel="7">
      <c r="A791" s="76" t="s">
        <v>696</v>
      </c>
      <c r="B791" s="77" t="s">
        <v>759</v>
      </c>
      <c r="C791" s="77" t="s">
        <v>239</v>
      </c>
      <c r="D791" s="77" t="s">
        <v>239</v>
      </c>
      <c r="E791" s="77" t="s">
        <v>296</v>
      </c>
      <c r="F791" s="77" t="s">
        <v>70</v>
      </c>
      <c r="G791" s="78">
        <v>2023932.8</v>
      </c>
      <c r="H791" s="78"/>
    </row>
    <row r="792" spans="1:9" s="75" customFormat="1" ht="15.75" outlineLevel="2">
      <c r="A792" s="72" t="s">
        <v>684</v>
      </c>
      <c r="B792" s="73" t="s">
        <v>759</v>
      </c>
      <c r="C792" s="73" t="s">
        <v>239</v>
      </c>
      <c r="D792" s="73" t="s">
        <v>146</v>
      </c>
      <c r="E792" s="73" t="s">
        <v>4</v>
      </c>
      <c r="F792" s="73" t="s">
        <v>1</v>
      </c>
      <c r="G792" s="74">
        <f>G793+G820</f>
        <v>71175744</v>
      </c>
      <c r="H792" s="74">
        <f>H793</f>
        <v>15095800</v>
      </c>
      <c r="I792" s="206"/>
    </row>
    <row r="793" spans="1:9" s="75" customFormat="1" ht="47.25" outlineLevel="3">
      <c r="A793" s="72" t="s">
        <v>657</v>
      </c>
      <c r="B793" s="73" t="s">
        <v>759</v>
      </c>
      <c r="C793" s="73" t="s">
        <v>239</v>
      </c>
      <c r="D793" s="73" t="s">
        <v>146</v>
      </c>
      <c r="E793" s="73" t="s">
        <v>23</v>
      </c>
      <c r="F793" s="73" t="s">
        <v>1</v>
      </c>
      <c r="G793" s="74">
        <f>G794+G801+G808</f>
        <v>70511044</v>
      </c>
      <c r="H793" s="74">
        <f>H808</f>
        <v>15095800</v>
      </c>
      <c r="I793" s="206"/>
    </row>
    <row r="794" spans="1:9" s="75" customFormat="1" ht="63" outlineLevel="4">
      <c r="A794" s="72" t="s">
        <v>647</v>
      </c>
      <c r="B794" s="73" t="s">
        <v>759</v>
      </c>
      <c r="C794" s="73" t="s">
        <v>239</v>
      </c>
      <c r="D794" s="73" t="s">
        <v>146</v>
      </c>
      <c r="E794" s="73" t="s">
        <v>314</v>
      </c>
      <c r="F794" s="73" t="s">
        <v>1</v>
      </c>
      <c r="G794" s="74">
        <f>G795+G798</f>
        <v>21261253.48</v>
      </c>
      <c r="H794" s="74"/>
      <c r="I794" s="206"/>
    </row>
    <row r="795" spans="1:8" ht="47.25" outlineLevel="5">
      <c r="A795" s="76" t="s">
        <v>1137</v>
      </c>
      <c r="B795" s="77" t="s">
        <v>759</v>
      </c>
      <c r="C795" s="77" t="s">
        <v>239</v>
      </c>
      <c r="D795" s="77" t="s">
        <v>146</v>
      </c>
      <c r="E795" s="77" t="s">
        <v>315</v>
      </c>
      <c r="F795" s="77" t="s">
        <v>1</v>
      </c>
      <c r="G795" s="78">
        <f>G796</f>
        <v>20966181</v>
      </c>
      <c r="H795" s="78"/>
    </row>
    <row r="796" spans="1:8" ht="78.75" outlineLevel="6">
      <c r="A796" s="76" t="s">
        <v>443</v>
      </c>
      <c r="B796" s="77" t="s">
        <v>759</v>
      </c>
      <c r="C796" s="77" t="s">
        <v>239</v>
      </c>
      <c r="D796" s="77" t="s">
        <v>146</v>
      </c>
      <c r="E796" s="77" t="s">
        <v>316</v>
      </c>
      <c r="F796" s="77" t="s">
        <v>1</v>
      </c>
      <c r="G796" s="78">
        <f>G797</f>
        <v>20966181</v>
      </c>
      <c r="H796" s="78"/>
    </row>
    <row r="797" spans="1:8" ht="47.25" outlineLevel="7">
      <c r="A797" s="76" t="s">
        <v>696</v>
      </c>
      <c r="B797" s="77" t="s">
        <v>759</v>
      </c>
      <c r="C797" s="77" t="s">
        <v>239</v>
      </c>
      <c r="D797" s="77" t="s">
        <v>146</v>
      </c>
      <c r="E797" s="77" t="s">
        <v>316</v>
      </c>
      <c r="F797" s="77" t="s">
        <v>70</v>
      </c>
      <c r="G797" s="78">
        <v>20966181</v>
      </c>
      <c r="H797" s="78"/>
    </row>
    <row r="798" spans="1:8" ht="31.5" outlineLevel="5">
      <c r="A798" s="76" t="s">
        <v>1128</v>
      </c>
      <c r="B798" s="77" t="s">
        <v>759</v>
      </c>
      <c r="C798" s="77" t="s">
        <v>239</v>
      </c>
      <c r="D798" s="77" t="s">
        <v>146</v>
      </c>
      <c r="E798" s="77" t="s">
        <v>317</v>
      </c>
      <c r="F798" s="77" t="s">
        <v>1</v>
      </c>
      <c r="G798" s="78">
        <f>G799</f>
        <v>295072.48</v>
      </c>
      <c r="H798" s="78"/>
    </row>
    <row r="799" spans="1:8" ht="78.75" outlineLevel="6">
      <c r="A799" s="76" t="s">
        <v>432</v>
      </c>
      <c r="B799" s="77" t="s">
        <v>759</v>
      </c>
      <c r="C799" s="77" t="s">
        <v>239</v>
      </c>
      <c r="D799" s="77" t="s">
        <v>146</v>
      </c>
      <c r="E799" s="77" t="s">
        <v>318</v>
      </c>
      <c r="F799" s="77" t="s">
        <v>1</v>
      </c>
      <c r="G799" s="78">
        <f>G800</f>
        <v>295072.48</v>
      </c>
      <c r="H799" s="78"/>
    </row>
    <row r="800" spans="1:8" ht="47.25" outlineLevel="7">
      <c r="A800" s="76" t="s">
        <v>696</v>
      </c>
      <c r="B800" s="77" t="s">
        <v>759</v>
      </c>
      <c r="C800" s="77" t="s">
        <v>239</v>
      </c>
      <c r="D800" s="77" t="s">
        <v>146</v>
      </c>
      <c r="E800" s="77" t="s">
        <v>318</v>
      </c>
      <c r="F800" s="77" t="s">
        <v>70</v>
      </c>
      <c r="G800" s="78">
        <v>295072.48</v>
      </c>
      <c r="H800" s="78"/>
    </row>
    <row r="801" spans="1:9" s="75" customFormat="1" ht="63" outlineLevel="4">
      <c r="A801" s="72" t="s">
        <v>648</v>
      </c>
      <c r="B801" s="73" t="s">
        <v>759</v>
      </c>
      <c r="C801" s="73" t="s">
        <v>239</v>
      </c>
      <c r="D801" s="73" t="s">
        <v>146</v>
      </c>
      <c r="E801" s="73" t="s">
        <v>319</v>
      </c>
      <c r="F801" s="73" t="s">
        <v>1</v>
      </c>
      <c r="G801" s="74">
        <f>G802+G805</f>
        <v>28074972.76</v>
      </c>
      <c r="H801" s="74"/>
      <c r="I801" s="206"/>
    </row>
    <row r="802" spans="1:8" ht="47.25" outlineLevel="5">
      <c r="A802" s="76" t="s">
        <v>1138</v>
      </c>
      <c r="B802" s="77" t="s">
        <v>759</v>
      </c>
      <c r="C802" s="77" t="s">
        <v>239</v>
      </c>
      <c r="D802" s="77" t="s">
        <v>146</v>
      </c>
      <c r="E802" s="77" t="s">
        <v>320</v>
      </c>
      <c r="F802" s="77" t="s">
        <v>1</v>
      </c>
      <c r="G802" s="78">
        <f>G803</f>
        <v>27779900</v>
      </c>
      <c r="H802" s="78"/>
    </row>
    <row r="803" spans="1:8" ht="78.75" outlineLevel="6">
      <c r="A803" s="76" t="s">
        <v>443</v>
      </c>
      <c r="B803" s="77" t="s">
        <v>759</v>
      </c>
      <c r="C803" s="77" t="s">
        <v>239</v>
      </c>
      <c r="D803" s="77" t="s">
        <v>146</v>
      </c>
      <c r="E803" s="77" t="s">
        <v>321</v>
      </c>
      <c r="F803" s="77" t="s">
        <v>1</v>
      </c>
      <c r="G803" s="78">
        <f>G804</f>
        <v>27779900</v>
      </c>
      <c r="H803" s="78"/>
    </row>
    <row r="804" spans="1:8" ht="47.25" outlineLevel="7">
      <c r="A804" s="76" t="s">
        <v>696</v>
      </c>
      <c r="B804" s="77" t="s">
        <v>759</v>
      </c>
      <c r="C804" s="77" t="s">
        <v>239</v>
      </c>
      <c r="D804" s="77" t="s">
        <v>146</v>
      </c>
      <c r="E804" s="77" t="s">
        <v>321</v>
      </c>
      <c r="F804" s="77" t="s">
        <v>70</v>
      </c>
      <c r="G804" s="78">
        <v>27779900</v>
      </c>
      <c r="H804" s="78"/>
    </row>
    <row r="805" spans="1:8" ht="31.5" outlineLevel="5">
      <c r="A805" s="76" t="s">
        <v>1128</v>
      </c>
      <c r="B805" s="77" t="s">
        <v>759</v>
      </c>
      <c r="C805" s="77" t="s">
        <v>239</v>
      </c>
      <c r="D805" s="77" t="s">
        <v>146</v>
      </c>
      <c r="E805" s="77" t="s">
        <v>322</v>
      </c>
      <c r="F805" s="77" t="s">
        <v>1</v>
      </c>
      <c r="G805" s="78">
        <f>G806</f>
        <v>295072.76</v>
      </c>
      <c r="H805" s="78"/>
    </row>
    <row r="806" spans="1:8" ht="78.75" outlineLevel="6">
      <c r="A806" s="76" t="s">
        <v>432</v>
      </c>
      <c r="B806" s="77" t="s">
        <v>759</v>
      </c>
      <c r="C806" s="77" t="s">
        <v>239</v>
      </c>
      <c r="D806" s="77" t="s">
        <v>146</v>
      </c>
      <c r="E806" s="77" t="s">
        <v>323</v>
      </c>
      <c r="F806" s="77" t="s">
        <v>1</v>
      </c>
      <c r="G806" s="78">
        <f>G807</f>
        <v>295072.76</v>
      </c>
      <c r="H806" s="78"/>
    </row>
    <row r="807" spans="1:8" ht="47.25" outlineLevel="7">
      <c r="A807" s="76" t="s">
        <v>696</v>
      </c>
      <c r="B807" s="77" t="s">
        <v>759</v>
      </c>
      <c r="C807" s="77" t="s">
        <v>239</v>
      </c>
      <c r="D807" s="77" t="s">
        <v>146</v>
      </c>
      <c r="E807" s="77" t="s">
        <v>323</v>
      </c>
      <c r="F807" s="77" t="s">
        <v>70</v>
      </c>
      <c r="G807" s="78">
        <v>295072.76</v>
      </c>
      <c r="H807" s="78"/>
    </row>
    <row r="808" spans="1:9" s="75" customFormat="1" ht="31.5" outlineLevel="4">
      <c r="A808" s="72" t="s">
        <v>649</v>
      </c>
      <c r="B808" s="73" t="s">
        <v>759</v>
      </c>
      <c r="C808" s="73" t="s">
        <v>239</v>
      </c>
      <c r="D808" s="73" t="s">
        <v>146</v>
      </c>
      <c r="E808" s="73" t="s">
        <v>324</v>
      </c>
      <c r="F808" s="73" t="s">
        <v>1</v>
      </c>
      <c r="G808" s="74">
        <f>G809+G814+G817</f>
        <v>21174817.76</v>
      </c>
      <c r="H808" s="74">
        <f>H809+H814</f>
        <v>15095800</v>
      </c>
      <c r="I808" s="206"/>
    </row>
    <row r="809" spans="1:8" ht="31.5" outlineLevel="5">
      <c r="A809" s="76" t="s">
        <v>1139</v>
      </c>
      <c r="B809" s="77" t="s">
        <v>759</v>
      </c>
      <c r="C809" s="77" t="s">
        <v>239</v>
      </c>
      <c r="D809" s="77" t="s">
        <v>146</v>
      </c>
      <c r="E809" s="77" t="s">
        <v>325</v>
      </c>
      <c r="F809" s="77" t="s">
        <v>1</v>
      </c>
      <c r="G809" s="78">
        <f>G810+G812</f>
        <v>7385545</v>
      </c>
      <c r="H809" s="78">
        <f>H810</f>
        <v>1601600</v>
      </c>
    </row>
    <row r="810" spans="1:8" ht="94.5" outlineLevel="6">
      <c r="A810" s="76" t="s">
        <v>470</v>
      </c>
      <c r="B810" s="77" t="s">
        <v>759</v>
      </c>
      <c r="C810" s="77" t="s">
        <v>239</v>
      </c>
      <c r="D810" s="77" t="s">
        <v>146</v>
      </c>
      <c r="E810" s="77" t="s">
        <v>326</v>
      </c>
      <c r="F810" s="77" t="s">
        <v>1</v>
      </c>
      <c r="G810" s="78">
        <f>G811</f>
        <v>1601600</v>
      </c>
      <c r="H810" s="78">
        <f>H811</f>
        <v>1601600</v>
      </c>
    </row>
    <row r="811" spans="1:8" ht="47.25" outlineLevel="7">
      <c r="A811" s="76" t="s">
        <v>696</v>
      </c>
      <c r="B811" s="77" t="s">
        <v>759</v>
      </c>
      <c r="C811" s="77" t="s">
        <v>239</v>
      </c>
      <c r="D811" s="77" t="s">
        <v>146</v>
      </c>
      <c r="E811" s="77" t="s">
        <v>326</v>
      </c>
      <c r="F811" s="77" t="s">
        <v>70</v>
      </c>
      <c r="G811" s="78">
        <v>1601600</v>
      </c>
      <c r="H811" s="78">
        <f>G811</f>
        <v>1601600</v>
      </c>
    </row>
    <row r="812" spans="1:8" ht="94.5" outlineLevel="6">
      <c r="A812" s="76" t="s">
        <v>470</v>
      </c>
      <c r="B812" s="77" t="s">
        <v>759</v>
      </c>
      <c r="C812" s="77" t="s">
        <v>239</v>
      </c>
      <c r="D812" s="77" t="s">
        <v>146</v>
      </c>
      <c r="E812" s="77" t="s">
        <v>327</v>
      </c>
      <c r="F812" s="77" t="s">
        <v>1</v>
      </c>
      <c r="G812" s="78">
        <f>G813</f>
        <v>5783945</v>
      </c>
      <c r="H812" s="78"/>
    </row>
    <row r="813" spans="1:8" ht="47.25" outlineLevel="7">
      <c r="A813" s="76" t="s">
        <v>696</v>
      </c>
      <c r="B813" s="77" t="s">
        <v>759</v>
      </c>
      <c r="C813" s="77" t="s">
        <v>239</v>
      </c>
      <c r="D813" s="77" t="s">
        <v>146</v>
      </c>
      <c r="E813" s="77" t="s">
        <v>327</v>
      </c>
      <c r="F813" s="77" t="s">
        <v>70</v>
      </c>
      <c r="G813" s="78">
        <v>5783945</v>
      </c>
      <c r="H813" s="78"/>
    </row>
    <row r="814" spans="1:8" ht="31.5" outlineLevel="5">
      <c r="A814" s="76" t="s">
        <v>1140</v>
      </c>
      <c r="B814" s="77" t="s">
        <v>759</v>
      </c>
      <c r="C814" s="77" t="s">
        <v>239</v>
      </c>
      <c r="D814" s="77" t="s">
        <v>146</v>
      </c>
      <c r="E814" s="77" t="s">
        <v>328</v>
      </c>
      <c r="F814" s="77" t="s">
        <v>1</v>
      </c>
      <c r="G814" s="78">
        <f>G815</f>
        <v>13494200</v>
      </c>
      <c r="H814" s="78">
        <f>H815</f>
        <v>13494200</v>
      </c>
    </row>
    <row r="815" spans="1:8" ht="31.5" outlineLevel="6">
      <c r="A815" s="76" t="s">
        <v>471</v>
      </c>
      <c r="B815" s="77" t="s">
        <v>759</v>
      </c>
      <c r="C815" s="77" t="s">
        <v>239</v>
      </c>
      <c r="D815" s="77" t="s">
        <v>146</v>
      </c>
      <c r="E815" s="77" t="s">
        <v>329</v>
      </c>
      <c r="F815" s="77" t="s">
        <v>1</v>
      </c>
      <c r="G815" s="78">
        <f>G816</f>
        <v>13494200</v>
      </c>
      <c r="H815" s="78">
        <f>H816</f>
        <v>13494200</v>
      </c>
    </row>
    <row r="816" spans="1:8" ht="47.25" outlineLevel="7">
      <c r="A816" s="76" t="s">
        <v>696</v>
      </c>
      <c r="B816" s="77" t="s">
        <v>759</v>
      </c>
      <c r="C816" s="77" t="s">
        <v>239</v>
      </c>
      <c r="D816" s="77" t="s">
        <v>146</v>
      </c>
      <c r="E816" s="77" t="s">
        <v>329</v>
      </c>
      <c r="F816" s="77" t="s">
        <v>70</v>
      </c>
      <c r="G816" s="78">
        <v>13494200</v>
      </c>
      <c r="H816" s="78">
        <f>G816</f>
        <v>13494200</v>
      </c>
    </row>
    <row r="817" spans="1:8" ht="31.5" outlineLevel="5">
      <c r="A817" s="76" t="s">
        <v>1141</v>
      </c>
      <c r="B817" s="77" t="s">
        <v>759</v>
      </c>
      <c r="C817" s="77" t="s">
        <v>239</v>
      </c>
      <c r="D817" s="77" t="s">
        <v>146</v>
      </c>
      <c r="E817" s="77" t="s">
        <v>330</v>
      </c>
      <c r="F817" s="77" t="s">
        <v>1</v>
      </c>
      <c r="G817" s="78">
        <f>G818</f>
        <v>295072.76</v>
      </c>
      <c r="H817" s="78"/>
    </row>
    <row r="818" spans="1:8" ht="78.75" outlineLevel="6">
      <c r="A818" s="76" t="s">
        <v>432</v>
      </c>
      <c r="B818" s="77" t="s">
        <v>759</v>
      </c>
      <c r="C818" s="77" t="s">
        <v>239</v>
      </c>
      <c r="D818" s="77" t="s">
        <v>146</v>
      </c>
      <c r="E818" s="77" t="s">
        <v>331</v>
      </c>
      <c r="F818" s="77" t="s">
        <v>1</v>
      </c>
      <c r="G818" s="78">
        <f>G819</f>
        <v>295072.76</v>
      </c>
      <c r="H818" s="78"/>
    </row>
    <row r="819" spans="1:8" ht="47.25" outlineLevel="7">
      <c r="A819" s="76" t="s">
        <v>696</v>
      </c>
      <c r="B819" s="77" t="s">
        <v>759</v>
      </c>
      <c r="C819" s="77" t="s">
        <v>239</v>
      </c>
      <c r="D819" s="77" t="s">
        <v>146</v>
      </c>
      <c r="E819" s="77" t="s">
        <v>331</v>
      </c>
      <c r="F819" s="77" t="s">
        <v>70</v>
      </c>
      <c r="G819" s="78">
        <v>295072.76</v>
      </c>
      <c r="H819" s="78"/>
    </row>
    <row r="820" spans="1:9" s="75" customFormat="1" ht="47.25" outlineLevel="3">
      <c r="A820" s="72" t="s">
        <v>659</v>
      </c>
      <c r="B820" s="73" t="s">
        <v>759</v>
      </c>
      <c r="C820" s="73" t="s">
        <v>239</v>
      </c>
      <c r="D820" s="73" t="s">
        <v>146</v>
      </c>
      <c r="E820" s="73" t="s">
        <v>90</v>
      </c>
      <c r="F820" s="73" t="s">
        <v>1</v>
      </c>
      <c r="G820" s="74">
        <f>G821</f>
        <v>664700</v>
      </c>
      <c r="H820" s="74"/>
      <c r="I820" s="206"/>
    </row>
    <row r="821" spans="1:9" s="75" customFormat="1" ht="47.25" outlineLevel="4">
      <c r="A821" s="72" t="s">
        <v>624</v>
      </c>
      <c r="B821" s="73" t="s">
        <v>759</v>
      </c>
      <c r="C821" s="73" t="s">
        <v>239</v>
      </c>
      <c r="D821" s="73" t="s">
        <v>146</v>
      </c>
      <c r="E821" s="73" t="s">
        <v>91</v>
      </c>
      <c r="F821" s="73" t="s">
        <v>1</v>
      </c>
      <c r="G821" s="74">
        <f>G822</f>
        <v>664700</v>
      </c>
      <c r="H821" s="74"/>
      <c r="I821" s="206"/>
    </row>
    <row r="822" spans="1:8" ht="31.5" outlineLevel="5">
      <c r="A822" s="76" t="s">
        <v>1074</v>
      </c>
      <c r="B822" s="77" t="s">
        <v>759</v>
      </c>
      <c r="C822" s="77" t="s">
        <v>239</v>
      </c>
      <c r="D822" s="77" t="s">
        <v>146</v>
      </c>
      <c r="E822" s="77" t="s">
        <v>100</v>
      </c>
      <c r="F822" s="77" t="s">
        <v>1</v>
      </c>
      <c r="G822" s="78">
        <f>G823</f>
        <v>664700</v>
      </c>
      <c r="H822" s="78"/>
    </row>
    <row r="823" spans="1:8" ht="31.5" outlineLevel="6">
      <c r="A823" s="76" t="s">
        <v>441</v>
      </c>
      <c r="B823" s="77" t="s">
        <v>759</v>
      </c>
      <c r="C823" s="77" t="s">
        <v>239</v>
      </c>
      <c r="D823" s="77" t="s">
        <v>146</v>
      </c>
      <c r="E823" s="77" t="s">
        <v>101</v>
      </c>
      <c r="F823" s="77" t="s">
        <v>1</v>
      </c>
      <c r="G823" s="78">
        <f>G824</f>
        <v>664700</v>
      </c>
      <c r="H823" s="78"/>
    </row>
    <row r="824" spans="1:8" ht="47.25" outlineLevel="7">
      <c r="A824" s="76" t="s">
        <v>696</v>
      </c>
      <c r="B824" s="77" t="s">
        <v>759</v>
      </c>
      <c r="C824" s="77" t="s">
        <v>239</v>
      </c>
      <c r="D824" s="77" t="s">
        <v>146</v>
      </c>
      <c r="E824" s="77" t="s">
        <v>101</v>
      </c>
      <c r="F824" s="77" t="s">
        <v>70</v>
      </c>
      <c r="G824" s="78">
        <f>694700-30000</f>
        <v>664700</v>
      </c>
      <c r="H824" s="78"/>
    </row>
    <row r="825" spans="1:9" s="75" customFormat="1" ht="15.75" outlineLevel="1">
      <c r="A825" s="72" t="s">
        <v>703</v>
      </c>
      <c r="B825" s="73" t="s">
        <v>759</v>
      </c>
      <c r="C825" s="73" t="s">
        <v>187</v>
      </c>
      <c r="D825" s="73" t="s">
        <v>3</v>
      </c>
      <c r="E825" s="73" t="s">
        <v>4</v>
      </c>
      <c r="F825" s="73" t="s">
        <v>1</v>
      </c>
      <c r="G825" s="74">
        <f>G826+G852</f>
        <v>61298336</v>
      </c>
      <c r="H825" s="74">
        <f>H826+H852</f>
        <v>61298336</v>
      </c>
      <c r="I825" s="206"/>
    </row>
    <row r="826" spans="1:9" s="75" customFormat="1" ht="15.75" outlineLevel="2">
      <c r="A826" s="72" t="s">
        <v>687</v>
      </c>
      <c r="B826" s="73" t="s">
        <v>759</v>
      </c>
      <c r="C826" s="73" t="s">
        <v>187</v>
      </c>
      <c r="D826" s="73" t="s">
        <v>14</v>
      </c>
      <c r="E826" s="73" t="s">
        <v>4</v>
      </c>
      <c r="F826" s="73" t="s">
        <v>1</v>
      </c>
      <c r="G826" s="74">
        <f>G827</f>
        <v>4414636</v>
      </c>
      <c r="H826" s="74">
        <f>H827</f>
        <v>4414636</v>
      </c>
      <c r="I826" s="206"/>
    </row>
    <row r="827" spans="1:9" s="75" customFormat="1" ht="47.25" outlineLevel="3">
      <c r="A827" s="72" t="s">
        <v>657</v>
      </c>
      <c r="B827" s="73" t="s">
        <v>759</v>
      </c>
      <c r="C827" s="73" t="s">
        <v>187</v>
      </c>
      <c r="D827" s="73" t="s">
        <v>14</v>
      </c>
      <c r="E827" s="73" t="s">
        <v>23</v>
      </c>
      <c r="F827" s="73" t="s">
        <v>1</v>
      </c>
      <c r="G827" s="74">
        <f>G828+G834+G840</f>
        <v>4414636</v>
      </c>
      <c r="H827" s="74">
        <f>H828+H834+H840</f>
        <v>4414636</v>
      </c>
      <c r="I827" s="206"/>
    </row>
    <row r="828" spans="1:9" s="75" customFormat="1" ht="31.5" outlineLevel="4">
      <c r="A828" s="72" t="s">
        <v>640</v>
      </c>
      <c r="B828" s="73" t="s">
        <v>759</v>
      </c>
      <c r="C828" s="73" t="s">
        <v>187</v>
      </c>
      <c r="D828" s="73" t="s">
        <v>14</v>
      </c>
      <c r="E828" s="73" t="s">
        <v>240</v>
      </c>
      <c r="F828" s="73" t="s">
        <v>1</v>
      </c>
      <c r="G828" s="74">
        <f>G829</f>
        <v>723921.9600000001</v>
      </c>
      <c r="H828" s="74">
        <f>H829</f>
        <v>723921.9600000001</v>
      </c>
      <c r="I828" s="206"/>
    </row>
    <row r="829" spans="1:8" ht="31.5" outlineLevel="5">
      <c r="A829" s="76" t="s">
        <v>1128</v>
      </c>
      <c r="B829" s="77" t="s">
        <v>759</v>
      </c>
      <c r="C829" s="77" t="s">
        <v>187</v>
      </c>
      <c r="D829" s="77" t="s">
        <v>14</v>
      </c>
      <c r="E829" s="77" t="s">
        <v>247</v>
      </c>
      <c r="F829" s="77" t="s">
        <v>1</v>
      </c>
      <c r="G829" s="78">
        <f>G830+G832</f>
        <v>723921.9600000001</v>
      </c>
      <c r="H829" s="78">
        <f>H830+H832</f>
        <v>723921.9600000001</v>
      </c>
    </row>
    <row r="830" spans="1:8" ht="94.5" outlineLevel="6">
      <c r="A830" s="76" t="s">
        <v>473</v>
      </c>
      <c r="B830" s="77" t="s">
        <v>759</v>
      </c>
      <c r="C830" s="77" t="s">
        <v>187</v>
      </c>
      <c r="D830" s="77" t="s">
        <v>14</v>
      </c>
      <c r="E830" s="77" t="s">
        <v>373</v>
      </c>
      <c r="F830" s="77" t="s">
        <v>1</v>
      </c>
      <c r="G830" s="78">
        <f>G831</f>
        <v>1887.92</v>
      </c>
      <c r="H830" s="78">
        <f>H831</f>
        <v>1887.92</v>
      </c>
    </row>
    <row r="831" spans="1:8" ht="47.25" outlineLevel="7">
      <c r="A831" s="76" t="s">
        <v>696</v>
      </c>
      <c r="B831" s="77" t="s">
        <v>759</v>
      </c>
      <c r="C831" s="77" t="s">
        <v>187</v>
      </c>
      <c r="D831" s="77" t="s">
        <v>14</v>
      </c>
      <c r="E831" s="77" t="s">
        <v>373</v>
      </c>
      <c r="F831" s="77" t="s">
        <v>70</v>
      </c>
      <c r="G831" s="78">
        <v>1887.92</v>
      </c>
      <c r="H831" s="78">
        <f>G831</f>
        <v>1887.92</v>
      </c>
    </row>
    <row r="832" spans="1:8" ht="94.5" outlineLevel="6">
      <c r="A832" s="76" t="s">
        <v>474</v>
      </c>
      <c r="B832" s="77" t="s">
        <v>759</v>
      </c>
      <c r="C832" s="77" t="s">
        <v>187</v>
      </c>
      <c r="D832" s="77" t="s">
        <v>14</v>
      </c>
      <c r="E832" s="77" t="s">
        <v>374</v>
      </c>
      <c r="F832" s="77" t="s">
        <v>1</v>
      </c>
      <c r="G832" s="78">
        <f>G833</f>
        <v>722034.04</v>
      </c>
      <c r="H832" s="78">
        <f>H833</f>
        <v>722034.04</v>
      </c>
    </row>
    <row r="833" spans="1:8" ht="47.25" outlineLevel="7">
      <c r="A833" s="76" t="s">
        <v>696</v>
      </c>
      <c r="B833" s="77" t="s">
        <v>759</v>
      </c>
      <c r="C833" s="77" t="s">
        <v>187</v>
      </c>
      <c r="D833" s="77" t="s">
        <v>14</v>
      </c>
      <c r="E833" s="77" t="s">
        <v>374</v>
      </c>
      <c r="F833" s="77" t="s">
        <v>70</v>
      </c>
      <c r="G833" s="78">
        <v>722034.04</v>
      </c>
      <c r="H833" s="78">
        <f>G833</f>
        <v>722034.04</v>
      </c>
    </row>
    <row r="834" spans="1:9" s="75" customFormat="1" ht="63" outlineLevel="4">
      <c r="A834" s="72" t="s">
        <v>642</v>
      </c>
      <c r="B834" s="73" t="s">
        <v>759</v>
      </c>
      <c r="C834" s="73" t="s">
        <v>187</v>
      </c>
      <c r="D834" s="73" t="s">
        <v>14</v>
      </c>
      <c r="E834" s="73" t="s">
        <v>256</v>
      </c>
      <c r="F834" s="73" t="s">
        <v>1</v>
      </c>
      <c r="G834" s="74">
        <f>G835</f>
        <v>1360214.04</v>
      </c>
      <c r="H834" s="74">
        <f>H835</f>
        <v>1360214.04</v>
      </c>
      <c r="I834" s="206"/>
    </row>
    <row r="835" spans="1:8" ht="31.5" outlineLevel="5">
      <c r="A835" s="76" t="s">
        <v>1128</v>
      </c>
      <c r="B835" s="77" t="s">
        <v>759</v>
      </c>
      <c r="C835" s="77" t="s">
        <v>187</v>
      </c>
      <c r="D835" s="77" t="s">
        <v>14</v>
      </c>
      <c r="E835" s="77" t="s">
        <v>269</v>
      </c>
      <c r="F835" s="77" t="s">
        <v>1</v>
      </c>
      <c r="G835" s="78">
        <f>G836+G838</f>
        <v>1360214.04</v>
      </c>
      <c r="H835" s="78">
        <f>H836+H838</f>
        <v>1360214.04</v>
      </c>
    </row>
    <row r="836" spans="1:8" ht="94.5" outlineLevel="6">
      <c r="A836" s="76" t="s">
        <v>473</v>
      </c>
      <c r="B836" s="77" t="s">
        <v>759</v>
      </c>
      <c r="C836" s="77" t="s">
        <v>187</v>
      </c>
      <c r="D836" s="77" t="s">
        <v>14</v>
      </c>
      <c r="E836" s="77" t="s">
        <v>375</v>
      </c>
      <c r="F836" s="77" t="s">
        <v>1</v>
      </c>
      <c r="G836" s="78">
        <f>G837</f>
        <v>3548.08</v>
      </c>
      <c r="H836" s="78">
        <f>H837</f>
        <v>3548.08</v>
      </c>
    </row>
    <row r="837" spans="1:8" ht="47.25" outlineLevel="7">
      <c r="A837" s="76" t="s">
        <v>696</v>
      </c>
      <c r="B837" s="77" t="s">
        <v>759</v>
      </c>
      <c r="C837" s="77" t="s">
        <v>187</v>
      </c>
      <c r="D837" s="77" t="s">
        <v>14</v>
      </c>
      <c r="E837" s="77" t="s">
        <v>375</v>
      </c>
      <c r="F837" s="77" t="s">
        <v>70</v>
      </c>
      <c r="G837" s="78">
        <v>3548.08</v>
      </c>
      <c r="H837" s="78">
        <f>G837</f>
        <v>3548.08</v>
      </c>
    </row>
    <row r="838" spans="1:8" ht="94.5" outlineLevel="6">
      <c r="A838" s="76" t="s">
        <v>474</v>
      </c>
      <c r="B838" s="77" t="s">
        <v>759</v>
      </c>
      <c r="C838" s="77" t="s">
        <v>187</v>
      </c>
      <c r="D838" s="77" t="s">
        <v>14</v>
      </c>
      <c r="E838" s="77" t="s">
        <v>376</v>
      </c>
      <c r="F838" s="77" t="s">
        <v>1</v>
      </c>
      <c r="G838" s="78">
        <f>G839</f>
        <v>1356665.96</v>
      </c>
      <c r="H838" s="78">
        <f>H839</f>
        <v>1356665.96</v>
      </c>
    </row>
    <row r="839" spans="1:8" ht="47.25" outlineLevel="7">
      <c r="A839" s="76" t="s">
        <v>696</v>
      </c>
      <c r="B839" s="77" t="s">
        <v>759</v>
      </c>
      <c r="C839" s="77" t="s">
        <v>187</v>
      </c>
      <c r="D839" s="77" t="s">
        <v>14</v>
      </c>
      <c r="E839" s="77" t="s">
        <v>376</v>
      </c>
      <c r="F839" s="77" t="s">
        <v>70</v>
      </c>
      <c r="G839" s="78">
        <v>1356665.96</v>
      </c>
      <c r="H839" s="78">
        <f>G839</f>
        <v>1356665.96</v>
      </c>
    </row>
    <row r="840" spans="1:9" s="75" customFormat="1" ht="47.25" outlineLevel="4">
      <c r="A840" s="72" t="s">
        <v>614</v>
      </c>
      <c r="B840" s="73" t="s">
        <v>759</v>
      </c>
      <c r="C840" s="73" t="s">
        <v>187</v>
      </c>
      <c r="D840" s="73" t="s">
        <v>14</v>
      </c>
      <c r="E840" s="73" t="s">
        <v>24</v>
      </c>
      <c r="F840" s="73" t="s">
        <v>1</v>
      </c>
      <c r="G840" s="74">
        <f>G841+G844+G849</f>
        <v>2330500</v>
      </c>
      <c r="H840" s="74">
        <f>H841+H844+H849</f>
        <v>2330500</v>
      </c>
      <c r="I840" s="206"/>
    </row>
    <row r="841" spans="1:8" ht="157.5" outlineLevel="5">
      <c r="A841" s="76" t="s">
        <v>1142</v>
      </c>
      <c r="B841" s="77" t="s">
        <v>759</v>
      </c>
      <c r="C841" s="77" t="s">
        <v>187</v>
      </c>
      <c r="D841" s="77" t="s">
        <v>14</v>
      </c>
      <c r="E841" s="77" t="s">
        <v>377</v>
      </c>
      <c r="F841" s="77" t="s">
        <v>1</v>
      </c>
      <c r="G841" s="78">
        <f>G842</f>
        <v>147100</v>
      </c>
      <c r="H841" s="78">
        <f>H842</f>
        <v>147100</v>
      </c>
    </row>
    <row r="842" spans="1:8" ht="173.25" outlineLevel="6">
      <c r="A842" s="76" t="s">
        <v>475</v>
      </c>
      <c r="B842" s="77" t="s">
        <v>759</v>
      </c>
      <c r="C842" s="77" t="s">
        <v>187</v>
      </c>
      <c r="D842" s="77" t="s">
        <v>14</v>
      </c>
      <c r="E842" s="77" t="s">
        <v>378</v>
      </c>
      <c r="F842" s="77" t="s">
        <v>1</v>
      </c>
      <c r="G842" s="78">
        <f>G843</f>
        <v>147100</v>
      </c>
      <c r="H842" s="78">
        <f>H843</f>
        <v>147100</v>
      </c>
    </row>
    <row r="843" spans="1:8" ht="31.5" outlineLevel="7">
      <c r="A843" s="76" t="s">
        <v>694</v>
      </c>
      <c r="B843" s="77" t="s">
        <v>759</v>
      </c>
      <c r="C843" s="77" t="s">
        <v>187</v>
      </c>
      <c r="D843" s="77" t="s">
        <v>14</v>
      </c>
      <c r="E843" s="77" t="s">
        <v>378</v>
      </c>
      <c r="F843" s="77" t="s">
        <v>47</v>
      </c>
      <c r="G843" s="78">
        <v>147100</v>
      </c>
      <c r="H843" s="78">
        <f>G843</f>
        <v>147100</v>
      </c>
    </row>
    <row r="844" spans="1:8" ht="94.5" outlineLevel="5">
      <c r="A844" s="76" t="s">
        <v>1143</v>
      </c>
      <c r="B844" s="77" t="s">
        <v>759</v>
      </c>
      <c r="C844" s="77" t="s">
        <v>187</v>
      </c>
      <c r="D844" s="77" t="s">
        <v>14</v>
      </c>
      <c r="E844" s="77" t="s">
        <v>379</v>
      </c>
      <c r="F844" s="77" t="s">
        <v>1</v>
      </c>
      <c r="G844" s="78">
        <f>G845+G847</f>
        <v>1869400</v>
      </c>
      <c r="H844" s="78">
        <f>H845+H847</f>
        <v>1869400</v>
      </c>
    </row>
    <row r="845" spans="1:8" ht="94.5" outlineLevel="6">
      <c r="A845" s="76" t="s">
        <v>476</v>
      </c>
      <c r="B845" s="77" t="s">
        <v>759</v>
      </c>
      <c r="C845" s="77" t="s">
        <v>187</v>
      </c>
      <c r="D845" s="77" t="s">
        <v>14</v>
      </c>
      <c r="E845" s="77" t="s">
        <v>380</v>
      </c>
      <c r="F845" s="77" t="s">
        <v>1</v>
      </c>
      <c r="G845" s="78">
        <f>G846</f>
        <v>1847600</v>
      </c>
      <c r="H845" s="78">
        <f>H846</f>
        <v>1847600</v>
      </c>
    </row>
    <row r="846" spans="1:8" ht="31.5" outlineLevel="7">
      <c r="A846" s="76" t="s">
        <v>694</v>
      </c>
      <c r="B846" s="77" t="s">
        <v>759</v>
      </c>
      <c r="C846" s="77" t="s">
        <v>187</v>
      </c>
      <c r="D846" s="77" t="s">
        <v>14</v>
      </c>
      <c r="E846" s="77" t="s">
        <v>380</v>
      </c>
      <c r="F846" s="77" t="s">
        <v>47</v>
      </c>
      <c r="G846" s="78">
        <v>1847600</v>
      </c>
      <c r="H846" s="78">
        <f>G846</f>
        <v>1847600</v>
      </c>
    </row>
    <row r="847" spans="1:8" ht="94.5" outlineLevel="6">
      <c r="A847" s="76" t="s">
        <v>477</v>
      </c>
      <c r="B847" s="77" t="s">
        <v>759</v>
      </c>
      <c r="C847" s="77" t="s">
        <v>187</v>
      </c>
      <c r="D847" s="77" t="s">
        <v>14</v>
      </c>
      <c r="E847" s="77" t="s">
        <v>381</v>
      </c>
      <c r="F847" s="77" t="s">
        <v>1</v>
      </c>
      <c r="G847" s="78">
        <f>G848</f>
        <v>21800</v>
      </c>
      <c r="H847" s="78">
        <f>H848</f>
        <v>21800</v>
      </c>
    </row>
    <row r="848" spans="1:8" ht="94.5" outlineLevel="7">
      <c r="A848" s="76" t="s">
        <v>708</v>
      </c>
      <c r="B848" s="77" t="s">
        <v>759</v>
      </c>
      <c r="C848" s="77" t="s">
        <v>187</v>
      </c>
      <c r="D848" s="77" t="s">
        <v>14</v>
      </c>
      <c r="E848" s="77" t="s">
        <v>381</v>
      </c>
      <c r="F848" s="77" t="s">
        <v>10</v>
      </c>
      <c r="G848" s="78">
        <v>21800</v>
      </c>
      <c r="H848" s="78">
        <f>G848</f>
        <v>21800</v>
      </c>
    </row>
    <row r="849" spans="1:8" ht="110.25" outlineLevel="5">
      <c r="A849" s="76" t="s">
        <v>1144</v>
      </c>
      <c r="B849" s="77" t="s">
        <v>759</v>
      </c>
      <c r="C849" s="77" t="s">
        <v>187</v>
      </c>
      <c r="D849" s="77" t="s">
        <v>14</v>
      </c>
      <c r="E849" s="77" t="s">
        <v>382</v>
      </c>
      <c r="F849" s="77" t="s">
        <v>1</v>
      </c>
      <c r="G849" s="78">
        <f>G850</f>
        <v>314000</v>
      </c>
      <c r="H849" s="78">
        <f>H850</f>
        <v>314000</v>
      </c>
    </row>
    <row r="850" spans="1:8" ht="157.5" outlineLevel="6">
      <c r="A850" s="76" t="s">
        <v>478</v>
      </c>
      <c r="B850" s="77" t="s">
        <v>759</v>
      </c>
      <c r="C850" s="77" t="s">
        <v>187</v>
      </c>
      <c r="D850" s="77" t="s">
        <v>14</v>
      </c>
      <c r="E850" s="77" t="s">
        <v>383</v>
      </c>
      <c r="F850" s="77" t="s">
        <v>1</v>
      </c>
      <c r="G850" s="78">
        <f>G851</f>
        <v>314000</v>
      </c>
      <c r="H850" s="78">
        <f>H851</f>
        <v>314000</v>
      </c>
    </row>
    <row r="851" spans="1:8" ht="31.5" outlineLevel="7">
      <c r="A851" s="76" t="s">
        <v>694</v>
      </c>
      <c r="B851" s="77" t="s">
        <v>759</v>
      </c>
      <c r="C851" s="77" t="s">
        <v>187</v>
      </c>
      <c r="D851" s="77" t="s">
        <v>14</v>
      </c>
      <c r="E851" s="77" t="s">
        <v>383</v>
      </c>
      <c r="F851" s="77" t="s">
        <v>47</v>
      </c>
      <c r="G851" s="78">
        <v>314000</v>
      </c>
      <c r="H851" s="78">
        <f>G851</f>
        <v>314000</v>
      </c>
    </row>
    <row r="852" spans="1:9" s="75" customFormat="1" ht="15.75" outlineLevel="2">
      <c r="A852" s="72" t="s">
        <v>688</v>
      </c>
      <c r="B852" s="73" t="s">
        <v>759</v>
      </c>
      <c r="C852" s="73" t="s">
        <v>187</v>
      </c>
      <c r="D852" s="73" t="s">
        <v>22</v>
      </c>
      <c r="E852" s="73" t="s">
        <v>4</v>
      </c>
      <c r="F852" s="73" t="s">
        <v>1</v>
      </c>
      <c r="G852" s="74">
        <f>G853</f>
        <v>56883700</v>
      </c>
      <c r="H852" s="74">
        <f>H853</f>
        <v>56883700</v>
      </c>
      <c r="I852" s="206"/>
    </row>
    <row r="853" spans="1:9" s="75" customFormat="1" ht="47.25" outlineLevel="3">
      <c r="A853" s="72" t="s">
        <v>657</v>
      </c>
      <c r="B853" s="73" t="s">
        <v>759</v>
      </c>
      <c r="C853" s="73" t="s">
        <v>187</v>
      </c>
      <c r="D853" s="73" t="s">
        <v>22</v>
      </c>
      <c r="E853" s="73" t="s">
        <v>23</v>
      </c>
      <c r="F853" s="73" t="s">
        <v>1</v>
      </c>
      <c r="G853" s="74">
        <f>G854+G862</f>
        <v>56883700</v>
      </c>
      <c r="H853" s="74">
        <f>H854+H862</f>
        <v>56883700</v>
      </c>
      <c r="I853" s="206"/>
    </row>
    <row r="854" spans="1:9" s="75" customFormat="1" ht="31.5" outlineLevel="4">
      <c r="A854" s="72" t="s">
        <v>640</v>
      </c>
      <c r="B854" s="73" t="s">
        <v>759</v>
      </c>
      <c r="C854" s="73" t="s">
        <v>187</v>
      </c>
      <c r="D854" s="73" t="s">
        <v>22</v>
      </c>
      <c r="E854" s="73" t="s">
        <v>240</v>
      </c>
      <c r="F854" s="73" t="s">
        <v>1</v>
      </c>
      <c r="G854" s="74">
        <f>G855+G859</f>
        <v>17444400</v>
      </c>
      <c r="H854" s="74">
        <f>H855+H859</f>
        <v>17444400</v>
      </c>
      <c r="I854" s="206"/>
    </row>
    <row r="855" spans="1:8" ht="47.25" outlineLevel="5">
      <c r="A855" s="76" t="s">
        <v>1145</v>
      </c>
      <c r="B855" s="77" t="s">
        <v>759</v>
      </c>
      <c r="C855" s="77" t="s">
        <v>187</v>
      </c>
      <c r="D855" s="77" t="s">
        <v>22</v>
      </c>
      <c r="E855" s="77" t="s">
        <v>388</v>
      </c>
      <c r="F855" s="77" t="s">
        <v>1</v>
      </c>
      <c r="G855" s="78">
        <f>G856</f>
        <v>425500</v>
      </c>
      <c r="H855" s="78">
        <f>H856</f>
        <v>425500</v>
      </c>
    </row>
    <row r="856" spans="1:8" ht="141.75" outlineLevel="6">
      <c r="A856" s="76" t="s">
        <v>479</v>
      </c>
      <c r="B856" s="77" t="s">
        <v>759</v>
      </c>
      <c r="C856" s="77" t="s">
        <v>187</v>
      </c>
      <c r="D856" s="77" t="s">
        <v>22</v>
      </c>
      <c r="E856" s="77" t="s">
        <v>389</v>
      </c>
      <c r="F856" s="77" t="s">
        <v>1</v>
      </c>
      <c r="G856" s="78">
        <f>G858+G857</f>
        <v>425500</v>
      </c>
      <c r="H856" s="78">
        <f>H857+H858</f>
        <v>425500</v>
      </c>
    </row>
    <row r="857" spans="1:8" ht="31.5" outlineLevel="7">
      <c r="A857" s="76" t="s">
        <v>693</v>
      </c>
      <c r="B857" s="77" t="s">
        <v>759</v>
      </c>
      <c r="C857" s="77" t="s">
        <v>187</v>
      </c>
      <c r="D857" s="77" t="s">
        <v>22</v>
      </c>
      <c r="E857" s="77" t="s">
        <v>389</v>
      </c>
      <c r="F857" s="77" t="s">
        <v>17</v>
      </c>
      <c r="G857" s="78">
        <v>170216.5</v>
      </c>
      <c r="H857" s="78">
        <f>G857</f>
        <v>170216.5</v>
      </c>
    </row>
    <row r="858" spans="1:8" ht="47.25" outlineLevel="7">
      <c r="A858" s="76" t="s">
        <v>696</v>
      </c>
      <c r="B858" s="77" t="s">
        <v>759</v>
      </c>
      <c r="C858" s="77" t="s">
        <v>187</v>
      </c>
      <c r="D858" s="77" t="s">
        <v>22</v>
      </c>
      <c r="E858" s="77" t="s">
        <v>389</v>
      </c>
      <c r="F858" s="77" t="s">
        <v>70</v>
      </c>
      <c r="G858" s="78">
        <v>255283.5</v>
      </c>
      <c r="H858" s="78">
        <f>G858</f>
        <v>255283.5</v>
      </c>
    </row>
    <row r="859" spans="1:8" ht="31.5" outlineLevel="5">
      <c r="A859" s="76" t="s">
        <v>1146</v>
      </c>
      <c r="B859" s="77" t="s">
        <v>759</v>
      </c>
      <c r="C859" s="77" t="s">
        <v>187</v>
      </c>
      <c r="D859" s="77" t="s">
        <v>22</v>
      </c>
      <c r="E859" s="77" t="s">
        <v>390</v>
      </c>
      <c r="F859" s="77" t="s">
        <v>1</v>
      </c>
      <c r="G859" s="78">
        <f>G860</f>
        <v>17018900</v>
      </c>
      <c r="H859" s="78">
        <f>H860</f>
        <v>17018900</v>
      </c>
    </row>
    <row r="860" spans="1:8" ht="94.5" outlineLevel="6">
      <c r="A860" s="76" t="s">
        <v>480</v>
      </c>
      <c r="B860" s="77" t="s">
        <v>759</v>
      </c>
      <c r="C860" s="77" t="s">
        <v>187</v>
      </c>
      <c r="D860" s="77" t="s">
        <v>22</v>
      </c>
      <c r="E860" s="77" t="s">
        <v>391</v>
      </c>
      <c r="F860" s="77" t="s">
        <v>1</v>
      </c>
      <c r="G860" s="78">
        <f>G861</f>
        <v>17018900</v>
      </c>
      <c r="H860" s="78">
        <f>H861</f>
        <v>17018900</v>
      </c>
    </row>
    <row r="861" spans="1:8" ht="31.5" outlineLevel="7">
      <c r="A861" s="76" t="s">
        <v>694</v>
      </c>
      <c r="B861" s="77" t="s">
        <v>759</v>
      </c>
      <c r="C861" s="77" t="s">
        <v>187</v>
      </c>
      <c r="D861" s="77" t="s">
        <v>22</v>
      </c>
      <c r="E861" s="77" t="s">
        <v>391</v>
      </c>
      <c r="F861" s="77" t="s">
        <v>47</v>
      </c>
      <c r="G861" s="78">
        <v>17018900</v>
      </c>
      <c r="H861" s="78">
        <f>G861</f>
        <v>17018900</v>
      </c>
    </row>
    <row r="862" spans="1:9" s="75" customFormat="1" ht="47.25" outlineLevel="4">
      <c r="A862" s="72" t="s">
        <v>614</v>
      </c>
      <c r="B862" s="73" t="s">
        <v>759</v>
      </c>
      <c r="C862" s="73" t="s">
        <v>187</v>
      </c>
      <c r="D862" s="73" t="s">
        <v>22</v>
      </c>
      <c r="E862" s="73" t="s">
        <v>24</v>
      </c>
      <c r="F862" s="73" t="s">
        <v>1</v>
      </c>
      <c r="G862" s="74">
        <f>G863+G867+G870</f>
        <v>39439300</v>
      </c>
      <c r="H862" s="74">
        <f>H863+H867+H870</f>
        <v>39439300</v>
      </c>
      <c r="I862" s="206"/>
    </row>
    <row r="863" spans="1:8" ht="47.25" outlineLevel="5">
      <c r="A863" s="76" t="s">
        <v>1147</v>
      </c>
      <c r="B863" s="77" t="s">
        <v>759</v>
      </c>
      <c r="C863" s="77" t="s">
        <v>187</v>
      </c>
      <c r="D863" s="77" t="s">
        <v>22</v>
      </c>
      <c r="E863" s="77" t="s">
        <v>392</v>
      </c>
      <c r="F863" s="77" t="s">
        <v>1</v>
      </c>
      <c r="G863" s="78">
        <f>G864</f>
        <v>5286000</v>
      </c>
      <c r="H863" s="78">
        <f>H864</f>
        <v>5286000</v>
      </c>
    </row>
    <row r="864" spans="1:8" ht="126" outlineLevel="6">
      <c r="A864" s="76" t="s">
        <v>481</v>
      </c>
      <c r="B864" s="77" t="s">
        <v>759</v>
      </c>
      <c r="C864" s="77" t="s">
        <v>187</v>
      </c>
      <c r="D864" s="77" t="s">
        <v>22</v>
      </c>
      <c r="E864" s="77" t="s">
        <v>393</v>
      </c>
      <c r="F864" s="77" t="s">
        <v>1</v>
      </c>
      <c r="G864" s="78">
        <f>G865+G866</f>
        <v>5286000</v>
      </c>
      <c r="H864" s="78">
        <f>H865+H866</f>
        <v>5286000</v>
      </c>
    </row>
    <row r="865" spans="1:8" ht="94.5" outlineLevel="7">
      <c r="A865" s="76" t="s">
        <v>708</v>
      </c>
      <c r="B865" s="77" t="s">
        <v>759</v>
      </c>
      <c r="C865" s="77" t="s">
        <v>187</v>
      </c>
      <c r="D865" s="77" t="s">
        <v>22</v>
      </c>
      <c r="E865" s="77" t="s">
        <v>393</v>
      </c>
      <c r="F865" s="77" t="s">
        <v>10</v>
      </c>
      <c r="G865" s="78">
        <v>3774682.59</v>
      </c>
      <c r="H865" s="78">
        <f>G865</f>
        <v>3774682.59</v>
      </c>
    </row>
    <row r="866" spans="1:8" ht="31.5" outlineLevel="7">
      <c r="A866" s="76" t="s">
        <v>693</v>
      </c>
      <c r="B866" s="77" t="s">
        <v>759</v>
      </c>
      <c r="C866" s="77" t="s">
        <v>187</v>
      </c>
      <c r="D866" s="77" t="s">
        <v>22</v>
      </c>
      <c r="E866" s="77" t="s">
        <v>393</v>
      </c>
      <c r="F866" s="77" t="s">
        <v>17</v>
      </c>
      <c r="G866" s="78">
        <v>1511317.41</v>
      </c>
      <c r="H866" s="78">
        <f>G866</f>
        <v>1511317.41</v>
      </c>
    </row>
    <row r="867" spans="1:8" ht="63" outlineLevel="5">
      <c r="A867" s="76" t="s">
        <v>1148</v>
      </c>
      <c r="B867" s="77" t="s">
        <v>759</v>
      </c>
      <c r="C867" s="77" t="s">
        <v>187</v>
      </c>
      <c r="D867" s="77" t="s">
        <v>22</v>
      </c>
      <c r="E867" s="77" t="s">
        <v>394</v>
      </c>
      <c r="F867" s="77" t="s">
        <v>1</v>
      </c>
      <c r="G867" s="78">
        <f>G868</f>
        <v>756100</v>
      </c>
      <c r="H867" s="78">
        <f>H868</f>
        <v>756100</v>
      </c>
    </row>
    <row r="868" spans="1:8" ht="94.5" outlineLevel="6">
      <c r="A868" s="76" t="s">
        <v>482</v>
      </c>
      <c r="B868" s="77" t="s">
        <v>759</v>
      </c>
      <c r="C868" s="77" t="s">
        <v>187</v>
      </c>
      <c r="D868" s="77" t="s">
        <v>22</v>
      </c>
      <c r="E868" s="77" t="s">
        <v>395</v>
      </c>
      <c r="F868" s="77" t="s">
        <v>1</v>
      </c>
      <c r="G868" s="78">
        <f>G869</f>
        <v>756100</v>
      </c>
      <c r="H868" s="78">
        <f>H869</f>
        <v>756100</v>
      </c>
    </row>
    <row r="869" spans="1:8" ht="31.5" outlineLevel="7">
      <c r="A869" s="76" t="s">
        <v>694</v>
      </c>
      <c r="B869" s="77" t="s">
        <v>759</v>
      </c>
      <c r="C869" s="77" t="s">
        <v>187</v>
      </c>
      <c r="D869" s="77" t="s">
        <v>22</v>
      </c>
      <c r="E869" s="77" t="s">
        <v>395</v>
      </c>
      <c r="F869" s="77" t="s">
        <v>47</v>
      </c>
      <c r="G869" s="78">
        <v>756100</v>
      </c>
      <c r="H869" s="78">
        <f>G869</f>
        <v>756100</v>
      </c>
    </row>
    <row r="870" spans="1:8" ht="63" outlineLevel="5">
      <c r="A870" s="76" t="s">
        <v>1149</v>
      </c>
      <c r="B870" s="77" t="s">
        <v>759</v>
      </c>
      <c r="C870" s="77" t="s">
        <v>187</v>
      </c>
      <c r="D870" s="77" t="s">
        <v>22</v>
      </c>
      <c r="E870" s="77" t="s">
        <v>396</v>
      </c>
      <c r="F870" s="77" t="s">
        <v>1</v>
      </c>
      <c r="G870" s="78">
        <f>G871</f>
        <v>33397200</v>
      </c>
      <c r="H870" s="78">
        <f>H871</f>
        <v>33397200</v>
      </c>
    </row>
    <row r="871" spans="1:8" ht="63" outlineLevel="6">
      <c r="A871" s="76" t="s">
        <v>483</v>
      </c>
      <c r="B871" s="77" t="s">
        <v>759</v>
      </c>
      <c r="C871" s="77" t="s">
        <v>187</v>
      </c>
      <c r="D871" s="77" t="s">
        <v>22</v>
      </c>
      <c r="E871" s="77" t="s">
        <v>397</v>
      </c>
      <c r="F871" s="77" t="s">
        <v>1</v>
      </c>
      <c r="G871" s="78">
        <f>G872</f>
        <v>33397200</v>
      </c>
      <c r="H871" s="78">
        <f>H872</f>
        <v>33397200</v>
      </c>
    </row>
    <row r="872" spans="1:8" ht="31.5" outlineLevel="7">
      <c r="A872" s="76" t="s">
        <v>694</v>
      </c>
      <c r="B872" s="77" t="s">
        <v>759</v>
      </c>
      <c r="C872" s="77" t="s">
        <v>187</v>
      </c>
      <c r="D872" s="77" t="s">
        <v>22</v>
      </c>
      <c r="E872" s="77" t="s">
        <v>397</v>
      </c>
      <c r="F872" s="77" t="s">
        <v>47</v>
      </c>
      <c r="G872" s="78">
        <v>33397200</v>
      </c>
      <c r="H872" s="78">
        <f>G872</f>
        <v>33397200</v>
      </c>
    </row>
    <row r="873" spans="1:9" s="75" customFormat="1" ht="47.25">
      <c r="A873" s="72" t="s">
        <v>1150</v>
      </c>
      <c r="B873" s="73" t="s">
        <v>765</v>
      </c>
      <c r="C873" s="73" t="s">
        <v>3</v>
      </c>
      <c r="D873" s="73" t="s">
        <v>3</v>
      </c>
      <c r="E873" s="73" t="s">
        <v>4</v>
      </c>
      <c r="F873" s="73" t="s">
        <v>1</v>
      </c>
      <c r="G873" s="74">
        <f>G874+G897+G956+G1036+G1051</f>
        <v>311057225.06</v>
      </c>
      <c r="H873" s="74">
        <f>H897+H956+H1036</f>
        <v>19482898.589999996</v>
      </c>
      <c r="I873" s="206"/>
    </row>
    <row r="874" spans="1:9" s="75" customFormat="1" ht="15.75" outlineLevel="1">
      <c r="A874" s="72" t="s">
        <v>692</v>
      </c>
      <c r="B874" s="73" t="s">
        <v>765</v>
      </c>
      <c r="C874" s="73" t="s">
        <v>2</v>
      </c>
      <c r="D874" s="73" t="s">
        <v>3</v>
      </c>
      <c r="E874" s="73" t="s">
        <v>4</v>
      </c>
      <c r="F874" s="73" t="s">
        <v>1</v>
      </c>
      <c r="G874" s="74">
        <f>G875+G891</f>
        <v>8257509.24</v>
      </c>
      <c r="H874" s="74"/>
      <c r="I874" s="206"/>
    </row>
    <row r="875" spans="1:9" s="75" customFormat="1" ht="78.75" outlineLevel="2">
      <c r="A875" s="72" t="s">
        <v>665</v>
      </c>
      <c r="B875" s="73" t="s">
        <v>765</v>
      </c>
      <c r="C875" s="73" t="s">
        <v>2</v>
      </c>
      <c r="D875" s="73" t="s">
        <v>22</v>
      </c>
      <c r="E875" s="73" t="s">
        <v>4</v>
      </c>
      <c r="F875" s="73" t="s">
        <v>1</v>
      </c>
      <c r="G875" s="74">
        <f>G876</f>
        <v>7994996.91</v>
      </c>
      <c r="H875" s="74"/>
      <c r="I875" s="206"/>
    </row>
    <row r="876" spans="1:9" s="75" customFormat="1" ht="63" outlineLevel="3">
      <c r="A876" s="72" t="s">
        <v>656</v>
      </c>
      <c r="B876" s="73" t="s">
        <v>765</v>
      </c>
      <c r="C876" s="73" t="s">
        <v>2</v>
      </c>
      <c r="D876" s="73" t="s">
        <v>22</v>
      </c>
      <c r="E876" s="73" t="s">
        <v>6</v>
      </c>
      <c r="F876" s="73" t="s">
        <v>1</v>
      </c>
      <c r="G876" s="74">
        <f>G877+G883</f>
        <v>7994996.91</v>
      </c>
      <c r="H876" s="74"/>
      <c r="I876" s="206"/>
    </row>
    <row r="877" spans="1:9" s="75" customFormat="1" ht="63" outlineLevel="4">
      <c r="A877" s="72" t="s">
        <v>618</v>
      </c>
      <c r="B877" s="73" t="s">
        <v>765</v>
      </c>
      <c r="C877" s="73" t="s">
        <v>2</v>
      </c>
      <c r="D877" s="73" t="s">
        <v>22</v>
      </c>
      <c r="E877" s="73" t="s">
        <v>56</v>
      </c>
      <c r="F877" s="73" t="s">
        <v>1</v>
      </c>
      <c r="G877" s="74">
        <f>G878</f>
        <v>7864886.96</v>
      </c>
      <c r="H877" s="74"/>
      <c r="I877" s="206"/>
    </row>
    <row r="878" spans="1:8" ht="47.25" outlineLevel="5">
      <c r="A878" s="76" t="s">
        <v>1151</v>
      </c>
      <c r="B878" s="77" t="s">
        <v>765</v>
      </c>
      <c r="C878" s="77" t="s">
        <v>2</v>
      </c>
      <c r="D878" s="77" t="s">
        <v>22</v>
      </c>
      <c r="E878" s="77" t="s">
        <v>57</v>
      </c>
      <c r="F878" s="77" t="s">
        <v>1</v>
      </c>
      <c r="G878" s="78">
        <f>G879+G881</f>
        <v>7864886.96</v>
      </c>
      <c r="H878" s="78"/>
    </row>
    <row r="879" spans="1:8" ht="31.5" outlineLevel="6">
      <c r="A879" s="76" t="s">
        <v>434</v>
      </c>
      <c r="B879" s="77" t="s">
        <v>765</v>
      </c>
      <c r="C879" s="77" t="s">
        <v>2</v>
      </c>
      <c r="D879" s="77" t="s">
        <v>22</v>
      </c>
      <c r="E879" s="77" t="s">
        <v>58</v>
      </c>
      <c r="F879" s="77" t="s">
        <v>1</v>
      </c>
      <c r="G879" s="78">
        <f>G880</f>
        <v>7759523.42</v>
      </c>
      <c r="H879" s="78"/>
    </row>
    <row r="880" spans="1:8" ht="94.5" outlineLevel="7">
      <c r="A880" s="76" t="s">
        <v>708</v>
      </c>
      <c r="B880" s="77" t="s">
        <v>765</v>
      </c>
      <c r="C880" s="77" t="s">
        <v>2</v>
      </c>
      <c r="D880" s="77" t="s">
        <v>22</v>
      </c>
      <c r="E880" s="77" t="s">
        <v>58</v>
      </c>
      <c r="F880" s="77" t="s">
        <v>10</v>
      </c>
      <c r="G880" s="78">
        <v>7759523.42</v>
      </c>
      <c r="H880" s="78"/>
    </row>
    <row r="881" spans="1:8" ht="78.75" outlineLevel="6">
      <c r="A881" s="76" t="s">
        <v>432</v>
      </c>
      <c r="B881" s="77" t="s">
        <v>765</v>
      </c>
      <c r="C881" s="77" t="s">
        <v>2</v>
      </c>
      <c r="D881" s="77" t="s">
        <v>22</v>
      </c>
      <c r="E881" s="77" t="s">
        <v>59</v>
      </c>
      <c r="F881" s="77" t="s">
        <v>1</v>
      </c>
      <c r="G881" s="78">
        <f>G882</f>
        <v>105363.54</v>
      </c>
      <c r="H881" s="78"/>
    </row>
    <row r="882" spans="1:8" ht="94.5" outlineLevel="7">
      <c r="A882" s="76" t="s">
        <v>708</v>
      </c>
      <c r="B882" s="77" t="s">
        <v>765</v>
      </c>
      <c r="C882" s="77" t="s">
        <v>2</v>
      </c>
      <c r="D882" s="77" t="s">
        <v>22</v>
      </c>
      <c r="E882" s="77" t="s">
        <v>59</v>
      </c>
      <c r="F882" s="77" t="s">
        <v>10</v>
      </c>
      <c r="G882" s="78">
        <v>105363.54</v>
      </c>
      <c r="H882" s="78"/>
    </row>
    <row r="883" spans="1:9" s="75" customFormat="1" ht="31.5" outlineLevel="4">
      <c r="A883" s="72" t="s">
        <v>613</v>
      </c>
      <c r="B883" s="73" t="s">
        <v>765</v>
      </c>
      <c r="C883" s="73" t="s">
        <v>2</v>
      </c>
      <c r="D883" s="73" t="s">
        <v>22</v>
      </c>
      <c r="E883" s="73" t="s">
        <v>7</v>
      </c>
      <c r="F883" s="73" t="s">
        <v>1</v>
      </c>
      <c r="G883" s="74">
        <f>G884+G888</f>
        <v>130109.95</v>
      </c>
      <c r="H883" s="74"/>
      <c r="I883" s="206"/>
    </row>
    <row r="884" spans="1:8" ht="63" outlineLevel="5">
      <c r="A884" s="76" t="s">
        <v>1063</v>
      </c>
      <c r="B884" s="77" t="s">
        <v>765</v>
      </c>
      <c r="C884" s="77" t="s">
        <v>2</v>
      </c>
      <c r="D884" s="77" t="s">
        <v>22</v>
      </c>
      <c r="E884" s="77" t="s">
        <v>15</v>
      </c>
      <c r="F884" s="77" t="s">
        <v>1</v>
      </c>
      <c r="G884" s="78">
        <f>G885</f>
        <v>81209.95</v>
      </c>
      <c r="H884" s="78"/>
    </row>
    <row r="885" spans="1:8" ht="31.5" outlineLevel="6">
      <c r="A885" s="76" t="s">
        <v>430</v>
      </c>
      <c r="B885" s="77" t="s">
        <v>765</v>
      </c>
      <c r="C885" s="77" t="s">
        <v>2</v>
      </c>
      <c r="D885" s="77" t="s">
        <v>22</v>
      </c>
      <c r="E885" s="77" t="s">
        <v>16</v>
      </c>
      <c r="F885" s="77" t="s">
        <v>1</v>
      </c>
      <c r="G885" s="78">
        <f>G886+G887</f>
        <v>81209.95</v>
      </c>
      <c r="H885" s="78"/>
    </row>
    <row r="886" spans="1:8" ht="94.5" outlineLevel="7">
      <c r="A886" s="76" t="s">
        <v>708</v>
      </c>
      <c r="B886" s="77" t="s">
        <v>765</v>
      </c>
      <c r="C886" s="77" t="s">
        <v>2</v>
      </c>
      <c r="D886" s="77" t="s">
        <v>22</v>
      </c>
      <c r="E886" s="77" t="s">
        <v>16</v>
      </c>
      <c r="F886" s="77" t="s">
        <v>10</v>
      </c>
      <c r="G886" s="78">
        <v>34296.95</v>
      </c>
      <c r="H886" s="78"/>
    </row>
    <row r="887" spans="1:8" ht="31.5" outlineLevel="7">
      <c r="A887" s="76" t="s">
        <v>693</v>
      </c>
      <c r="B887" s="77" t="s">
        <v>765</v>
      </c>
      <c r="C887" s="77" t="s">
        <v>2</v>
      </c>
      <c r="D887" s="77" t="s">
        <v>22</v>
      </c>
      <c r="E887" s="77" t="s">
        <v>16</v>
      </c>
      <c r="F887" s="77" t="s">
        <v>17</v>
      </c>
      <c r="G887" s="78">
        <v>46913</v>
      </c>
      <c r="H887" s="78"/>
    </row>
    <row r="888" spans="1:8" ht="15.75" outlineLevel="5">
      <c r="A888" s="76" t="s">
        <v>1064</v>
      </c>
      <c r="B888" s="77" t="s">
        <v>765</v>
      </c>
      <c r="C888" s="77" t="s">
        <v>2</v>
      </c>
      <c r="D888" s="77" t="s">
        <v>22</v>
      </c>
      <c r="E888" s="77" t="s">
        <v>18</v>
      </c>
      <c r="F888" s="77" t="s">
        <v>1</v>
      </c>
      <c r="G888" s="78">
        <f>G889</f>
        <v>48900</v>
      </c>
      <c r="H888" s="78"/>
    </row>
    <row r="889" spans="1:8" ht="31.5" outlineLevel="6">
      <c r="A889" s="76" t="s">
        <v>430</v>
      </c>
      <c r="B889" s="77" t="s">
        <v>765</v>
      </c>
      <c r="C889" s="77" t="s">
        <v>2</v>
      </c>
      <c r="D889" s="77" t="s">
        <v>22</v>
      </c>
      <c r="E889" s="77" t="s">
        <v>19</v>
      </c>
      <c r="F889" s="77" t="s">
        <v>1</v>
      </c>
      <c r="G889" s="78">
        <f>G890</f>
        <v>48900</v>
      </c>
      <c r="H889" s="78"/>
    </row>
    <row r="890" spans="1:8" ht="31.5" outlineLevel="7">
      <c r="A890" s="76" t="s">
        <v>693</v>
      </c>
      <c r="B890" s="77" t="s">
        <v>765</v>
      </c>
      <c r="C890" s="77" t="s">
        <v>2</v>
      </c>
      <c r="D890" s="77" t="s">
        <v>22</v>
      </c>
      <c r="E890" s="77" t="s">
        <v>19</v>
      </c>
      <c r="F890" s="77" t="s">
        <v>17</v>
      </c>
      <c r="G890" s="78">
        <v>48900</v>
      </c>
      <c r="H890" s="78"/>
    </row>
    <row r="891" spans="1:9" s="75" customFormat="1" ht="15.75" outlineLevel="2">
      <c r="A891" s="72" t="s">
        <v>668</v>
      </c>
      <c r="B891" s="73" t="s">
        <v>765</v>
      </c>
      <c r="C891" s="73" t="s">
        <v>2</v>
      </c>
      <c r="D891" s="73" t="s">
        <v>66</v>
      </c>
      <c r="E891" s="73" t="s">
        <v>4</v>
      </c>
      <c r="F891" s="73" t="s">
        <v>1</v>
      </c>
      <c r="G891" s="74">
        <f>G892</f>
        <v>262512.33</v>
      </c>
      <c r="H891" s="74"/>
      <c r="I891" s="206"/>
    </row>
    <row r="892" spans="1:9" s="75" customFormat="1" ht="47.25" outlineLevel="3">
      <c r="A892" s="72" t="s">
        <v>659</v>
      </c>
      <c r="B892" s="73" t="s">
        <v>765</v>
      </c>
      <c r="C892" s="73" t="s">
        <v>2</v>
      </c>
      <c r="D892" s="73" t="s">
        <v>66</v>
      </c>
      <c r="E892" s="73" t="s">
        <v>90</v>
      </c>
      <c r="F892" s="73" t="s">
        <v>1</v>
      </c>
      <c r="G892" s="74">
        <f>G893</f>
        <v>262512.33</v>
      </c>
      <c r="H892" s="74"/>
      <c r="I892" s="206"/>
    </row>
    <row r="893" spans="1:9" s="75" customFormat="1" ht="47.25" outlineLevel="4">
      <c r="A893" s="72" t="s">
        <v>624</v>
      </c>
      <c r="B893" s="73" t="s">
        <v>765</v>
      </c>
      <c r="C893" s="73" t="s">
        <v>2</v>
      </c>
      <c r="D893" s="73" t="s">
        <v>66</v>
      </c>
      <c r="E893" s="73" t="s">
        <v>91</v>
      </c>
      <c r="F893" s="73" t="s">
        <v>1</v>
      </c>
      <c r="G893" s="74">
        <f>G894</f>
        <v>262512.33</v>
      </c>
      <c r="H893" s="74"/>
      <c r="I893" s="206"/>
    </row>
    <row r="894" spans="1:8" ht="47.25" outlineLevel="5">
      <c r="A894" s="76" t="s">
        <v>1066</v>
      </c>
      <c r="B894" s="77" t="s">
        <v>765</v>
      </c>
      <c r="C894" s="77" t="s">
        <v>2</v>
      </c>
      <c r="D894" s="77" t="s">
        <v>66</v>
      </c>
      <c r="E894" s="77" t="s">
        <v>94</v>
      </c>
      <c r="F894" s="77" t="s">
        <v>1</v>
      </c>
      <c r="G894" s="78">
        <f>G895</f>
        <v>262512.33</v>
      </c>
      <c r="H894" s="78"/>
    </row>
    <row r="895" spans="1:8" ht="31.5" outlineLevel="6">
      <c r="A895" s="76" t="s">
        <v>441</v>
      </c>
      <c r="B895" s="77" t="s">
        <v>765</v>
      </c>
      <c r="C895" s="77" t="s">
        <v>2</v>
      </c>
      <c r="D895" s="77" t="s">
        <v>66</v>
      </c>
      <c r="E895" s="77" t="s">
        <v>95</v>
      </c>
      <c r="F895" s="77" t="s">
        <v>1</v>
      </c>
      <c r="G895" s="78">
        <f>G896</f>
        <v>262512.33</v>
      </c>
      <c r="H895" s="78"/>
    </row>
    <row r="896" spans="1:8" ht="31.5" outlineLevel="7">
      <c r="A896" s="76" t="s">
        <v>693</v>
      </c>
      <c r="B896" s="77" t="s">
        <v>765</v>
      </c>
      <c r="C896" s="77" t="s">
        <v>2</v>
      </c>
      <c r="D896" s="77" t="s">
        <v>66</v>
      </c>
      <c r="E896" s="77" t="s">
        <v>95</v>
      </c>
      <c r="F896" s="77" t="s">
        <v>17</v>
      </c>
      <c r="G896" s="78">
        <v>262512.33</v>
      </c>
      <c r="H896" s="78"/>
    </row>
    <row r="897" spans="1:9" s="75" customFormat="1" ht="15.75" outlineLevel="1">
      <c r="A897" s="72" t="s">
        <v>700</v>
      </c>
      <c r="B897" s="73" t="s">
        <v>765</v>
      </c>
      <c r="C897" s="73" t="s">
        <v>239</v>
      </c>
      <c r="D897" s="73" t="s">
        <v>3</v>
      </c>
      <c r="E897" s="73" t="s">
        <v>4</v>
      </c>
      <c r="F897" s="73" t="s">
        <v>1</v>
      </c>
      <c r="G897" s="74">
        <f>G898+G923</f>
        <v>84736537.13</v>
      </c>
      <c r="H897" s="74">
        <f>H898</f>
        <v>789604.56</v>
      </c>
      <c r="I897" s="206"/>
    </row>
    <row r="898" spans="1:9" s="75" customFormat="1" ht="15.75" outlineLevel="2">
      <c r="A898" s="72" t="s">
        <v>682</v>
      </c>
      <c r="B898" s="73" t="s">
        <v>765</v>
      </c>
      <c r="C898" s="73" t="s">
        <v>239</v>
      </c>
      <c r="D898" s="73" t="s">
        <v>14</v>
      </c>
      <c r="E898" s="73" t="s">
        <v>4</v>
      </c>
      <c r="F898" s="73" t="s">
        <v>1</v>
      </c>
      <c r="G898" s="74">
        <f>G899+G918</f>
        <v>64705527.13</v>
      </c>
      <c r="H898" s="74">
        <f>H899</f>
        <v>789604.56</v>
      </c>
      <c r="I898" s="206"/>
    </row>
    <row r="899" spans="1:9" s="75" customFormat="1" ht="63" outlineLevel="3">
      <c r="A899" s="72" t="s">
        <v>661</v>
      </c>
      <c r="B899" s="73" t="s">
        <v>765</v>
      </c>
      <c r="C899" s="73" t="s">
        <v>239</v>
      </c>
      <c r="D899" s="73" t="s">
        <v>14</v>
      </c>
      <c r="E899" s="73" t="s">
        <v>279</v>
      </c>
      <c r="F899" s="73" t="s">
        <v>1</v>
      </c>
      <c r="G899" s="74">
        <f>G900</f>
        <v>64376348.13</v>
      </c>
      <c r="H899" s="74">
        <f>H900</f>
        <v>789604.56</v>
      </c>
      <c r="I899" s="206"/>
    </row>
    <row r="900" spans="1:9" s="75" customFormat="1" ht="47.25" outlineLevel="4">
      <c r="A900" s="72" t="s">
        <v>643</v>
      </c>
      <c r="B900" s="73" t="s">
        <v>765</v>
      </c>
      <c r="C900" s="73" t="s">
        <v>239</v>
      </c>
      <c r="D900" s="73" t="s">
        <v>14</v>
      </c>
      <c r="E900" s="73" t="s">
        <v>280</v>
      </c>
      <c r="F900" s="73" t="s">
        <v>1</v>
      </c>
      <c r="G900" s="74">
        <f>G901+G908+G915</f>
        <v>64376348.13</v>
      </c>
      <c r="H900" s="74">
        <f>H901+H908</f>
        <v>789604.56</v>
      </c>
      <c r="I900" s="206"/>
    </row>
    <row r="901" spans="1:8" ht="31.5" outlineLevel="5">
      <c r="A901" s="76" t="s">
        <v>1152</v>
      </c>
      <c r="B901" s="77" t="s">
        <v>765</v>
      </c>
      <c r="C901" s="77" t="s">
        <v>239</v>
      </c>
      <c r="D901" s="77" t="s">
        <v>14</v>
      </c>
      <c r="E901" s="77" t="s">
        <v>281</v>
      </c>
      <c r="F901" s="77" t="s">
        <v>1</v>
      </c>
      <c r="G901" s="78">
        <f>G902+G904+G906</f>
        <v>43300440.22</v>
      </c>
      <c r="H901" s="78">
        <f>H904</f>
        <v>544827.14</v>
      </c>
    </row>
    <row r="902" spans="1:8" ht="78.75" outlineLevel="6">
      <c r="A902" s="76" t="s">
        <v>443</v>
      </c>
      <c r="B902" s="77" t="s">
        <v>765</v>
      </c>
      <c r="C902" s="77" t="s">
        <v>239</v>
      </c>
      <c r="D902" s="77" t="s">
        <v>14</v>
      </c>
      <c r="E902" s="77" t="s">
        <v>282</v>
      </c>
      <c r="F902" s="77" t="s">
        <v>1</v>
      </c>
      <c r="G902" s="78">
        <f>G903</f>
        <v>41030262.86</v>
      </c>
      <c r="H902" s="78"/>
    </row>
    <row r="903" spans="1:8" ht="47.25" outlineLevel="7">
      <c r="A903" s="76" t="s">
        <v>696</v>
      </c>
      <c r="B903" s="77" t="s">
        <v>765</v>
      </c>
      <c r="C903" s="77" t="s">
        <v>239</v>
      </c>
      <c r="D903" s="77" t="s">
        <v>14</v>
      </c>
      <c r="E903" s="77" t="s">
        <v>282</v>
      </c>
      <c r="F903" s="77" t="s">
        <v>70</v>
      </c>
      <c r="G903" s="78">
        <v>41030262.86</v>
      </c>
      <c r="H903" s="78"/>
    </row>
    <row r="904" spans="1:8" ht="78.75" outlineLevel="6">
      <c r="A904" s="76" t="s">
        <v>465</v>
      </c>
      <c r="B904" s="77" t="s">
        <v>765</v>
      </c>
      <c r="C904" s="77" t="s">
        <v>239</v>
      </c>
      <c r="D904" s="77" t="s">
        <v>14</v>
      </c>
      <c r="E904" s="77" t="s">
        <v>283</v>
      </c>
      <c r="F904" s="77" t="s">
        <v>1</v>
      </c>
      <c r="G904" s="78">
        <f>G905</f>
        <v>544827.14</v>
      </c>
      <c r="H904" s="78">
        <f>H905</f>
        <v>544827.14</v>
      </c>
    </row>
    <row r="905" spans="1:8" ht="47.25" outlineLevel="7">
      <c r="A905" s="76" t="s">
        <v>696</v>
      </c>
      <c r="B905" s="77" t="s">
        <v>765</v>
      </c>
      <c r="C905" s="77" t="s">
        <v>239</v>
      </c>
      <c r="D905" s="77" t="s">
        <v>14</v>
      </c>
      <c r="E905" s="77" t="s">
        <v>283</v>
      </c>
      <c r="F905" s="77" t="s">
        <v>70</v>
      </c>
      <c r="G905" s="78">
        <v>544827.14</v>
      </c>
      <c r="H905" s="78">
        <f>G905</f>
        <v>544827.14</v>
      </c>
    </row>
    <row r="906" spans="1:8" ht="78.75" outlineLevel="6">
      <c r="A906" s="76" t="s">
        <v>465</v>
      </c>
      <c r="B906" s="77" t="s">
        <v>765</v>
      </c>
      <c r="C906" s="77" t="s">
        <v>239</v>
      </c>
      <c r="D906" s="77" t="s">
        <v>14</v>
      </c>
      <c r="E906" s="77" t="s">
        <v>284</v>
      </c>
      <c r="F906" s="77" t="s">
        <v>1</v>
      </c>
      <c r="G906" s="78">
        <f>G907</f>
        <v>1725350.22</v>
      </c>
      <c r="H906" s="78"/>
    </row>
    <row r="907" spans="1:8" ht="47.25" outlineLevel="7">
      <c r="A907" s="76" t="s">
        <v>696</v>
      </c>
      <c r="B907" s="77" t="s">
        <v>765</v>
      </c>
      <c r="C907" s="77" t="s">
        <v>239</v>
      </c>
      <c r="D907" s="77" t="s">
        <v>14</v>
      </c>
      <c r="E907" s="77" t="s">
        <v>284</v>
      </c>
      <c r="F907" s="77" t="s">
        <v>70</v>
      </c>
      <c r="G907" s="78">
        <v>1725350.22</v>
      </c>
      <c r="H907" s="78"/>
    </row>
    <row r="908" spans="1:8" ht="47.25" outlineLevel="5">
      <c r="A908" s="76" t="s">
        <v>1153</v>
      </c>
      <c r="B908" s="77" t="s">
        <v>765</v>
      </c>
      <c r="C908" s="77" t="s">
        <v>239</v>
      </c>
      <c r="D908" s="77" t="s">
        <v>14</v>
      </c>
      <c r="E908" s="77" t="s">
        <v>285</v>
      </c>
      <c r="F908" s="77" t="s">
        <v>1</v>
      </c>
      <c r="G908" s="78">
        <f>G909+G911+G913</f>
        <v>20043383.910000004</v>
      </c>
      <c r="H908" s="78">
        <f>H911</f>
        <v>244777.42</v>
      </c>
    </row>
    <row r="909" spans="1:8" ht="78.75" outlineLevel="6">
      <c r="A909" s="76" t="s">
        <v>443</v>
      </c>
      <c r="B909" s="77" t="s">
        <v>765</v>
      </c>
      <c r="C909" s="77" t="s">
        <v>239</v>
      </c>
      <c r="D909" s="77" t="s">
        <v>14</v>
      </c>
      <c r="E909" s="77" t="s">
        <v>286</v>
      </c>
      <c r="F909" s="77" t="s">
        <v>1</v>
      </c>
      <c r="G909" s="78">
        <f>G910</f>
        <v>19023449.14</v>
      </c>
      <c r="H909" s="78"/>
    </row>
    <row r="910" spans="1:8" ht="47.25" outlineLevel="7">
      <c r="A910" s="76" t="s">
        <v>696</v>
      </c>
      <c r="B910" s="77" t="s">
        <v>765</v>
      </c>
      <c r="C910" s="77" t="s">
        <v>239</v>
      </c>
      <c r="D910" s="77" t="s">
        <v>14</v>
      </c>
      <c r="E910" s="77" t="s">
        <v>286</v>
      </c>
      <c r="F910" s="77" t="s">
        <v>70</v>
      </c>
      <c r="G910" s="78">
        <v>19023449.14</v>
      </c>
      <c r="H910" s="78"/>
    </row>
    <row r="911" spans="1:8" ht="78.75" outlineLevel="6">
      <c r="A911" s="76" t="s">
        <v>465</v>
      </c>
      <c r="B911" s="77" t="s">
        <v>765</v>
      </c>
      <c r="C911" s="77" t="s">
        <v>239</v>
      </c>
      <c r="D911" s="77" t="s">
        <v>14</v>
      </c>
      <c r="E911" s="77" t="s">
        <v>287</v>
      </c>
      <c r="F911" s="77" t="s">
        <v>1</v>
      </c>
      <c r="G911" s="78">
        <f>G912</f>
        <v>244777.42</v>
      </c>
      <c r="H911" s="78">
        <f>H912</f>
        <v>244777.42</v>
      </c>
    </row>
    <row r="912" spans="1:8" ht="47.25" outlineLevel="7">
      <c r="A912" s="76" t="s">
        <v>696</v>
      </c>
      <c r="B912" s="77" t="s">
        <v>765</v>
      </c>
      <c r="C912" s="77" t="s">
        <v>239</v>
      </c>
      <c r="D912" s="77" t="s">
        <v>14</v>
      </c>
      <c r="E912" s="77" t="s">
        <v>287</v>
      </c>
      <c r="F912" s="77" t="s">
        <v>70</v>
      </c>
      <c r="G912" s="78">
        <v>244777.42</v>
      </c>
      <c r="H912" s="78">
        <f>G912</f>
        <v>244777.42</v>
      </c>
    </row>
    <row r="913" spans="1:8" ht="78.75" outlineLevel="6">
      <c r="A913" s="76" t="s">
        <v>465</v>
      </c>
      <c r="B913" s="77" t="s">
        <v>765</v>
      </c>
      <c r="C913" s="77" t="s">
        <v>239</v>
      </c>
      <c r="D913" s="77" t="s">
        <v>14</v>
      </c>
      <c r="E913" s="77" t="s">
        <v>288</v>
      </c>
      <c r="F913" s="77" t="s">
        <v>1</v>
      </c>
      <c r="G913" s="78">
        <f>G914</f>
        <v>775157.35</v>
      </c>
      <c r="H913" s="78"/>
    </row>
    <row r="914" spans="1:8" ht="47.25" outlineLevel="7">
      <c r="A914" s="76" t="s">
        <v>696</v>
      </c>
      <c r="B914" s="77" t="s">
        <v>765</v>
      </c>
      <c r="C914" s="77" t="s">
        <v>239</v>
      </c>
      <c r="D914" s="77" t="s">
        <v>14</v>
      </c>
      <c r="E914" s="77" t="s">
        <v>288</v>
      </c>
      <c r="F914" s="77" t="s">
        <v>70</v>
      </c>
      <c r="G914" s="78">
        <v>775157.35</v>
      </c>
      <c r="H914" s="78"/>
    </row>
    <row r="915" spans="1:8" ht="31.5" outlineLevel="5">
      <c r="A915" s="76" t="s">
        <v>1128</v>
      </c>
      <c r="B915" s="77" t="s">
        <v>765</v>
      </c>
      <c r="C915" s="77" t="s">
        <v>239</v>
      </c>
      <c r="D915" s="77" t="s">
        <v>14</v>
      </c>
      <c r="E915" s="77" t="s">
        <v>289</v>
      </c>
      <c r="F915" s="77" t="s">
        <v>1</v>
      </c>
      <c r="G915" s="78">
        <f>G916</f>
        <v>1032524</v>
      </c>
      <c r="H915" s="78"/>
    </row>
    <row r="916" spans="1:8" ht="78.75" outlineLevel="6">
      <c r="A916" s="76" t="s">
        <v>432</v>
      </c>
      <c r="B916" s="77" t="s">
        <v>765</v>
      </c>
      <c r="C916" s="77" t="s">
        <v>239</v>
      </c>
      <c r="D916" s="77" t="s">
        <v>14</v>
      </c>
      <c r="E916" s="77" t="s">
        <v>290</v>
      </c>
      <c r="F916" s="77" t="s">
        <v>1</v>
      </c>
      <c r="G916" s="78">
        <f>G917</f>
        <v>1032524</v>
      </c>
      <c r="H916" s="78"/>
    </row>
    <row r="917" spans="1:8" ht="47.25" outlineLevel="7">
      <c r="A917" s="76" t="s">
        <v>696</v>
      </c>
      <c r="B917" s="77" t="s">
        <v>765</v>
      </c>
      <c r="C917" s="77" t="s">
        <v>239</v>
      </c>
      <c r="D917" s="77" t="s">
        <v>14</v>
      </c>
      <c r="E917" s="77" t="s">
        <v>290</v>
      </c>
      <c r="F917" s="77" t="s">
        <v>70</v>
      </c>
      <c r="G917" s="78">
        <v>1032524</v>
      </c>
      <c r="H917" s="78"/>
    </row>
    <row r="918" spans="1:9" s="75" customFormat="1" ht="47.25" outlineLevel="3">
      <c r="A918" s="72" t="s">
        <v>659</v>
      </c>
      <c r="B918" s="73" t="s">
        <v>765</v>
      </c>
      <c r="C918" s="73" t="s">
        <v>239</v>
      </c>
      <c r="D918" s="73" t="s">
        <v>14</v>
      </c>
      <c r="E918" s="73" t="s">
        <v>90</v>
      </c>
      <c r="F918" s="73" t="s">
        <v>1</v>
      </c>
      <c r="G918" s="74">
        <f>G919</f>
        <v>329179</v>
      </c>
      <c r="H918" s="74"/>
      <c r="I918" s="206"/>
    </row>
    <row r="919" spans="1:9" s="75" customFormat="1" ht="47.25" outlineLevel="4">
      <c r="A919" s="72" t="s">
        <v>624</v>
      </c>
      <c r="B919" s="73" t="s">
        <v>765</v>
      </c>
      <c r="C919" s="73" t="s">
        <v>239</v>
      </c>
      <c r="D919" s="73" t="s">
        <v>14</v>
      </c>
      <c r="E919" s="73" t="s">
        <v>91</v>
      </c>
      <c r="F919" s="73" t="s">
        <v>1</v>
      </c>
      <c r="G919" s="74">
        <f>G920</f>
        <v>329179</v>
      </c>
      <c r="H919" s="74"/>
      <c r="I919" s="206"/>
    </row>
    <row r="920" spans="1:8" ht="31.5" outlineLevel="5">
      <c r="A920" s="76" t="s">
        <v>1074</v>
      </c>
      <c r="B920" s="77" t="s">
        <v>765</v>
      </c>
      <c r="C920" s="77" t="s">
        <v>239</v>
      </c>
      <c r="D920" s="77" t="s">
        <v>14</v>
      </c>
      <c r="E920" s="77" t="s">
        <v>100</v>
      </c>
      <c r="F920" s="77" t="s">
        <v>1</v>
      </c>
      <c r="G920" s="78">
        <f>G921</f>
        <v>329179</v>
      </c>
      <c r="H920" s="78"/>
    </row>
    <row r="921" spans="1:8" ht="31.5" outlineLevel="6">
      <c r="A921" s="76" t="s">
        <v>441</v>
      </c>
      <c r="B921" s="77" t="s">
        <v>765</v>
      </c>
      <c r="C921" s="77" t="s">
        <v>239</v>
      </c>
      <c r="D921" s="77" t="s">
        <v>14</v>
      </c>
      <c r="E921" s="77" t="s">
        <v>101</v>
      </c>
      <c r="F921" s="77" t="s">
        <v>1</v>
      </c>
      <c r="G921" s="78">
        <f>G922</f>
        <v>329179</v>
      </c>
      <c r="H921" s="78"/>
    </row>
    <row r="922" spans="1:8" ht="47.25" outlineLevel="7">
      <c r="A922" s="76" t="s">
        <v>696</v>
      </c>
      <c r="B922" s="77" t="s">
        <v>765</v>
      </c>
      <c r="C922" s="77" t="s">
        <v>239</v>
      </c>
      <c r="D922" s="77" t="s">
        <v>14</v>
      </c>
      <c r="E922" s="77" t="s">
        <v>101</v>
      </c>
      <c r="F922" s="77" t="s">
        <v>70</v>
      </c>
      <c r="G922" s="78">
        <v>329179</v>
      </c>
      <c r="H922" s="78"/>
    </row>
    <row r="923" spans="1:9" s="75" customFormat="1" ht="15.75" outlineLevel="2">
      <c r="A923" s="72" t="s">
        <v>683</v>
      </c>
      <c r="B923" s="73" t="s">
        <v>765</v>
      </c>
      <c r="C923" s="73" t="s">
        <v>239</v>
      </c>
      <c r="D923" s="73" t="s">
        <v>239</v>
      </c>
      <c r="E923" s="73" t="s">
        <v>4</v>
      </c>
      <c r="F923" s="73" t="s">
        <v>1</v>
      </c>
      <c r="G923" s="74">
        <f>G924+G951</f>
        <v>20031010</v>
      </c>
      <c r="H923" s="74"/>
      <c r="I923" s="206"/>
    </row>
    <row r="924" spans="1:9" s="75" customFormat="1" ht="63" outlineLevel="3">
      <c r="A924" s="72" t="s">
        <v>662</v>
      </c>
      <c r="B924" s="73" t="s">
        <v>765</v>
      </c>
      <c r="C924" s="73" t="s">
        <v>239</v>
      </c>
      <c r="D924" s="73" t="s">
        <v>239</v>
      </c>
      <c r="E924" s="73" t="s">
        <v>297</v>
      </c>
      <c r="F924" s="73" t="s">
        <v>1</v>
      </c>
      <c r="G924" s="74">
        <f>G925+G941</f>
        <v>19836072</v>
      </c>
      <c r="H924" s="74"/>
      <c r="I924" s="206"/>
    </row>
    <row r="925" spans="1:9" s="75" customFormat="1" ht="31.5" outlineLevel="4">
      <c r="A925" s="72" t="s">
        <v>645</v>
      </c>
      <c r="B925" s="73" t="s">
        <v>765</v>
      </c>
      <c r="C925" s="73" t="s">
        <v>239</v>
      </c>
      <c r="D925" s="73" t="s">
        <v>239</v>
      </c>
      <c r="E925" s="73" t="s">
        <v>298</v>
      </c>
      <c r="F925" s="73" t="s">
        <v>1</v>
      </c>
      <c r="G925" s="74">
        <f>G926+G930+G935+G938</f>
        <v>846250</v>
      </c>
      <c r="H925" s="74"/>
      <c r="I925" s="206"/>
    </row>
    <row r="926" spans="1:8" ht="47.25" outlineLevel="5">
      <c r="A926" s="76" t="s">
        <v>1154</v>
      </c>
      <c r="B926" s="77" t="s">
        <v>765</v>
      </c>
      <c r="C926" s="77" t="s">
        <v>239</v>
      </c>
      <c r="D926" s="77" t="s">
        <v>239</v>
      </c>
      <c r="E926" s="77" t="s">
        <v>299</v>
      </c>
      <c r="F926" s="77" t="s">
        <v>1</v>
      </c>
      <c r="G926" s="78">
        <f>G927</f>
        <v>436250</v>
      </c>
      <c r="H926" s="78"/>
    </row>
    <row r="927" spans="1:8" ht="31.5" outlineLevel="6">
      <c r="A927" s="76" t="s">
        <v>441</v>
      </c>
      <c r="B927" s="77" t="s">
        <v>765</v>
      </c>
      <c r="C927" s="77" t="s">
        <v>239</v>
      </c>
      <c r="D927" s="77" t="s">
        <v>239</v>
      </c>
      <c r="E927" s="77" t="s">
        <v>300</v>
      </c>
      <c r="F927" s="77" t="s">
        <v>1</v>
      </c>
      <c r="G927" s="78">
        <f>G929+G928</f>
        <v>436250</v>
      </c>
      <c r="H927" s="78"/>
    </row>
    <row r="928" spans="1:8" ht="31.5" outlineLevel="7">
      <c r="A928" s="76" t="s">
        <v>693</v>
      </c>
      <c r="B928" s="77" t="s">
        <v>765</v>
      </c>
      <c r="C928" s="77" t="s">
        <v>239</v>
      </c>
      <c r="D928" s="77" t="s">
        <v>239</v>
      </c>
      <c r="E928" s="77" t="s">
        <v>300</v>
      </c>
      <c r="F928" s="77" t="s">
        <v>17</v>
      </c>
      <c r="G928" s="78">
        <v>236250</v>
      </c>
      <c r="H928" s="78"/>
    </row>
    <row r="929" spans="1:8" ht="47.25" outlineLevel="7">
      <c r="A929" s="76" t="s">
        <v>696</v>
      </c>
      <c r="B929" s="77" t="s">
        <v>765</v>
      </c>
      <c r="C929" s="77" t="s">
        <v>239</v>
      </c>
      <c r="D929" s="77" t="s">
        <v>239</v>
      </c>
      <c r="E929" s="77" t="s">
        <v>300</v>
      </c>
      <c r="F929" s="77" t="s">
        <v>70</v>
      </c>
      <c r="G929" s="78">
        <v>200000</v>
      </c>
      <c r="H929" s="78"/>
    </row>
    <row r="930" spans="1:8" ht="78.75" outlineLevel="5">
      <c r="A930" s="76" t="s">
        <v>1155</v>
      </c>
      <c r="B930" s="77" t="s">
        <v>765</v>
      </c>
      <c r="C930" s="77" t="s">
        <v>239</v>
      </c>
      <c r="D930" s="77" t="s">
        <v>239</v>
      </c>
      <c r="E930" s="77" t="s">
        <v>301</v>
      </c>
      <c r="F930" s="77" t="s">
        <v>1</v>
      </c>
      <c r="G930" s="78">
        <f>G931</f>
        <v>105000</v>
      </c>
      <c r="H930" s="78"/>
    </row>
    <row r="931" spans="1:8" ht="31.5" outlineLevel="6">
      <c r="A931" s="76" t="s">
        <v>441</v>
      </c>
      <c r="B931" s="77" t="s">
        <v>765</v>
      </c>
      <c r="C931" s="77" t="s">
        <v>239</v>
      </c>
      <c r="D931" s="77" t="s">
        <v>239</v>
      </c>
      <c r="E931" s="77" t="s">
        <v>302</v>
      </c>
      <c r="F931" s="77" t="s">
        <v>1</v>
      </c>
      <c r="G931" s="78">
        <f>G934+G933+G932</f>
        <v>105000</v>
      </c>
      <c r="H931" s="78"/>
    </row>
    <row r="932" spans="1:8" ht="94.5" outlineLevel="7">
      <c r="A932" s="76" t="s">
        <v>708</v>
      </c>
      <c r="B932" s="77" t="s">
        <v>765</v>
      </c>
      <c r="C932" s="77" t="s">
        <v>239</v>
      </c>
      <c r="D932" s="77" t="s">
        <v>239</v>
      </c>
      <c r="E932" s="77" t="s">
        <v>302</v>
      </c>
      <c r="F932" s="77" t="s">
        <v>10</v>
      </c>
      <c r="G932" s="78">
        <v>30000</v>
      </c>
      <c r="H932" s="78"/>
    </row>
    <row r="933" spans="1:8" ht="31.5" outlineLevel="7">
      <c r="A933" s="76" t="s">
        <v>693</v>
      </c>
      <c r="B933" s="77" t="s">
        <v>765</v>
      </c>
      <c r="C933" s="77" t="s">
        <v>239</v>
      </c>
      <c r="D933" s="77" t="s">
        <v>239</v>
      </c>
      <c r="E933" s="77" t="s">
        <v>302</v>
      </c>
      <c r="F933" s="77" t="s">
        <v>17</v>
      </c>
      <c r="G933" s="78">
        <v>30000</v>
      </c>
      <c r="H933" s="78"/>
    </row>
    <row r="934" spans="1:8" ht="47.25" outlineLevel="7">
      <c r="A934" s="76" t="s">
        <v>696</v>
      </c>
      <c r="B934" s="77" t="s">
        <v>765</v>
      </c>
      <c r="C934" s="77" t="s">
        <v>239</v>
      </c>
      <c r="D934" s="77" t="s">
        <v>239</v>
      </c>
      <c r="E934" s="77" t="s">
        <v>302</v>
      </c>
      <c r="F934" s="77" t="s">
        <v>70</v>
      </c>
      <c r="G934" s="78">
        <v>45000</v>
      </c>
      <c r="H934" s="78"/>
    </row>
    <row r="935" spans="1:8" ht="31.5" outlineLevel="5">
      <c r="A935" s="76" t="s">
        <v>1156</v>
      </c>
      <c r="B935" s="77" t="s">
        <v>765</v>
      </c>
      <c r="C935" s="77" t="s">
        <v>239</v>
      </c>
      <c r="D935" s="77" t="s">
        <v>239</v>
      </c>
      <c r="E935" s="77" t="s">
        <v>303</v>
      </c>
      <c r="F935" s="77" t="s">
        <v>1</v>
      </c>
      <c r="G935" s="78">
        <f>G936</f>
        <v>5000</v>
      </c>
      <c r="H935" s="78"/>
    </row>
    <row r="936" spans="1:8" ht="31.5" outlineLevel="6">
      <c r="A936" s="76" t="s">
        <v>441</v>
      </c>
      <c r="B936" s="77" t="s">
        <v>765</v>
      </c>
      <c r="C936" s="77" t="s">
        <v>239</v>
      </c>
      <c r="D936" s="77" t="s">
        <v>239</v>
      </c>
      <c r="E936" s="77" t="s">
        <v>304</v>
      </c>
      <c r="F936" s="77" t="s">
        <v>1</v>
      </c>
      <c r="G936" s="78">
        <f>G937</f>
        <v>5000</v>
      </c>
      <c r="H936" s="78"/>
    </row>
    <row r="937" spans="1:8" ht="31.5" outlineLevel="7">
      <c r="A937" s="76" t="s">
        <v>693</v>
      </c>
      <c r="B937" s="77" t="s">
        <v>765</v>
      </c>
      <c r="C937" s="77" t="s">
        <v>239</v>
      </c>
      <c r="D937" s="77" t="s">
        <v>239</v>
      </c>
      <c r="E937" s="77" t="s">
        <v>304</v>
      </c>
      <c r="F937" s="77" t="s">
        <v>17</v>
      </c>
      <c r="G937" s="78">
        <v>5000</v>
      </c>
      <c r="H937" s="78"/>
    </row>
    <row r="938" spans="1:8" ht="47.25" outlineLevel="5">
      <c r="A938" s="76" t="s">
        <v>1157</v>
      </c>
      <c r="B938" s="77" t="s">
        <v>765</v>
      </c>
      <c r="C938" s="77" t="s">
        <v>239</v>
      </c>
      <c r="D938" s="77" t="s">
        <v>239</v>
      </c>
      <c r="E938" s="77" t="s">
        <v>305</v>
      </c>
      <c r="F938" s="77" t="s">
        <v>1</v>
      </c>
      <c r="G938" s="78">
        <f>G939</f>
        <v>300000</v>
      </c>
      <c r="H938" s="78"/>
    </row>
    <row r="939" spans="1:8" ht="31.5" outlineLevel="6">
      <c r="A939" s="76" t="s">
        <v>469</v>
      </c>
      <c r="B939" s="77" t="s">
        <v>765</v>
      </c>
      <c r="C939" s="77" t="s">
        <v>239</v>
      </c>
      <c r="D939" s="77" t="s">
        <v>239</v>
      </c>
      <c r="E939" s="77" t="s">
        <v>306</v>
      </c>
      <c r="F939" s="77" t="s">
        <v>1</v>
      </c>
      <c r="G939" s="78">
        <f>G940</f>
        <v>300000</v>
      </c>
      <c r="H939" s="78"/>
    </row>
    <row r="940" spans="1:8" ht="31.5" outlineLevel="7">
      <c r="A940" s="76" t="s">
        <v>694</v>
      </c>
      <c r="B940" s="77" t="s">
        <v>765</v>
      </c>
      <c r="C940" s="77" t="s">
        <v>239</v>
      </c>
      <c r="D940" s="77" t="s">
        <v>239</v>
      </c>
      <c r="E940" s="77" t="s">
        <v>306</v>
      </c>
      <c r="F940" s="77" t="s">
        <v>47</v>
      </c>
      <c r="G940" s="78">
        <v>300000</v>
      </c>
      <c r="H940" s="78"/>
    </row>
    <row r="941" spans="1:9" s="75" customFormat="1" ht="31.5" outlineLevel="4">
      <c r="A941" s="72" t="s">
        <v>646</v>
      </c>
      <c r="B941" s="73" t="s">
        <v>765</v>
      </c>
      <c r="C941" s="73" t="s">
        <v>239</v>
      </c>
      <c r="D941" s="73" t="s">
        <v>239</v>
      </c>
      <c r="E941" s="73" t="s">
        <v>307</v>
      </c>
      <c r="F941" s="73" t="s">
        <v>1</v>
      </c>
      <c r="G941" s="74">
        <f>G942+G945+G948</f>
        <v>18989822</v>
      </c>
      <c r="H941" s="74"/>
      <c r="I941" s="206"/>
    </row>
    <row r="942" spans="1:8" ht="94.5" outlineLevel="5">
      <c r="A942" s="76" t="s">
        <v>1158</v>
      </c>
      <c r="B942" s="77" t="s">
        <v>765</v>
      </c>
      <c r="C942" s="77" t="s">
        <v>239</v>
      </c>
      <c r="D942" s="77" t="s">
        <v>239</v>
      </c>
      <c r="E942" s="77" t="s">
        <v>308</v>
      </c>
      <c r="F942" s="77" t="s">
        <v>1</v>
      </c>
      <c r="G942" s="78">
        <f>G943</f>
        <v>75972</v>
      </c>
      <c r="H942" s="78"/>
    </row>
    <row r="943" spans="1:8" ht="78.75" outlineLevel="6">
      <c r="A943" s="76" t="s">
        <v>443</v>
      </c>
      <c r="B943" s="77" t="s">
        <v>765</v>
      </c>
      <c r="C943" s="77" t="s">
        <v>239</v>
      </c>
      <c r="D943" s="77" t="s">
        <v>239</v>
      </c>
      <c r="E943" s="77" t="s">
        <v>309</v>
      </c>
      <c r="F943" s="77" t="s">
        <v>1</v>
      </c>
      <c r="G943" s="78">
        <f>G944</f>
        <v>75972</v>
      </c>
      <c r="H943" s="78"/>
    </row>
    <row r="944" spans="1:8" ht="47.25" outlineLevel="7">
      <c r="A944" s="76" t="s">
        <v>696</v>
      </c>
      <c r="B944" s="77" t="s">
        <v>765</v>
      </c>
      <c r="C944" s="77" t="s">
        <v>239</v>
      </c>
      <c r="D944" s="77" t="s">
        <v>239</v>
      </c>
      <c r="E944" s="77" t="s">
        <v>309</v>
      </c>
      <c r="F944" s="77" t="s">
        <v>70</v>
      </c>
      <c r="G944" s="78">
        <v>75972</v>
      </c>
      <c r="H944" s="78"/>
    </row>
    <row r="945" spans="1:8" ht="126" outlineLevel="5">
      <c r="A945" s="76" t="s">
        <v>1159</v>
      </c>
      <c r="B945" s="77" t="s">
        <v>765</v>
      </c>
      <c r="C945" s="77" t="s">
        <v>239</v>
      </c>
      <c r="D945" s="77" t="s">
        <v>239</v>
      </c>
      <c r="E945" s="77" t="s">
        <v>310</v>
      </c>
      <c r="F945" s="77" t="s">
        <v>1</v>
      </c>
      <c r="G945" s="78">
        <f>G946</f>
        <v>18708017</v>
      </c>
      <c r="H945" s="78"/>
    </row>
    <row r="946" spans="1:8" ht="78.75" outlineLevel="6">
      <c r="A946" s="76" t="s">
        <v>443</v>
      </c>
      <c r="B946" s="77" t="s">
        <v>765</v>
      </c>
      <c r="C946" s="77" t="s">
        <v>239</v>
      </c>
      <c r="D946" s="77" t="s">
        <v>239</v>
      </c>
      <c r="E946" s="77" t="s">
        <v>311</v>
      </c>
      <c r="F946" s="77" t="s">
        <v>1</v>
      </c>
      <c r="G946" s="78">
        <f>G947</f>
        <v>18708017</v>
      </c>
      <c r="H946" s="78"/>
    </row>
    <row r="947" spans="1:8" ht="47.25" outlineLevel="7">
      <c r="A947" s="76" t="s">
        <v>696</v>
      </c>
      <c r="B947" s="77" t="s">
        <v>765</v>
      </c>
      <c r="C947" s="77" t="s">
        <v>239</v>
      </c>
      <c r="D947" s="77" t="s">
        <v>239</v>
      </c>
      <c r="E947" s="77" t="s">
        <v>311</v>
      </c>
      <c r="F947" s="77" t="s">
        <v>70</v>
      </c>
      <c r="G947" s="78">
        <v>18708017</v>
      </c>
      <c r="H947" s="78"/>
    </row>
    <row r="948" spans="1:8" ht="31.5" outlineLevel="5">
      <c r="A948" s="76" t="s">
        <v>1128</v>
      </c>
      <c r="B948" s="77" t="s">
        <v>765</v>
      </c>
      <c r="C948" s="77" t="s">
        <v>239</v>
      </c>
      <c r="D948" s="77" t="s">
        <v>239</v>
      </c>
      <c r="E948" s="77" t="s">
        <v>312</v>
      </c>
      <c r="F948" s="77" t="s">
        <v>1</v>
      </c>
      <c r="G948" s="78">
        <f>G949</f>
        <v>205833</v>
      </c>
      <c r="H948" s="78"/>
    </row>
    <row r="949" spans="1:8" ht="78.75" outlineLevel="6">
      <c r="A949" s="76" t="s">
        <v>432</v>
      </c>
      <c r="B949" s="77" t="s">
        <v>765</v>
      </c>
      <c r="C949" s="77" t="s">
        <v>239</v>
      </c>
      <c r="D949" s="77" t="s">
        <v>239</v>
      </c>
      <c r="E949" s="77" t="s">
        <v>313</v>
      </c>
      <c r="F949" s="77" t="s">
        <v>1</v>
      </c>
      <c r="G949" s="78">
        <f>G950</f>
        <v>205833</v>
      </c>
      <c r="H949" s="78"/>
    </row>
    <row r="950" spans="1:8" ht="47.25" outlineLevel="7">
      <c r="A950" s="76" t="s">
        <v>696</v>
      </c>
      <c r="B950" s="77" t="s">
        <v>765</v>
      </c>
      <c r="C950" s="77" t="s">
        <v>239</v>
      </c>
      <c r="D950" s="77" t="s">
        <v>239</v>
      </c>
      <c r="E950" s="77" t="s">
        <v>313</v>
      </c>
      <c r="F950" s="77" t="s">
        <v>70</v>
      </c>
      <c r="G950" s="78">
        <v>205833</v>
      </c>
      <c r="H950" s="78"/>
    </row>
    <row r="951" spans="1:9" s="75" customFormat="1" ht="47.25" outlineLevel="3">
      <c r="A951" s="72" t="s">
        <v>659</v>
      </c>
      <c r="B951" s="73" t="s">
        <v>765</v>
      </c>
      <c r="C951" s="73" t="s">
        <v>239</v>
      </c>
      <c r="D951" s="73" t="s">
        <v>239</v>
      </c>
      <c r="E951" s="73" t="s">
        <v>90</v>
      </c>
      <c r="F951" s="73" t="s">
        <v>1</v>
      </c>
      <c r="G951" s="74">
        <f>G952</f>
        <v>194938</v>
      </c>
      <c r="H951" s="74"/>
      <c r="I951" s="206"/>
    </row>
    <row r="952" spans="1:9" s="75" customFormat="1" ht="47.25" outlineLevel="4">
      <c r="A952" s="72" t="s">
        <v>624</v>
      </c>
      <c r="B952" s="73" t="s">
        <v>765</v>
      </c>
      <c r="C952" s="73" t="s">
        <v>239</v>
      </c>
      <c r="D952" s="73" t="s">
        <v>239</v>
      </c>
      <c r="E952" s="73" t="s">
        <v>91</v>
      </c>
      <c r="F952" s="73" t="s">
        <v>1</v>
      </c>
      <c r="G952" s="74">
        <f>G953</f>
        <v>194938</v>
      </c>
      <c r="H952" s="74"/>
      <c r="I952" s="206"/>
    </row>
    <row r="953" spans="1:8" ht="31.5" outlineLevel="5">
      <c r="A953" s="76" t="s">
        <v>1074</v>
      </c>
      <c r="B953" s="77" t="s">
        <v>765</v>
      </c>
      <c r="C953" s="77" t="s">
        <v>239</v>
      </c>
      <c r="D953" s="77" t="s">
        <v>239</v>
      </c>
      <c r="E953" s="77" t="s">
        <v>100</v>
      </c>
      <c r="F953" s="77" t="s">
        <v>1</v>
      </c>
      <c r="G953" s="78">
        <f>G954</f>
        <v>194938</v>
      </c>
      <c r="H953" s="78"/>
    </row>
    <row r="954" spans="1:8" ht="31.5" outlineLevel="6">
      <c r="A954" s="76" t="s">
        <v>441</v>
      </c>
      <c r="B954" s="77" t="s">
        <v>765</v>
      </c>
      <c r="C954" s="77" t="s">
        <v>239</v>
      </c>
      <c r="D954" s="77" t="s">
        <v>239</v>
      </c>
      <c r="E954" s="77" t="s">
        <v>101</v>
      </c>
      <c r="F954" s="77" t="s">
        <v>1</v>
      </c>
      <c r="G954" s="78">
        <f>G955</f>
        <v>194938</v>
      </c>
      <c r="H954" s="78"/>
    </row>
    <row r="955" spans="1:8" ht="47.25" outlineLevel="7">
      <c r="A955" s="76" t="s">
        <v>696</v>
      </c>
      <c r="B955" s="77" t="s">
        <v>765</v>
      </c>
      <c r="C955" s="77" t="s">
        <v>239</v>
      </c>
      <c r="D955" s="77" t="s">
        <v>239</v>
      </c>
      <c r="E955" s="77" t="s">
        <v>101</v>
      </c>
      <c r="F955" s="77" t="s">
        <v>70</v>
      </c>
      <c r="G955" s="78">
        <v>194938</v>
      </c>
      <c r="H955" s="78"/>
    </row>
    <row r="956" spans="1:9" s="75" customFormat="1" ht="15.75" outlineLevel="1">
      <c r="A956" s="72" t="s">
        <v>702</v>
      </c>
      <c r="B956" s="73" t="s">
        <v>765</v>
      </c>
      <c r="C956" s="73" t="s">
        <v>165</v>
      </c>
      <c r="D956" s="73" t="s">
        <v>3</v>
      </c>
      <c r="E956" s="73" t="s">
        <v>4</v>
      </c>
      <c r="F956" s="73" t="s">
        <v>1</v>
      </c>
      <c r="G956" s="74">
        <f>G957</f>
        <v>216046964.69</v>
      </c>
      <c r="H956" s="74">
        <f>H957</f>
        <v>18077130.029999997</v>
      </c>
      <c r="I956" s="206"/>
    </row>
    <row r="957" spans="1:9" s="75" customFormat="1" ht="15.75" outlineLevel="2">
      <c r="A957" s="72" t="s">
        <v>685</v>
      </c>
      <c r="B957" s="73" t="s">
        <v>765</v>
      </c>
      <c r="C957" s="73" t="s">
        <v>165</v>
      </c>
      <c r="D957" s="73" t="s">
        <v>2</v>
      </c>
      <c r="E957" s="73" t="s">
        <v>4</v>
      </c>
      <c r="F957" s="73" t="s">
        <v>1</v>
      </c>
      <c r="G957" s="74">
        <f>G958+G964+G1031</f>
        <v>216046964.69</v>
      </c>
      <c r="H957" s="74">
        <f>H964</f>
        <v>18077130.029999997</v>
      </c>
      <c r="I957" s="206"/>
    </row>
    <row r="958" spans="1:9" s="75" customFormat="1" ht="63" outlineLevel="4">
      <c r="A958" s="72" t="s">
        <v>619</v>
      </c>
      <c r="B958" s="73" t="s">
        <v>765</v>
      </c>
      <c r="C958" s="73" t="s">
        <v>165</v>
      </c>
      <c r="D958" s="73" t="s">
        <v>2</v>
      </c>
      <c r="E958" s="73" t="s">
        <v>67</v>
      </c>
      <c r="F958" s="73" t="s">
        <v>1</v>
      </c>
      <c r="G958" s="74">
        <f>G959</f>
        <v>609776.79</v>
      </c>
      <c r="H958" s="74"/>
      <c r="I958" s="206"/>
    </row>
    <row r="959" spans="1:8" ht="63" outlineLevel="5">
      <c r="A959" s="76" t="s">
        <v>1193</v>
      </c>
      <c r="B959" s="77" t="s">
        <v>765</v>
      </c>
      <c r="C959" s="77" t="s">
        <v>165</v>
      </c>
      <c r="D959" s="77" t="s">
        <v>2</v>
      </c>
      <c r="E959" s="77" t="s">
        <v>332</v>
      </c>
      <c r="F959" s="77" t="s">
        <v>1</v>
      </c>
      <c r="G959" s="78">
        <f>G960+G962</f>
        <v>609776.79</v>
      </c>
      <c r="H959" s="78"/>
    </row>
    <row r="960" spans="1:8" ht="31.5" outlineLevel="6">
      <c r="A960" s="76" t="s">
        <v>456</v>
      </c>
      <c r="B960" s="77" t="s">
        <v>765</v>
      </c>
      <c r="C960" s="77" t="s">
        <v>165</v>
      </c>
      <c r="D960" s="77" t="s">
        <v>2</v>
      </c>
      <c r="E960" s="77" t="s">
        <v>333</v>
      </c>
      <c r="F960" s="77" t="s">
        <v>1</v>
      </c>
      <c r="G960" s="78">
        <f>G961</f>
        <v>491531.49</v>
      </c>
      <c r="H960" s="78"/>
    </row>
    <row r="961" spans="1:8" ht="47.25" outlineLevel="7">
      <c r="A961" s="76" t="s">
        <v>696</v>
      </c>
      <c r="B961" s="77" t="s">
        <v>765</v>
      </c>
      <c r="C961" s="77" t="s">
        <v>165</v>
      </c>
      <c r="D961" s="77" t="s">
        <v>2</v>
      </c>
      <c r="E961" s="77" t="s">
        <v>333</v>
      </c>
      <c r="F961" s="77" t="s">
        <v>70</v>
      </c>
      <c r="G961" s="78">
        <v>491531.49</v>
      </c>
      <c r="H961" s="78"/>
    </row>
    <row r="962" spans="1:8" ht="31.5" outlineLevel="6">
      <c r="A962" s="76" t="s">
        <v>441</v>
      </c>
      <c r="B962" s="77" t="s">
        <v>765</v>
      </c>
      <c r="C962" s="77" t="s">
        <v>165</v>
      </c>
      <c r="D962" s="77" t="s">
        <v>2</v>
      </c>
      <c r="E962" s="77" t="s">
        <v>334</v>
      </c>
      <c r="F962" s="77" t="s">
        <v>1</v>
      </c>
      <c r="G962" s="78">
        <f>G963</f>
        <v>118245.3</v>
      </c>
      <c r="H962" s="78"/>
    </row>
    <row r="963" spans="1:8" ht="47.25" outlineLevel="7">
      <c r="A963" s="76" t="s">
        <v>696</v>
      </c>
      <c r="B963" s="77" t="s">
        <v>765</v>
      </c>
      <c r="C963" s="77" t="s">
        <v>165</v>
      </c>
      <c r="D963" s="77" t="s">
        <v>2</v>
      </c>
      <c r="E963" s="77" t="s">
        <v>334</v>
      </c>
      <c r="F963" s="77" t="s">
        <v>70</v>
      </c>
      <c r="G963" s="78">
        <v>118245.3</v>
      </c>
      <c r="H963" s="78"/>
    </row>
    <row r="964" spans="1:9" s="75" customFormat="1" ht="63" outlineLevel="3">
      <c r="A964" s="72" t="s">
        <v>661</v>
      </c>
      <c r="B964" s="73" t="s">
        <v>765</v>
      </c>
      <c r="C964" s="73" t="s">
        <v>165</v>
      </c>
      <c r="D964" s="73" t="s">
        <v>2</v>
      </c>
      <c r="E964" s="73" t="s">
        <v>279</v>
      </c>
      <c r="F964" s="73" t="s">
        <v>1</v>
      </c>
      <c r="G964" s="74">
        <f>G965+G982+G1006+G1027</f>
        <v>214428984.9</v>
      </c>
      <c r="H964" s="74">
        <f>H965+H982+H1006+H1027</f>
        <v>18077130.029999997</v>
      </c>
      <c r="I964" s="206"/>
    </row>
    <row r="965" spans="1:9" s="75" customFormat="1" ht="47.25" outlineLevel="4">
      <c r="A965" s="72" t="s">
        <v>643</v>
      </c>
      <c r="B965" s="73" t="s">
        <v>765</v>
      </c>
      <c r="C965" s="73" t="s">
        <v>165</v>
      </c>
      <c r="D965" s="73" t="s">
        <v>2</v>
      </c>
      <c r="E965" s="73" t="s">
        <v>280</v>
      </c>
      <c r="F965" s="73" t="s">
        <v>1</v>
      </c>
      <c r="G965" s="74">
        <f>G966+G970+G979</f>
        <v>122855861.71000001</v>
      </c>
      <c r="H965" s="74">
        <f>H970</f>
        <v>11590400.52</v>
      </c>
      <c r="I965" s="206"/>
    </row>
    <row r="966" spans="1:8" ht="47.25" outlineLevel="5">
      <c r="A966" s="76" t="s">
        <v>1160</v>
      </c>
      <c r="B966" s="77" t="s">
        <v>765</v>
      </c>
      <c r="C966" s="77" t="s">
        <v>165</v>
      </c>
      <c r="D966" s="77" t="s">
        <v>2</v>
      </c>
      <c r="E966" s="77" t="s">
        <v>335</v>
      </c>
      <c r="F966" s="77" t="s">
        <v>1</v>
      </c>
      <c r="G966" s="78">
        <f>G967</f>
        <v>4923720</v>
      </c>
      <c r="H966" s="78"/>
    </row>
    <row r="967" spans="1:8" ht="31.5" outlineLevel="6">
      <c r="A967" s="76" t="s">
        <v>441</v>
      </c>
      <c r="B967" s="77" t="s">
        <v>765</v>
      </c>
      <c r="C967" s="77" t="s">
        <v>165</v>
      </c>
      <c r="D967" s="77" t="s">
        <v>2</v>
      </c>
      <c r="E967" s="77" t="s">
        <v>336</v>
      </c>
      <c r="F967" s="77" t="s">
        <v>1</v>
      </c>
      <c r="G967" s="78">
        <f>G968+G969</f>
        <v>4923720</v>
      </c>
      <c r="H967" s="78"/>
    </row>
    <row r="968" spans="1:8" ht="31.5" outlineLevel="7">
      <c r="A968" s="76" t="s">
        <v>693</v>
      </c>
      <c r="B968" s="77" t="s">
        <v>765</v>
      </c>
      <c r="C968" s="77" t="s">
        <v>165</v>
      </c>
      <c r="D968" s="77" t="s">
        <v>2</v>
      </c>
      <c r="E968" s="77" t="s">
        <v>336</v>
      </c>
      <c r="F968" s="77" t="s">
        <v>17</v>
      </c>
      <c r="G968" s="78">
        <f>2262720-750000</f>
        <v>1512720</v>
      </c>
      <c r="H968" s="78"/>
    </row>
    <row r="969" spans="1:8" ht="47.25" outlineLevel="7">
      <c r="A969" s="76" t="s">
        <v>696</v>
      </c>
      <c r="B969" s="77" t="s">
        <v>765</v>
      </c>
      <c r="C969" s="77" t="s">
        <v>165</v>
      </c>
      <c r="D969" s="77" t="s">
        <v>2</v>
      </c>
      <c r="E969" s="77" t="s">
        <v>336</v>
      </c>
      <c r="F969" s="77" t="s">
        <v>70</v>
      </c>
      <c r="G969" s="78">
        <f>2661000+750000</f>
        <v>3411000</v>
      </c>
      <c r="H969" s="78"/>
    </row>
    <row r="970" spans="1:8" ht="47.25" outlineLevel="5">
      <c r="A970" s="76" t="s">
        <v>1161</v>
      </c>
      <c r="B970" s="77" t="s">
        <v>765</v>
      </c>
      <c r="C970" s="77" t="s">
        <v>165</v>
      </c>
      <c r="D970" s="77" t="s">
        <v>2</v>
      </c>
      <c r="E970" s="77" t="s">
        <v>337</v>
      </c>
      <c r="F970" s="77" t="s">
        <v>1</v>
      </c>
      <c r="G970" s="78">
        <f>G971+G973+G975+G977</f>
        <v>116681059.71000001</v>
      </c>
      <c r="H970" s="78">
        <f>H971+H973+H975+H977</f>
        <v>11590400.52</v>
      </c>
    </row>
    <row r="971" spans="1:8" ht="78.75" outlineLevel="6">
      <c r="A971" s="76" t="s">
        <v>443</v>
      </c>
      <c r="B971" s="77" t="s">
        <v>765</v>
      </c>
      <c r="C971" s="77" t="s">
        <v>165</v>
      </c>
      <c r="D971" s="77" t="s">
        <v>2</v>
      </c>
      <c r="E971" s="77" t="s">
        <v>338</v>
      </c>
      <c r="F971" s="77" t="s">
        <v>1</v>
      </c>
      <c r="G971" s="78">
        <f>G972</f>
        <v>98897170.43</v>
      </c>
      <c r="H971" s="78"/>
    </row>
    <row r="972" spans="1:8" ht="47.25" outlineLevel="7">
      <c r="A972" s="76" t="s">
        <v>696</v>
      </c>
      <c r="B972" s="77" t="s">
        <v>765</v>
      </c>
      <c r="C972" s="77" t="s">
        <v>165</v>
      </c>
      <c r="D972" s="77" t="s">
        <v>2</v>
      </c>
      <c r="E972" s="77" t="s">
        <v>338</v>
      </c>
      <c r="F972" s="77" t="s">
        <v>70</v>
      </c>
      <c r="G972" s="78">
        <v>98897170.43</v>
      </c>
      <c r="H972" s="78"/>
    </row>
    <row r="973" spans="1:8" ht="78.75" outlineLevel="6">
      <c r="A973" s="76" t="s">
        <v>465</v>
      </c>
      <c r="B973" s="77" t="s">
        <v>765</v>
      </c>
      <c r="C973" s="77" t="s">
        <v>165</v>
      </c>
      <c r="D973" s="77" t="s">
        <v>2</v>
      </c>
      <c r="E973" s="77" t="s">
        <v>339</v>
      </c>
      <c r="F973" s="77" t="s">
        <v>1</v>
      </c>
      <c r="G973" s="78">
        <f>G974</f>
        <v>11540400.52</v>
      </c>
      <c r="H973" s="78">
        <f>H974</f>
        <v>11540400.52</v>
      </c>
    </row>
    <row r="974" spans="1:8" ht="47.25" outlineLevel="7">
      <c r="A974" s="76" t="s">
        <v>696</v>
      </c>
      <c r="B974" s="77" t="s">
        <v>765</v>
      </c>
      <c r="C974" s="77" t="s">
        <v>165</v>
      </c>
      <c r="D974" s="77" t="s">
        <v>2</v>
      </c>
      <c r="E974" s="77" t="s">
        <v>339</v>
      </c>
      <c r="F974" s="77" t="s">
        <v>70</v>
      </c>
      <c r="G974" s="78">
        <v>11540400.52</v>
      </c>
      <c r="H974" s="78">
        <f>G974</f>
        <v>11540400.52</v>
      </c>
    </row>
    <row r="975" spans="1:8" ht="78.75" outlineLevel="6">
      <c r="A975" s="76" t="s">
        <v>465</v>
      </c>
      <c r="B975" s="77" t="s">
        <v>765</v>
      </c>
      <c r="C975" s="77" t="s">
        <v>165</v>
      </c>
      <c r="D975" s="77" t="s">
        <v>2</v>
      </c>
      <c r="E975" s="77" t="s">
        <v>340</v>
      </c>
      <c r="F975" s="77" t="s">
        <v>1</v>
      </c>
      <c r="G975" s="78">
        <f>G976</f>
        <v>6193488.76</v>
      </c>
      <c r="H975" s="78"/>
    </row>
    <row r="976" spans="1:8" ht="47.25" outlineLevel="7">
      <c r="A976" s="76" t="s">
        <v>696</v>
      </c>
      <c r="B976" s="77" t="s">
        <v>765</v>
      </c>
      <c r="C976" s="77" t="s">
        <v>165</v>
      </c>
      <c r="D976" s="77" t="s">
        <v>2</v>
      </c>
      <c r="E976" s="77" t="s">
        <v>340</v>
      </c>
      <c r="F976" s="77" t="s">
        <v>70</v>
      </c>
      <c r="G976" s="78">
        <v>6193488.76</v>
      </c>
      <c r="H976" s="78"/>
    </row>
    <row r="977" spans="1:8" ht="70.5" customHeight="1" outlineLevel="7">
      <c r="A977" s="76" t="s">
        <v>1302</v>
      </c>
      <c r="B977" s="77" t="s">
        <v>765</v>
      </c>
      <c r="C977" s="77" t="s">
        <v>165</v>
      </c>
      <c r="D977" s="77" t="s">
        <v>2</v>
      </c>
      <c r="E977" s="77" t="s">
        <v>1303</v>
      </c>
      <c r="F977" s="77" t="s">
        <v>1</v>
      </c>
      <c r="G977" s="78">
        <f>G978</f>
        <v>50000</v>
      </c>
      <c r="H977" s="78">
        <f>H978</f>
        <v>50000</v>
      </c>
    </row>
    <row r="978" spans="1:8" ht="47.25" outlineLevel="7">
      <c r="A978" s="76" t="s">
        <v>696</v>
      </c>
      <c r="B978" s="77" t="s">
        <v>765</v>
      </c>
      <c r="C978" s="77" t="s">
        <v>165</v>
      </c>
      <c r="D978" s="77" t="s">
        <v>2</v>
      </c>
      <c r="E978" s="77" t="s">
        <v>1303</v>
      </c>
      <c r="F978" s="77" t="s">
        <v>70</v>
      </c>
      <c r="G978" s="78">
        <v>50000</v>
      </c>
      <c r="H978" s="78">
        <f>G978</f>
        <v>50000</v>
      </c>
    </row>
    <row r="979" spans="1:8" ht="31.5" outlineLevel="5">
      <c r="A979" s="76" t="s">
        <v>1128</v>
      </c>
      <c r="B979" s="77" t="s">
        <v>765</v>
      </c>
      <c r="C979" s="77" t="s">
        <v>165</v>
      </c>
      <c r="D979" s="77" t="s">
        <v>2</v>
      </c>
      <c r="E979" s="77" t="s">
        <v>341</v>
      </c>
      <c r="F979" s="77" t="s">
        <v>1</v>
      </c>
      <c r="G979" s="78">
        <f>G980</f>
        <v>1251082</v>
      </c>
      <c r="H979" s="78"/>
    </row>
    <row r="980" spans="1:8" ht="78.75" outlineLevel="6">
      <c r="A980" s="76" t="s">
        <v>432</v>
      </c>
      <c r="B980" s="77" t="s">
        <v>765</v>
      </c>
      <c r="C980" s="77" t="s">
        <v>165</v>
      </c>
      <c r="D980" s="77" t="s">
        <v>2</v>
      </c>
      <c r="E980" s="77" t="s">
        <v>342</v>
      </c>
      <c r="F980" s="77" t="s">
        <v>1</v>
      </c>
      <c r="G980" s="78">
        <f>G981</f>
        <v>1251082</v>
      </c>
      <c r="H980" s="78"/>
    </row>
    <row r="981" spans="1:8" ht="47.25" outlineLevel="7">
      <c r="A981" s="76" t="s">
        <v>696</v>
      </c>
      <c r="B981" s="77" t="s">
        <v>765</v>
      </c>
      <c r="C981" s="77" t="s">
        <v>165</v>
      </c>
      <c r="D981" s="77" t="s">
        <v>2</v>
      </c>
      <c r="E981" s="77" t="s">
        <v>342</v>
      </c>
      <c r="F981" s="77" t="s">
        <v>70</v>
      </c>
      <c r="G981" s="78">
        <v>1251082</v>
      </c>
      <c r="H981" s="78"/>
    </row>
    <row r="982" spans="1:9" s="75" customFormat="1" ht="31.5" outlineLevel="4">
      <c r="A982" s="217" t="s">
        <v>650</v>
      </c>
      <c r="B982" s="218" t="s">
        <v>765</v>
      </c>
      <c r="C982" s="218" t="s">
        <v>165</v>
      </c>
      <c r="D982" s="218" t="s">
        <v>2</v>
      </c>
      <c r="E982" s="218" t="s">
        <v>343</v>
      </c>
      <c r="F982" s="218" t="s">
        <v>1</v>
      </c>
      <c r="G982" s="219">
        <f>G983+G990+G993+G1000+G1003</f>
        <v>55045530.94</v>
      </c>
      <c r="H982" s="219">
        <f>H983+H990+H993+H1000+H1003</f>
        <v>5169783.29</v>
      </c>
      <c r="I982" s="206"/>
    </row>
    <row r="983" spans="1:8" ht="47.25" outlineLevel="5">
      <c r="A983" s="76" t="s">
        <v>1162</v>
      </c>
      <c r="B983" s="77" t="s">
        <v>765</v>
      </c>
      <c r="C983" s="77" t="s">
        <v>165</v>
      </c>
      <c r="D983" s="77" t="s">
        <v>2</v>
      </c>
      <c r="E983" s="77" t="s">
        <v>344</v>
      </c>
      <c r="F983" s="77" t="s">
        <v>1</v>
      </c>
      <c r="G983" s="78">
        <f>G984+G986+G988</f>
        <v>44562339.87</v>
      </c>
      <c r="H983" s="78">
        <f>H984+H986+H988</f>
        <v>5135772.78</v>
      </c>
    </row>
    <row r="984" spans="1:8" ht="78.75" outlineLevel="6">
      <c r="A984" s="76" t="s">
        <v>443</v>
      </c>
      <c r="B984" s="77" t="s">
        <v>765</v>
      </c>
      <c r="C984" s="77" t="s">
        <v>165</v>
      </c>
      <c r="D984" s="77" t="s">
        <v>2</v>
      </c>
      <c r="E984" s="77" t="s">
        <v>345</v>
      </c>
      <c r="F984" s="77" t="s">
        <v>1</v>
      </c>
      <c r="G984" s="78">
        <f>G985</f>
        <v>37937563.69</v>
      </c>
      <c r="H984" s="78"/>
    </row>
    <row r="985" spans="1:8" ht="47.25" outlineLevel="7">
      <c r="A985" s="76" t="s">
        <v>696</v>
      </c>
      <c r="B985" s="77" t="s">
        <v>765</v>
      </c>
      <c r="C985" s="77" t="s">
        <v>165</v>
      </c>
      <c r="D985" s="77" t="s">
        <v>2</v>
      </c>
      <c r="E985" s="77" t="s">
        <v>345</v>
      </c>
      <c r="F985" s="77" t="s">
        <v>70</v>
      </c>
      <c r="G985" s="78">
        <v>37937563.69</v>
      </c>
      <c r="H985" s="78"/>
    </row>
    <row r="986" spans="1:8" ht="78.75" outlineLevel="6">
      <c r="A986" s="76" t="s">
        <v>465</v>
      </c>
      <c r="B986" s="77" t="s">
        <v>765</v>
      </c>
      <c r="C986" s="77" t="s">
        <v>165</v>
      </c>
      <c r="D986" s="77" t="s">
        <v>2</v>
      </c>
      <c r="E986" s="77" t="s">
        <v>346</v>
      </c>
      <c r="F986" s="77" t="s">
        <v>1</v>
      </c>
      <c r="G986" s="78">
        <f>G987</f>
        <v>5135772.78</v>
      </c>
      <c r="H986" s="78">
        <f>H987</f>
        <v>5135772.78</v>
      </c>
    </row>
    <row r="987" spans="1:8" ht="47.25" outlineLevel="7">
      <c r="A987" s="76" t="s">
        <v>696</v>
      </c>
      <c r="B987" s="77" t="s">
        <v>765</v>
      </c>
      <c r="C987" s="77" t="s">
        <v>165</v>
      </c>
      <c r="D987" s="77" t="s">
        <v>2</v>
      </c>
      <c r="E987" s="77" t="s">
        <v>346</v>
      </c>
      <c r="F987" s="77" t="s">
        <v>70</v>
      </c>
      <c r="G987" s="78">
        <v>5135772.78</v>
      </c>
      <c r="H987" s="78">
        <f>G987</f>
        <v>5135772.78</v>
      </c>
    </row>
    <row r="988" spans="1:8" ht="78.75" outlineLevel="6">
      <c r="A988" s="76" t="s">
        <v>465</v>
      </c>
      <c r="B988" s="77" t="s">
        <v>765</v>
      </c>
      <c r="C988" s="77" t="s">
        <v>165</v>
      </c>
      <c r="D988" s="77" t="s">
        <v>2</v>
      </c>
      <c r="E988" s="77" t="s">
        <v>347</v>
      </c>
      <c r="F988" s="77" t="s">
        <v>1</v>
      </c>
      <c r="G988" s="78">
        <f>G989</f>
        <v>1489003.4</v>
      </c>
      <c r="H988" s="78"/>
    </row>
    <row r="989" spans="1:8" ht="47.25" outlineLevel="7">
      <c r="A989" s="76" t="s">
        <v>696</v>
      </c>
      <c r="B989" s="77" t="s">
        <v>765</v>
      </c>
      <c r="C989" s="77" t="s">
        <v>165</v>
      </c>
      <c r="D989" s="77" t="s">
        <v>2</v>
      </c>
      <c r="E989" s="77" t="s">
        <v>347</v>
      </c>
      <c r="F989" s="77" t="s">
        <v>70</v>
      </c>
      <c r="G989" s="78">
        <v>1489003.4</v>
      </c>
      <c r="H989" s="78"/>
    </row>
    <row r="990" spans="1:8" ht="31.5" outlineLevel="5">
      <c r="A990" s="76" t="s">
        <v>1128</v>
      </c>
      <c r="B990" s="77" t="s">
        <v>765</v>
      </c>
      <c r="C990" s="77" t="s">
        <v>165</v>
      </c>
      <c r="D990" s="77" t="s">
        <v>2</v>
      </c>
      <c r="E990" s="77" t="s">
        <v>348</v>
      </c>
      <c r="F990" s="77" t="s">
        <v>1</v>
      </c>
      <c r="G990" s="78">
        <f>G991</f>
        <v>949162</v>
      </c>
      <c r="H990" s="78"/>
    </row>
    <row r="991" spans="1:8" ht="78.75" outlineLevel="6">
      <c r="A991" s="76" t="s">
        <v>432</v>
      </c>
      <c r="B991" s="77" t="s">
        <v>765</v>
      </c>
      <c r="C991" s="77" t="s">
        <v>165</v>
      </c>
      <c r="D991" s="77" t="s">
        <v>2</v>
      </c>
      <c r="E991" s="77" t="s">
        <v>349</v>
      </c>
      <c r="F991" s="77" t="s">
        <v>1</v>
      </c>
      <c r="G991" s="78">
        <f>G992</f>
        <v>949162</v>
      </c>
      <c r="H991" s="78"/>
    </row>
    <row r="992" spans="1:8" ht="47.25" outlineLevel="7">
      <c r="A992" s="76" t="s">
        <v>696</v>
      </c>
      <c r="B992" s="77" t="s">
        <v>765</v>
      </c>
      <c r="C992" s="77" t="s">
        <v>165</v>
      </c>
      <c r="D992" s="77" t="s">
        <v>2</v>
      </c>
      <c r="E992" s="77" t="s">
        <v>349</v>
      </c>
      <c r="F992" s="77" t="s">
        <v>70</v>
      </c>
      <c r="G992" s="78">
        <v>949162</v>
      </c>
      <c r="H992" s="78"/>
    </row>
    <row r="993" spans="1:8" ht="47.25" outlineLevel="5">
      <c r="A993" s="76" t="s">
        <v>1163</v>
      </c>
      <c r="B993" s="77" t="s">
        <v>765</v>
      </c>
      <c r="C993" s="77" t="s">
        <v>165</v>
      </c>
      <c r="D993" s="77" t="s">
        <v>2</v>
      </c>
      <c r="E993" s="77" t="s">
        <v>350</v>
      </c>
      <c r="F993" s="77" t="s">
        <v>1</v>
      </c>
      <c r="G993" s="78">
        <f>G994+G996+G998</f>
        <v>5282577.76</v>
      </c>
      <c r="H993" s="78">
        <f>H994+H996+H998</f>
        <v>34010.51</v>
      </c>
    </row>
    <row r="994" spans="1:8" ht="78.75" outlineLevel="6">
      <c r="A994" s="76" t="s">
        <v>443</v>
      </c>
      <c r="B994" s="77" t="s">
        <v>765</v>
      </c>
      <c r="C994" s="77" t="s">
        <v>165</v>
      </c>
      <c r="D994" s="77" t="s">
        <v>2</v>
      </c>
      <c r="E994" s="77" t="s">
        <v>351</v>
      </c>
      <c r="F994" s="77" t="s">
        <v>1</v>
      </c>
      <c r="G994" s="78">
        <f>G995</f>
        <v>4804616.25</v>
      </c>
      <c r="H994" s="78"/>
    </row>
    <row r="995" spans="1:8" ht="47.25" outlineLevel="7">
      <c r="A995" s="76" t="s">
        <v>696</v>
      </c>
      <c r="B995" s="77" t="s">
        <v>765</v>
      </c>
      <c r="C995" s="77" t="s">
        <v>165</v>
      </c>
      <c r="D995" s="77" t="s">
        <v>2</v>
      </c>
      <c r="E995" s="77" t="s">
        <v>351</v>
      </c>
      <c r="F995" s="77" t="s">
        <v>70</v>
      </c>
      <c r="G995" s="78">
        <f>5248567.25-443951</f>
        <v>4804616.25</v>
      </c>
      <c r="H995" s="78"/>
    </row>
    <row r="996" spans="1:8" ht="78.75" outlineLevel="7">
      <c r="A996" s="76" t="s">
        <v>1256</v>
      </c>
      <c r="B996" s="77" t="s">
        <v>765</v>
      </c>
      <c r="C996" s="77" t="s">
        <v>165</v>
      </c>
      <c r="D996" s="77" t="s">
        <v>2</v>
      </c>
      <c r="E996" s="77" t="s">
        <v>1257</v>
      </c>
      <c r="F996" s="77" t="s">
        <v>1</v>
      </c>
      <c r="G996" s="78">
        <f>G997</f>
        <v>443951</v>
      </c>
      <c r="H996" s="78"/>
    </row>
    <row r="997" spans="1:8" ht="47.25" outlineLevel="7">
      <c r="A997" s="76" t="s">
        <v>696</v>
      </c>
      <c r="B997" s="77" t="s">
        <v>765</v>
      </c>
      <c r="C997" s="77" t="s">
        <v>165</v>
      </c>
      <c r="D997" s="77" t="s">
        <v>2</v>
      </c>
      <c r="E997" s="77" t="s">
        <v>1257</v>
      </c>
      <c r="F997" s="77" t="s">
        <v>70</v>
      </c>
      <c r="G997" s="78">
        <f>443951</f>
        <v>443951</v>
      </c>
      <c r="H997" s="78"/>
    </row>
    <row r="998" spans="1:8" ht="78.75" outlineLevel="7">
      <c r="A998" s="76" t="s">
        <v>1256</v>
      </c>
      <c r="B998" s="77" t="s">
        <v>765</v>
      </c>
      <c r="C998" s="77" t="s">
        <v>165</v>
      </c>
      <c r="D998" s="77" t="s">
        <v>2</v>
      </c>
      <c r="E998" s="77" t="s">
        <v>1258</v>
      </c>
      <c r="F998" s="77" t="s">
        <v>1</v>
      </c>
      <c r="G998" s="78">
        <f>G999</f>
        <v>34010.51</v>
      </c>
      <c r="H998" s="78">
        <f>H999</f>
        <v>34010.51</v>
      </c>
    </row>
    <row r="999" spans="1:8" ht="47.25" outlineLevel="7">
      <c r="A999" s="76" t="s">
        <v>696</v>
      </c>
      <c r="B999" s="77" t="s">
        <v>765</v>
      </c>
      <c r="C999" s="77" t="s">
        <v>165</v>
      </c>
      <c r="D999" s="77" t="s">
        <v>2</v>
      </c>
      <c r="E999" s="77" t="s">
        <v>1258</v>
      </c>
      <c r="F999" s="77" t="s">
        <v>70</v>
      </c>
      <c r="G999" s="78">
        <f>18025.34+15985.17</f>
        <v>34010.51</v>
      </c>
      <c r="H999" s="78">
        <f>G999</f>
        <v>34010.51</v>
      </c>
    </row>
    <row r="1000" spans="1:8" ht="31.5" outlineLevel="5">
      <c r="A1000" s="76" t="s">
        <v>1164</v>
      </c>
      <c r="B1000" s="77" t="s">
        <v>765</v>
      </c>
      <c r="C1000" s="77" t="s">
        <v>165</v>
      </c>
      <c r="D1000" s="77" t="s">
        <v>2</v>
      </c>
      <c r="E1000" s="77" t="s">
        <v>352</v>
      </c>
      <c r="F1000" s="77" t="s">
        <v>1</v>
      </c>
      <c r="G1000" s="78">
        <f>G1001</f>
        <v>4142944.31</v>
      </c>
      <c r="H1000" s="78"/>
    </row>
    <row r="1001" spans="1:8" ht="78.75" outlineLevel="6">
      <c r="A1001" s="76" t="s">
        <v>443</v>
      </c>
      <c r="B1001" s="77" t="s">
        <v>765</v>
      </c>
      <c r="C1001" s="77" t="s">
        <v>165</v>
      </c>
      <c r="D1001" s="77" t="s">
        <v>2</v>
      </c>
      <c r="E1001" s="77" t="s">
        <v>353</v>
      </c>
      <c r="F1001" s="77" t="s">
        <v>1</v>
      </c>
      <c r="G1001" s="78">
        <f>G1002</f>
        <v>4142944.31</v>
      </c>
      <c r="H1001" s="78"/>
    </row>
    <row r="1002" spans="1:8" ht="47.25" outlineLevel="7">
      <c r="A1002" s="76" t="s">
        <v>696</v>
      </c>
      <c r="B1002" s="77" t="s">
        <v>765</v>
      </c>
      <c r="C1002" s="77" t="s">
        <v>165</v>
      </c>
      <c r="D1002" s="77" t="s">
        <v>2</v>
      </c>
      <c r="E1002" s="77" t="s">
        <v>353</v>
      </c>
      <c r="F1002" s="77" t="s">
        <v>70</v>
      </c>
      <c r="G1002" s="78">
        <v>4142944.31</v>
      </c>
      <c r="H1002" s="78"/>
    </row>
    <row r="1003" spans="1:8" ht="31.5" outlineLevel="5">
      <c r="A1003" s="76" t="s">
        <v>1165</v>
      </c>
      <c r="B1003" s="77" t="s">
        <v>765</v>
      </c>
      <c r="C1003" s="77" t="s">
        <v>165</v>
      </c>
      <c r="D1003" s="77" t="s">
        <v>2</v>
      </c>
      <c r="E1003" s="77" t="s">
        <v>354</v>
      </c>
      <c r="F1003" s="77" t="s">
        <v>1</v>
      </c>
      <c r="G1003" s="78">
        <f>G1004</f>
        <v>108507</v>
      </c>
      <c r="H1003" s="78"/>
    </row>
    <row r="1004" spans="1:8" ht="78.75" outlineLevel="6">
      <c r="A1004" s="76" t="s">
        <v>443</v>
      </c>
      <c r="B1004" s="77" t="s">
        <v>765</v>
      </c>
      <c r="C1004" s="77" t="s">
        <v>165</v>
      </c>
      <c r="D1004" s="77" t="s">
        <v>2</v>
      </c>
      <c r="E1004" s="77" t="s">
        <v>355</v>
      </c>
      <c r="F1004" s="77" t="s">
        <v>1</v>
      </c>
      <c r="G1004" s="78">
        <f>G1005</f>
        <v>108507</v>
      </c>
      <c r="H1004" s="78"/>
    </row>
    <row r="1005" spans="1:8" ht="47.25" outlineLevel="7">
      <c r="A1005" s="76" t="s">
        <v>696</v>
      </c>
      <c r="B1005" s="77" t="s">
        <v>765</v>
      </c>
      <c r="C1005" s="77" t="s">
        <v>165</v>
      </c>
      <c r="D1005" s="77" t="s">
        <v>2</v>
      </c>
      <c r="E1005" s="77" t="s">
        <v>355</v>
      </c>
      <c r="F1005" s="77" t="s">
        <v>70</v>
      </c>
      <c r="G1005" s="78">
        <v>108507</v>
      </c>
      <c r="H1005" s="78"/>
    </row>
    <row r="1006" spans="1:9" s="75" customFormat="1" ht="31.5" outlineLevel="4">
      <c r="A1006" s="72" t="s">
        <v>651</v>
      </c>
      <c r="B1006" s="73" t="s">
        <v>765</v>
      </c>
      <c r="C1006" s="73" t="s">
        <v>165</v>
      </c>
      <c r="D1006" s="73" t="s">
        <v>2</v>
      </c>
      <c r="E1006" s="73" t="s">
        <v>356</v>
      </c>
      <c r="F1006" s="73" t="s">
        <v>1</v>
      </c>
      <c r="G1006" s="74">
        <f>G1007+G1010+G1017+G1024</f>
        <v>15626673.809999999</v>
      </c>
      <c r="H1006" s="74">
        <f>H1010+H1017</f>
        <v>1316946.22</v>
      </c>
      <c r="I1006" s="206"/>
    </row>
    <row r="1007" spans="1:8" ht="47.25" outlineLevel="5">
      <c r="A1007" s="76" t="s">
        <v>1166</v>
      </c>
      <c r="B1007" s="77" t="s">
        <v>765</v>
      </c>
      <c r="C1007" s="77" t="s">
        <v>165</v>
      </c>
      <c r="D1007" s="77" t="s">
        <v>2</v>
      </c>
      <c r="E1007" s="77" t="s">
        <v>357</v>
      </c>
      <c r="F1007" s="77" t="s">
        <v>1</v>
      </c>
      <c r="G1007" s="78">
        <f>G1008</f>
        <v>403464</v>
      </c>
      <c r="H1007" s="78"/>
    </row>
    <row r="1008" spans="1:8" ht="78.75" outlineLevel="6">
      <c r="A1008" s="76" t="s">
        <v>443</v>
      </c>
      <c r="B1008" s="77" t="s">
        <v>765</v>
      </c>
      <c r="C1008" s="77" t="s">
        <v>165</v>
      </c>
      <c r="D1008" s="77" t="s">
        <v>2</v>
      </c>
      <c r="E1008" s="77" t="s">
        <v>358</v>
      </c>
      <c r="F1008" s="77" t="s">
        <v>1</v>
      </c>
      <c r="G1008" s="78">
        <f>G1009</f>
        <v>403464</v>
      </c>
      <c r="H1008" s="78"/>
    </row>
    <row r="1009" spans="1:8" ht="47.25" outlineLevel="7">
      <c r="A1009" s="76" t="s">
        <v>696</v>
      </c>
      <c r="B1009" s="77" t="s">
        <v>765</v>
      </c>
      <c r="C1009" s="77" t="s">
        <v>165</v>
      </c>
      <c r="D1009" s="77" t="s">
        <v>2</v>
      </c>
      <c r="E1009" s="77" t="s">
        <v>358</v>
      </c>
      <c r="F1009" s="77" t="s">
        <v>70</v>
      </c>
      <c r="G1009" s="78">
        <v>403464</v>
      </c>
      <c r="H1009" s="78"/>
    </row>
    <row r="1010" spans="1:8" ht="31.5" outlineLevel="5">
      <c r="A1010" s="76" t="s">
        <v>1167</v>
      </c>
      <c r="B1010" s="77" t="s">
        <v>765</v>
      </c>
      <c r="C1010" s="77" t="s">
        <v>165</v>
      </c>
      <c r="D1010" s="77" t="s">
        <v>2</v>
      </c>
      <c r="E1010" s="77" t="s">
        <v>359</v>
      </c>
      <c r="F1010" s="77" t="s">
        <v>1</v>
      </c>
      <c r="G1010" s="78">
        <f>G1011+G1013+G1015</f>
        <v>10653011.069999998</v>
      </c>
      <c r="H1010" s="78">
        <f>H1013</f>
        <v>940214.59</v>
      </c>
    </row>
    <row r="1011" spans="1:8" ht="78.75" outlineLevel="6">
      <c r="A1011" s="76" t="s">
        <v>443</v>
      </c>
      <c r="B1011" s="77" t="s">
        <v>765</v>
      </c>
      <c r="C1011" s="77" t="s">
        <v>165</v>
      </c>
      <c r="D1011" s="77" t="s">
        <v>2</v>
      </c>
      <c r="E1011" s="77" t="s">
        <v>360</v>
      </c>
      <c r="F1011" s="77" t="s">
        <v>1</v>
      </c>
      <c r="G1011" s="78">
        <f>G1012</f>
        <v>9438953.53</v>
      </c>
      <c r="H1011" s="78"/>
    </row>
    <row r="1012" spans="1:8" ht="47.25" outlineLevel="7">
      <c r="A1012" s="76" t="s">
        <v>696</v>
      </c>
      <c r="B1012" s="77" t="s">
        <v>765</v>
      </c>
      <c r="C1012" s="77" t="s">
        <v>165</v>
      </c>
      <c r="D1012" s="77" t="s">
        <v>2</v>
      </c>
      <c r="E1012" s="77" t="s">
        <v>360</v>
      </c>
      <c r="F1012" s="77" t="s">
        <v>70</v>
      </c>
      <c r="G1012" s="78">
        <v>9438953.53</v>
      </c>
      <c r="H1012" s="78"/>
    </row>
    <row r="1013" spans="1:8" ht="78.75" outlineLevel="6">
      <c r="A1013" s="76" t="s">
        <v>465</v>
      </c>
      <c r="B1013" s="77" t="s">
        <v>765</v>
      </c>
      <c r="C1013" s="77" t="s">
        <v>165</v>
      </c>
      <c r="D1013" s="77" t="s">
        <v>2</v>
      </c>
      <c r="E1013" s="77" t="s">
        <v>361</v>
      </c>
      <c r="F1013" s="77" t="s">
        <v>1</v>
      </c>
      <c r="G1013" s="78">
        <f>G1014</f>
        <v>940214.59</v>
      </c>
      <c r="H1013" s="78">
        <f>H1014</f>
        <v>940214.59</v>
      </c>
    </row>
    <row r="1014" spans="1:8" ht="47.25" outlineLevel="7">
      <c r="A1014" s="76" t="s">
        <v>696</v>
      </c>
      <c r="B1014" s="77" t="s">
        <v>765</v>
      </c>
      <c r="C1014" s="77" t="s">
        <v>165</v>
      </c>
      <c r="D1014" s="77" t="s">
        <v>2</v>
      </c>
      <c r="E1014" s="77" t="s">
        <v>361</v>
      </c>
      <c r="F1014" s="77" t="s">
        <v>70</v>
      </c>
      <c r="G1014" s="78">
        <v>940214.59</v>
      </c>
      <c r="H1014" s="78">
        <f>G1014</f>
        <v>940214.59</v>
      </c>
    </row>
    <row r="1015" spans="1:8" ht="78.75" outlineLevel="6">
      <c r="A1015" s="76" t="s">
        <v>465</v>
      </c>
      <c r="B1015" s="77" t="s">
        <v>765</v>
      </c>
      <c r="C1015" s="77" t="s">
        <v>165</v>
      </c>
      <c r="D1015" s="77" t="s">
        <v>2</v>
      </c>
      <c r="E1015" s="77" t="s">
        <v>362</v>
      </c>
      <c r="F1015" s="77" t="s">
        <v>1</v>
      </c>
      <c r="G1015" s="78">
        <f>G1016</f>
        <v>273842.95</v>
      </c>
      <c r="H1015" s="78"/>
    </row>
    <row r="1016" spans="1:8" ht="47.25" outlineLevel="7">
      <c r="A1016" s="76" t="s">
        <v>696</v>
      </c>
      <c r="B1016" s="77" t="s">
        <v>765</v>
      </c>
      <c r="C1016" s="77" t="s">
        <v>165</v>
      </c>
      <c r="D1016" s="77" t="s">
        <v>2</v>
      </c>
      <c r="E1016" s="77" t="s">
        <v>362</v>
      </c>
      <c r="F1016" s="77" t="s">
        <v>70</v>
      </c>
      <c r="G1016" s="78">
        <v>273842.95</v>
      </c>
      <c r="H1016" s="78"/>
    </row>
    <row r="1017" spans="1:8" ht="31.5" outlineLevel="5">
      <c r="A1017" s="76" t="s">
        <v>1168</v>
      </c>
      <c r="B1017" s="77" t="s">
        <v>765</v>
      </c>
      <c r="C1017" s="77" t="s">
        <v>165</v>
      </c>
      <c r="D1017" s="77" t="s">
        <v>2</v>
      </c>
      <c r="E1017" s="77" t="s">
        <v>363</v>
      </c>
      <c r="F1017" s="77" t="s">
        <v>1</v>
      </c>
      <c r="G1017" s="78">
        <f>G1018+G1020+G1022</f>
        <v>4226312.74</v>
      </c>
      <c r="H1017" s="78">
        <f>H1020</f>
        <v>376731.63</v>
      </c>
    </row>
    <row r="1018" spans="1:8" ht="78.75" outlineLevel="6">
      <c r="A1018" s="76" t="s">
        <v>443</v>
      </c>
      <c r="B1018" s="77" t="s">
        <v>765</v>
      </c>
      <c r="C1018" s="77" t="s">
        <v>165</v>
      </c>
      <c r="D1018" s="77" t="s">
        <v>2</v>
      </c>
      <c r="E1018" s="77" t="s">
        <v>364</v>
      </c>
      <c r="F1018" s="77" t="s">
        <v>1</v>
      </c>
      <c r="G1018" s="78">
        <f>G1019</f>
        <v>3757081.49</v>
      </c>
      <c r="H1018" s="78"/>
    </row>
    <row r="1019" spans="1:8" ht="47.25" outlineLevel="7">
      <c r="A1019" s="76" t="s">
        <v>696</v>
      </c>
      <c r="B1019" s="77" t="s">
        <v>765</v>
      </c>
      <c r="C1019" s="77" t="s">
        <v>165</v>
      </c>
      <c r="D1019" s="77" t="s">
        <v>2</v>
      </c>
      <c r="E1019" s="77" t="s">
        <v>364</v>
      </c>
      <c r="F1019" s="77" t="s">
        <v>70</v>
      </c>
      <c r="G1019" s="78">
        <v>3757081.49</v>
      </c>
      <c r="H1019" s="78"/>
    </row>
    <row r="1020" spans="1:8" ht="78.75" outlineLevel="6">
      <c r="A1020" s="76" t="s">
        <v>465</v>
      </c>
      <c r="B1020" s="77" t="s">
        <v>765</v>
      </c>
      <c r="C1020" s="77" t="s">
        <v>165</v>
      </c>
      <c r="D1020" s="77" t="s">
        <v>2</v>
      </c>
      <c r="E1020" s="77" t="s">
        <v>365</v>
      </c>
      <c r="F1020" s="77" t="s">
        <v>1</v>
      </c>
      <c r="G1020" s="78">
        <f>G1021</f>
        <v>376731.63</v>
      </c>
      <c r="H1020" s="78">
        <f>H1021</f>
        <v>376731.63</v>
      </c>
    </row>
    <row r="1021" spans="1:8" ht="47.25" outlineLevel="7">
      <c r="A1021" s="76" t="s">
        <v>696</v>
      </c>
      <c r="B1021" s="77" t="s">
        <v>765</v>
      </c>
      <c r="C1021" s="77" t="s">
        <v>165</v>
      </c>
      <c r="D1021" s="77" t="s">
        <v>2</v>
      </c>
      <c r="E1021" s="77" t="s">
        <v>365</v>
      </c>
      <c r="F1021" s="77" t="s">
        <v>70</v>
      </c>
      <c r="G1021" s="78">
        <v>376731.63</v>
      </c>
      <c r="H1021" s="78">
        <f>G1021</f>
        <v>376731.63</v>
      </c>
    </row>
    <row r="1022" spans="1:8" ht="78.75" outlineLevel="6">
      <c r="A1022" s="76" t="s">
        <v>465</v>
      </c>
      <c r="B1022" s="77" t="s">
        <v>765</v>
      </c>
      <c r="C1022" s="77" t="s">
        <v>165</v>
      </c>
      <c r="D1022" s="77" t="s">
        <v>2</v>
      </c>
      <c r="E1022" s="77" t="s">
        <v>366</v>
      </c>
      <c r="F1022" s="77" t="s">
        <v>1</v>
      </c>
      <c r="G1022" s="78">
        <f>G1023</f>
        <v>92499.62</v>
      </c>
      <c r="H1022" s="78"/>
    </row>
    <row r="1023" spans="1:8" ht="47.25" outlineLevel="7">
      <c r="A1023" s="76" t="s">
        <v>696</v>
      </c>
      <c r="B1023" s="77" t="s">
        <v>765</v>
      </c>
      <c r="C1023" s="77" t="s">
        <v>165</v>
      </c>
      <c r="D1023" s="77" t="s">
        <v>2</v>
      </c>
      <c r="E1023" s="77" t="s">
        <v>366</v>
      </c>
      <c r="F1023" s="77" t="s">
        <v>70</v>
      </c>
      <c r="G1023" s="78">
        <v>92499.62</v>
      </c>
      <c r="H1023" s="78"/>
    </row>
    <row r="1024" spans="1:8" ht="31.5" outlineLevel="5">
      <c r="A1024" s="76" t="s">
        <v>1128</v>
      </c>
      <c r="B1024" s="77" t="s">
        <v>765</v>
      </c>
      <c r="C1024" s="77" t="s">
        <v>165</v>
      </c>
      <c r="D1024" s="77" t="s">
        <v>2</v>
      </c>
      <c r="E1024" s="77" t="s">
        <v>367</v>
      </c>
      <c r="F1024" s="77" t="s">
        <v>1</v>
      </c>
      <c r="G1024" s="78">
        <f>G1025</f>
        <v>343886</v>
      </c>
      <c r="H1024" s="78"/>
    </row>
    <row r="1025" spans="1:8" ht="78.75" outlineLevel="6">
      <c r="A1025" s="76" t="s">
        <v>432</v>
      </c>
      <c r="B1025" s="77" t="s">
        <v>765</v>
      </c>
      <c r="C1025" s="77" t="s">
        <v>165</v>
      </c>
      <c r="D1025" s="77" t="s">
        <v>2</v>
      </c>
      <c r="E1025" s="77" t="s">
        <v>368</v>
      </c>
      <c r="F1025" s="77" t="s">
        <v>1</v>
      </c>
      <c r="G1025" s="78">
        <f>G1026</f>
        <v>343886</v>
      </c>
      <c r="H1025" s="78"/>
    </row>
    <row r="1026" spans="1:8" ht="47.25" outlineLevel="7">
      <c r="A1026" s="76" t="s">
        <v>696</v>
      </c>
      <c r="B1026" s="77" t="s">
        <v>765</v>
      </c>
      <c r="C1026" s="77" t="s">
        <v>165</v>
      </c>
      <c r="D1026" s="77" t="s">
        <v>2</v>
      </c>
      <c r="E1026" s="77" t="s">
        <v>368</v>
      </c>
      <c r="F1026" s="77" t="s">
        <v>70</v>
      </c>
      <c r="G1026" s="78">
        <v>343886</v>
      </c>
      <c r="H1026" s="78"/>
    </row>
    <row r="1027" spans="1:9" s="75" customFormat="1" ht="47.25" outlineLevel="4">
      <c r="A1027" s="72" t="s">
        <v>652</v>
      </c>
      <c r="B1027" s="73" t="s">
        <v>765</v>
      </c>
      <c r="C1027" s="73" t="s">
        <v>165</v>
      </c>
      <c r="D1027" s="73" t="s">
        <v>2</v>
      </c>
      <c r="E1027" s="73" t="s">
        <v>369</v>
      </c>
      <c r="F1027" s="73" t="s">
        <v>1</v>
      </c>
      <c r="G1027" s="74">
        <f>G1028</f>
        <v>20900918.44</v>
      </c>
      <c r="H1027" s="74"/>
      <c r="I1027" s="206"/>
    </row>
    <row r="1028" spans="1:8" ht="63" outlineLevel="5">
      <c r="A1028" s="76" t="s">
        <v>1169</v>
      </c>
      <c r="B1028" s="77" t="s">
        <v>765</v>
      </c>
      <c r="C1028" s="77" t="s">
        <v>165</v>
      </c>
      <c r="D1028" s="77" t="s">
        <v>2</v>
      </c>
      <c r="E1028" s="77" t="s">
        <v>370</v>
      </c>
      <c r="F1028" s="77" t="s">
        <v>1</v>
      </c>
      <c r="G1028" s="78">
        <f>G1029</f>
        <v>20900918.44</v>
      </c>
      <c r="H1028" s="78"/>
    </row>
    <row r="1029" spans="1:8" ht="31.5" outlineLevel="6">
      <c r="A1029" s="76" t="s">
        <v>456</v>
      </c>
      <c r="B1029" s="77" t="s">
        <v>765</v>
      </c>
      <c r="C1029" s="77" t="s">
        <v>165</v>
      </c>
      <c r="D1029" s="77" t="s">
        <v>2</v>
      </c>
      <c r="E1029" s="77" t="s">
        <v>371</v>
      </c>
      <c r="F1029" s="77" t="s">
        <v>1</v>
      </c>
      <c r="G1029" s="78">
        <f>G1030</f>
        <v>20900918.44</v>
      </c>
      <c r="H1029" s="78"/>
    </row>
    <row r="1030" spans="1:8" ht="47.25" outlineLevel="7">
      <c r="A1030" s="76" t="s">
        <v>696</v>
      </c>
      <c r="B1030" s="77" t="s">
        <v>765</v>
      </c>
      <c r="C1030" s="77" t="s">
        <v>165</v>
      </c>
      <c r="D1030" s="77" t="s">
        <v>2</v>
      </c>
      <c r="E1030" s="77" t="s">
        <v>371</v>
      </c>
      <c r="F1030" s="77" t="s">
        <v>70</v>
      </c>
      <c r="G1030" s="78">
        <f>1598226.92+16922443.08+2380248.44</f>
        <v>20900918.44</v>
      </c>
      <c r="H1030" s="78"/>
    </row>
    <row r="1031" spans="1:9" s="75" customFormat="1" ht="47.25" outlineLevel="3">
      <c r="A1031" s="72" t="s">
        <v>659</v>
      </c>
      <c r="B1031" s="73" t="s">
        <v>765</v>
      </c>
      <c r="C1031" s="73" t="s">
        <v>165</v>
      </c>
      <c r="D1031" s="73" t="s">
        <v>2</v>
      </c>
      <c r="E1031" s="73" t="s">
        <v>90</v>
      </c>
      <c r="F1031" s="73" t="s">
        <v>1</v>
      </c>
      <c r="G1031" s="74">
        <f>G1032</f>
        <v>1008203</v>
      </c>
      <c r="H1031" s="74"/>
      <c r="I1031" s="206"/>
    </row>
    <row r="1032" spans="1:9" s="75" customFormat="1" ht="47.25" outlineLevel="4">
      <c r="A1032" s="72" t="s">
        <v>624</v>
      </c>
      <c r="B1032" s="73" t="s">
        <v>765</v>
      </c>
      <c r="C1032" s="73" t="s">
        <v>165</v>
      </c>
      <c r="D1032" s="73" t="s">
        <v>2</v>
      </c>
      <c r="E1032" s="73" t="s">
        <v>91</v>
      </c>
      <c r="F1032" s="73" t="s">
        <v>1</v>
      </c>
      <c r="G1032" s="74">
        <f>G1033</f>
        <v>1008203</v>
      </c>
      <c r="H1032" s="74"/>
      <c r="I1032" s="206"/>
    </row>
    <row r="1033" spans="1:8" ht="31.5" outlineLevel="5">
      <c r="A1033" s="76" t="s">
        <v>1074</v>
      </c>
      <c r="B1033" s="77" t="s">
        <v>765</v>
      </c>
      <c r="C1033" s="77" t="s">
        <v>165</v>
      </c>
      <c r="D1033" s="77" t="s">
        <v>2</v>
      </c>
      <c r="E1033" s="77" t="s">
        <v>100</v>
      </c>
      <c r="F1033" s="77" t="s">
        <v>1</v>
      </c>
      <c r="G1033" s="78">
        <f>G1034</f>
        <v>1008203</v>
      </c>
      <c r="H1033" s="78"/>
    </row>
    <row r="1034" spans="1:8" ht="31.5" outlineLevel="6">
      <c r="A1034" s="76" t="s">
        <v>441</v>
      </c>
      <c r="B1034" s="77" t="s">
        <v>765</v>
      </c>
      <c r="C1034" s="77" t="s">
        <v>165</v>
      </c>
      <c r="D1034" s="77" t="s">
        <v>2</v>
      </c>
      <c r="E1034" s="77" t="s">
        <v>101</v>
      </c>
      <c r="F1034" s="77" t="s">
        <v>1</v>
      </c>
      <c r="G1034" s="78">
        <f>G1035</f>
        <v>1008203</v>
      </c>
      <c r="H1034" s="78"/>
    </row>
    <row r="1035" spans="1:8" ht="47.25" outlineLevel="7">
      <c r="A1035" s="76" t="s">
        <v>696</v>
      </c>
      <c r="B1035" s="77" t="s">
        <v>765</v>
      </c>
      <c r="C1035" s="77" t="s">
        <v>165</v>
      </c>
      <c r="D1035" s="77" t="s">
        <v>2</v>
      </c>
      <c r="E1035" s="77" t="s">
        <v>101</v>
      </c>
      <c r="F1035" s="77" t="s">
        <v>70</v>
      </c>
      <c r="G1035" s="78">
        <v>1008203</v>
      </c>
      <c r="H1035" s="78"/>
    </row>
    <row r="1036" spans="1:9" s="75" customFormat="1" ht="15.75" outlineLevel="1">
      <c r="A1036" s="72" t="s">
        <v>703</v>
      </c>
      <c r="B1036" s="73" t="s">
        <v>765</v>
      </c>
      <c r="C1036" s="73" t="s">
        <v>187</v>
      </c>
      <c r="D1036" s="73" t="s">
        <v>3</v>
      </c>
      <c r="E1036" s="73" t="s">
        <v>4</v>
      </c>
      <c r="F1036" s="73" t="s">
        <v>1</v>
      </c>
      <c r="G1036" s="74">
        <f>G1037</f>
        <v>616164</v>
      </c>
      <c r="H1036" s="74">
        <f>H1037</f>
        <v>616164</v>
      </c>
      <c r="I1036" s="206"/>
    </row>
    <row r="1037" spans="1:9" s="75" customFormat="1" ht="15.75" outlineLevel="2">
      <c r="A1037" s="72" t="s">
        <v>687</v>
      </c>
      <c r="B1037" s="73" t="s">
        <v>765</v>
      </c>
      <c r="C1037" s="73" t="s">
        <v>187</v>
      </c>
      <c r="D1037" s="73" t="s">
        <v>14</v>
      </c>
      <c r="E1037" s="73" t="s">
        <v>4</v>
      </c>
      <c r="F1037" s="73" t="s">
        <v>1</v>
      </c>
      <c r="G1037" s="74">
        <f>G1038</f>
        <v>616164</v>
      </c>
      <c r="H1037" s="74">
        <f>H1038</f>
        <v>616164</v>
      </c>
      <c r="I1037" s="206"/>
    </row>
    <row r="1038" spans="1:9" s="75" customFormat="1" ht="63" outlineLevel="3">
      <c r="A1038" s="72" t="s">
        <v>661</v>
      </c>
      <c r="B1038" s="73" t="s">
        <v>765</v>
      </c>
      <c r="C1038" s="73" t="s">
        <v>187</v>
      </c>
      <c r="D1038" s="73" t="s">
        <v>14</v>
      </c>
      <c r="E1038" s="73" t="s">
        <v>279</v>
      </c>
      <c r="F1038" s="73" t="s">
        <v>1</v>
      </c>
      <c r="G1038" s="74">
        <f>G1039+G1045</f>
        <v>616164</v>
      </c>
      <c r="H1038" s="74">
        <f>H1039+H1045</f>
        <v>616164</v>
      </c>
      <c r="I1038" s="206"/>
    </row>
    <row r="1039" spans="1:9" s="75" customFormat="1" ht="47.25" outlineLevel="4">
      <c r="A1039" s="72" t="s">
        <v>643</v>
      </c>
      <c r="B1039" s="73" t="s">
        <v>765</v>
      </c>
      <c r="C1039" s="73" t="s">
        <v>187</v>
      </c>
      <c r="D1039" s="73" t="s">
        <v>14</v>
      </c>
      <c r="E1039" s="73" t="s">
        <v>280</v>
      </c>
      <c r="F1039" s="73" t="s">
        <v>1</v>
      </c>
      <c r="G1039" s="74">
        <v>493936</v>
      </c>
      <c r="H1039" s="74">
        <f>H1040</f>
        <v>493936</v>
      </c>
      <c r="I1039" s="206"/>
    </row>
    <row r="1040" spans="1:8" ht="31.5" outlineLevel="5">
      <c r="A1040" s="76" t="s">
        <v>1128</v>
      </c>
      <c r="B1040" s="77" t="s">
        <v>765</v>
      </c>
      <c r="C1040" s="77" t="s">
        <v>187</v>
      </c>
      <c r="D1040" s="77" t="s">
        <v>14</v>
      </c>
      <c r="E1040" s="77" t="s">
        <v>341</v>
      </c>
      <c r="F1040" s="77" t="s">
        <v>1</v>
      </c>
      <c r="G1040" s="78">
        <f>G1041+G1043</f>
        <v>493936</v>
      </c>
      <c r="H1040" s="78">
        <f>H1041+H1043</f>
        <v>493936</v>
      </c>
    </row>
    <row r="1041" spans="1:8" ht="94.5" outlineLevel="6">
      <c r="A1041" s="76" t="s">
        <v>473</v>
      </c>
      <c r="B1041" s="77" t="s">
        <v>765</v>
      </c>
      <c r="C1041" s="77" t="s">
        <v>187</v>
      </c>
      <c r="D1041" s="77" t="s">
        <v>14</v>
      </c>
      <c r="E1041" s="77" t="s">
        <v>384</v>
      </c>
      <c r="F1041" s="77" t="s">
        <v>1</v>
      </c>
      <c r="G1041" s="78">
        <f>G1042</f>
        <v>5536</v>
      </c>
      <c r="H1041" s="78">
        <f>H1042</f>
        <v>5536</v>
      </c>
    </row>
    <row r="1042" spans="1:8" ht="47.25" outlineLevel="7">
      <c r="A1042" s="76" t="s">
        <v>696</v>
      </c>
      <c r="B1042" s="77" t="s">
        <v>765</v>
      </c>
      <c r="C1042" s="77" t="s">
        <v>187</v>
      </c>
      <c r="D1042" s="77" t="s">
        <v>14</v>
      </c>
      <c r="E1042" s="77" t="s">
        <v>384</v>
      </c>
      <c r="F1042" s="77" t="s">
        <v>70</v>
      </c>
      <c r="G1042" s="78">
        <v>5536</v>
      </c>
      <c r="H1042" s="78">
        <f>G1042</f>
        <v>5536</v>
      </c>
    </row>
    <row r="1043" spans="1:8" ht="94.5" outlineLevel="6">
      <c r="A1043" s="76" t="s">
        <v>474</v>
      </c>
      <c r="B1043" s="77" t="s">
        <v>765</v>
      </c>
      <c r="C1043" s="77" t="s">
        <v>187</v>
      </c>
      <c r="D1043" s="77" t="s">
        <v>14</v>
      </c>
      <c r="E1043" s="77" t="s">
        <v>385</v>
      </c>
      <c r="F1043" s="77" t="s">
        <v>1</v>
      </c>
      <c r="G1043" s="78">
        <f>G1044</f>
        <v>488400</v>
      </c>
      <c r="H1043" s="78">
        <f>H1044</f>
        <v>488400</v>
      </c>
    </row>
    <row r="1044" spans="1:8" ht="47.25" outlineLevel="7">
      <c r="A1044" s="76" t="s">
        <v>696</v>
      </c>
      <c r="B1044" s="77" t="s">
        <v>765</v>
      </c>
      <c r="C1044" s="77" t="s">
        <v>187</v>
      </c>
      <c r="D1044" s="77" t="s">
        <v>14</v>
      </c>
      <c r="E1044" s="77" t="s">
        <v>385</v>
      </c>
      <c r="F1044" s="77" t="s">
        <v>70</v>
      </c>
      <c r="G1044" s="78">
        <v>488400</v>
      </c>
      <c r="H1044" s="78">
        <f>G1044</f>
        <v>488400</v>
      </c>
    </row>
    <row r="1045" spans="1:9" s="75" customFormat="1" ht="31.5" outlineLevel="4">
      <c r="A1045" s="72" t="s">
        <v>650</v>
      </c>
      <c r="B1045" s="73" t="s">
        <v>765</v>
      </c>
      <c r="C1045" s="73" t="s">
        <v>187</v>
      </c>
      <c r="D1045" s="73" t="s">
        <v>14</v>
      </c>
      <c r="E1045" s="73" t="s">
        <v>343</v>
      </c>
      <c r="F1045" s="73" t="s">
        <v>1</v>
      </c>
      <c r="G1045" s="74">
        <f>G1046</f>
        <v>122228</v>
      </c>
      <c r="H1045" s="74">
        <f>H1046</f>
        <v>122228</v>
      </c>
      <c r="I1045" s="206"/>
    </row>
    <row r="1046" spans="1:8" ht="31.5" outlineLevel="5">
      <c r="A1046" s="76" t="s">
        <v>1128</v>
      </c>
      <c r="B1046" s="77" t="s">
        <v>765</v>
      </c>
      <c r="C1046" s="77" t="s">
        <v>187</v>
      </c>
      <c r="D1046" s="77" t="s">
        <v>14</v>
      </c>
      <c r="E1046" s="77" t="s">
        <v>348</v>
      </c>
      <c r="F1046" s="77" t="s">
        <v>1</v>
      </c>
      <c r="G1046" s="78">
        <f>G1047+G1049</f>
        <v>122228</v>
      </c>
      <c r="H1046" s="78">
        <f>H1047+H1049</f>
        <v>122228</v>
      </c>
    </row>
    <row r="1047" spans="1:8" ht="94.5" outlineLevel="6">
      <c r="A1047" s="76" t="s">
        <v>473</v>
      </c>
      <c r="B1047" s="77" t="s">
        <v>765</v>
      </c>
      <c r="C1047" s="77" t="s">
        <v>187</v>
      </c>
      <c r="D1047" s="77" t="s">
        <v>14</v>
      </c>
      <c r="E1047" s="77" t="s">
        <v>386</v>
      </c>
      <c r="F1047" s="77" t="s">
        <v>1</v>
      </c>
      <c r="G1047" s="78">
        <f>G1048</f>
        <v>2228</v>
      </c>
      <c r="H1047" s="78">
        <f>H1048</f>
        <v>2228</v>
      </c>
    </row>
    <row r="1048" spans="1:8" ht="47.25" outlineLevel="7">
      <c r="A1048" s="76" t="s">
        <v>696</v>
      </c>
      <c r="B1048" s="77" t="s">
        <v>765</v>
      </c>
      <c r="C1048" s="77" t="s">
        <v>187</v>
      </c>
      <c r="D1048" s="77" t="s">
        <v>14</v>
      </c>
      <c r="E1048" s="77" t="s">
        <v>386</v>
      </c>
      <c r="F1048" s="77" t="s">
        <v>70</v>
      </c>
      <c r="G1048" s="78">
        <v>2228</v>
      </c>
      <c r="H1048" s="78">
        <f>G1048</f>
        <v>2228</v>
      </c>
    </row>
    <row r="1049" spans="1:8" ht="94.5" outlineLevel="6">
      <c r="A1049" s="76" t="s">
        <v>474</v>
      </c>
      <c r="B1049" s="77" t="s">
        <v>765</v>
      </c>
      <c r="C1049" s="77" t="s">
        <v>187</v>
      </c>
      <c r="D1049" s="77" t="s">
        <v>14</v>
      </c>
      <c r="E1049" s="77" t="s">
        <v>387</v>
      </c>
      <c r="F1049" s="77" t="s">
        <v>1</v>
      </c>
      <c r="G1049" s="78">
        <f>G1050</f>
        <v>120000</v>
      </c>
      <c r="H1049" s="78">
        <f>H1050</f>
        <v>120000</v>
      </c>
    </row>
    <row r="1050" spans="1:8" ht="47.25" outlineLevel="7">
      <c r="A1050" s="76" t="s">
        <v>696</v>
      </c>
      <c r="B1050" s="77" t="s">
        <v>765</v>
      </c>
      <c r="C1050" s="77" t="s">
        <v>187</v>
      </c>
      <c r="D1050" s="77" t="s">
        <v>14</v>
      </c>
      <c r="E1050" s="77" t="s">
        <v>387</v>
      </c>
      <c r="F1050" s="77" t="s">
        <v>70</v>
      </c>
      <c r="G1050" s="78">
        <v>120000</v>
      </c>
      <c r="H1050" s="78">
        <f>G1050</f>
        <v>120000</v>
      </c>
    </row>
    <row r="1051" spans="1:9" s="75" customFormat="1" ht="15.75" outlineLevel="1">
      <c r="A1051" s="72" t="s">
        <v>704</v>
      </c>
      <c r="B1051" s="73" t="s">
        <v>765</v>
      </c>
      <c r="C1051" s="73" t="s">
        <v>63</v>
      </c>
      <c r="D1051" s="73" t="s">
        <v>3</v>
      </c>
      <c r="E1051" s="73" t="s">
        <v>4</v>
      </c>
      <c r="F1051" s="73" t="s">
        <v>1</v>
      </c>
      <c r="G1051" s="74">
        <f>G1052</f>
        <v>1400050</v>
      </c>
      <c r="H1051" s="74"/>
      <c r="I1051" s="206"/>
    </row>
    <row r="1052" spans="1:9" s="75" customFormat="1" ht="31.5" outlineLevel="2">
      <c r="A1052" s="72" t="s">
        <v>689</v>
      </c>
      <c r="B1052" s="73" t="s">
        <v>765</v>
      </c>
      <c r="C1052" s="73" t="s">
        <v>63</v>
      </c>
      <c r="D1052" s="73" t="s">
        <v>2</v>
      </c>
      <c r="E1052" s="73" t="s">
        <v>4</v>
      </c>
      <c r="F1052" s="73" t="s">
        <v>1</v>
      </c>
      <c r="G1052" s="74">
        <f>G1053</f>
        <v>1400050</v>
      </c>
      <c r="H1052" s="74"/>
      <c r="I1052" s="206"/>
    </row>
    <row r="1053" spans="1:9" s="75" customFormat="1" ht="63" outlineLevel="3">
      <c r="A1053" s="72" t="s">
        <v>662</v>
      </c>
      <c r="B1053" s="73" t="s">
        <v>765</v>
      </c>
      <c r="C1053" s="73" t="s">
        <v>63</v>
      </c>
      <c r="D1053" s="73" t="s">
        <v>2</v>
      </c>
      <c r="E1053" s="73" t="s">
        <v>297</v>
      </c>
      <c r="F1053" s="73" t="s">
        <v>1</v>
      </c>
      <c r="G1053" s="74">
        <f>G1054</f>
        <v>1400050</v>
      </c>
      <c r="H1053" s="74"/>
      <c r="I1053" s="206"/>
    </row>
    <row r="1054" spans="1:9" s="75" customFormat="1" ht="31.5" outlineLevel="4">
      <c r="A1054" s="72" t="s">
        <v>653</v>
      </c>
      <c r="B1054" s="73" t="s">
        <v>765</v>
      </c>
      <c r="C1054" s="73" t="s">
        <v>63</v>
      </c>
      <c r="D1054" s="73" t="s">
        <v>2</v>
      </c>
      <c r="E1054" s="73" t="s">
        <v>402</v>
      </c>
      <c r="F1054" s="73" t="s">
        <v>1</v>
      </c>
      <c r="G1054" s="74">
        <f>G1055+G1059</f>
        <v>1400050</v>
      </c>
      <c r="H1054" s="74"/>
      <c r="I1054" s="206"/>
    </row>
    <row r="1055" spans="1:8" ht="47.25" outlineLevel="5">
      <c r="A1055" s="76" t="s">
        <v>1170</v>
      </c>
      <c r="B1055" s="77" t="s">
        <v>765</v>
      </c>
      <c r="C1055" s="77" t="s">
        <v>63</v>
      </c>
      <c r="D1055" s="77" t="s">
        <v>2</v>
      </c>
      <c r="E1055" s="77" t="s">
        <v>403</v>
      </c>
      <c r="F1055" s="77" t="s">
        <v>1</v>
      </c>
      <c r="G1055" s="78">
        <f>G1056</f>
        <v>893050</v>
      </c>
      <c r="H1055" s="78"/>
    </row>
    <row r="1056" spans="1:8" ht="31.5" outlineLevel="6">
      <c r="A1056" s="76" t="s">
        <v>441</v>
      </c>
      <c r="B1056" s="77" t="s">
        <v>765</v>
      </c>
      <c r="C1056" s="77" t="s">
        <v>63</v>
      </c>
      <c r="D1056" s="77" t="s">
        <v>2</v>
      </c>
      <c r="E1056" s="77" t="s">
        <v>404</v>
      </c>
      <c r="F1056" s="77" t="s">
        <v>1</v>
      </c>
      <c r="G1056" s="78">
        <f>G1058+G1057</f>
        <v>893050</v>
      </c>
      <c r="H1056" s="78"/>
    </row>
    <row r="1057" spans="1:8" ht="94.5" outlineLevel="7">
      <c r="A1057" s="76" t="s">
        <v>708</v>
      </c>
      <c r="B1057" s="77" t="s">
        <v>765</v>
      </c>
      <c r="C1057" s="77" t="s">
        <v>63</v>
      </c>
      <c r="D1057" s="77" t="s">
        <v>2</v>
      </c>
      <c r="E1057" s="77" t="s">
        <v>404</v>
      </c>
      <c r="F1057" s="77" t="s">
        <v>10</v>
      </c>
      <c r="G1057" s="78">
        <f>300000-60000</f>
        <v>240000</v>
      </c>
      <c r="H1057" s="78"/>
    </row>
    <row r="1058" spans="1:8" ht="31.5" outlineLevel="7">
      <c r="A1058" s="76" t="s">
        <v>693</v>
      </c>
      <c r="B1058" s="77" t="s">
        <v>765</v>
      </c>
      <c r="C1058" s="77" t="s">
        <v>63</v>
      </c>
      <c r="D1058" s="77" t="s">
        <v>2</v>
      </c>
      <c r="E1058" s="77" t="s">
        <v>404</v>
      </c>
      <c r="F1058" s="77" t="s">
        <v>17</v>
      </c>
      <c r="G1058" s="78">
        <f>580050+60000+13000</f>
        <v>653050</v>
      </c>
      <c r="H1058" s="78"/>
    </row>
    <row r="1059" spans="1:8" ht="78.75" outlineLevel="5">
      <c r="A1059" s="76" t="s">
        <v>1171</v>
      </c>
      <c r="B1059" s="77" t="s">
        <v>765</v>
      </c>
      <c r="C1059" s="77" t="s">
        <v>63</v>
      </c>
      <c r="D1059" s="77" t="s">
        <v>2</v>
      </c>
      <c r="E1059" s="77" t="s">
        <v>405</v>
      </c>
      <c r="F1059" s="77" t="s">
        <v>1</v>
      </c>
      <c r="G1059" s="78">
        <f>G1060</f>
        <v>507000</v>
      </c>
      <c r="H1059" s="78"/>
    </row>
    <row r="1060" spans="1:8" ht="31.5" outlineLevel="6">
      <c r="A1060" s="76" t="s">
        <v>441</v>
      </c>
      <c r="B1060" s="77" t="s">
        <v>765</v>
      </c>
      <c r="C1060" s="77" t="s">
        <v>63</v>
      </c>
      <c r="D1060" s="77" t="s">
        <v>2</v>
      </c>
      <c r="E1060" s="77" t="s">
        <v>406</v>
      </c>
      <c r="F1060" s="77" t="s">
        <v>1</v>
      </c>
      <c r="G1060" s="78">
        <f>G1062+G1061</f>
        <v>507000</v>
      </c>
      <c r="H1060" s="78"/>
    </row>
    <row r="1061" spans="1:8" ht="94.5" outlineLevel="7">
      <c r="A1061" s="76" t="s">
        <v>708</v>
      </c>
      <c r="B1061" s="77" t="s">
        <v>765</v>
      </c>
      <c r="C1061" s="77" t="s">
        <v>63</v>
      </c>
      <c r="D1061" s="77" t="s">
        <v>2</v>
      </c>
      <c r="E1061" s="77" t="s">
        <v>406</v>
      </c>
      <c r="F1061" s="77" t="s">
        <v>10</v>
      </c>
      <c r="G1061" s="78">
        <v>240000</v>
      </c>
      <c r="H1061" s="78"/>
    </row>
    <row r="1062" spans="1:8" ht="31.5" outlineLevel="7">
      <c r="A1062" s="76" t="s">
        <v>693</v>
      </c>
      <c r="B1062" s="77" t="s">
        <v>765</v>
      </c>
      <c r="C1062" s="77" t="s">
        <v>63</v>
      </c>
      <c r="D1062" s="77" t="s">
        <v>2</v>
      </c>
      <c r="E1062" s="77" t="s">
        <v>406</v>
      </c>
      <c r="F1062" s="77" t="s">
        <v>17</v>
      </c>
      <c r="G1062" s="78">
        <f>280000-13000</f>
        <v>267000</v>
      </c>
      <c r="H1062" s="78"/>
    </row>
    <row r="1063" spans="1:9" s="75" customFormat="1" ht="47.25">
      <c r="A1063" s="72" t="s">
        <v>1172</v>
      </c>
      <c r="B1063" s="73" t="s">
        <v>773</v>
      </c>
      <c r="C1063" s="73" t="s">
        <v>3</v>
      </c>
      <c r="D1063" s="73" t="s">
        <v>3</v>
      </c>
      <c r="E1063" s="73" t="s">
        <v>4</v>
      </c>
      <c r="F1063" s="73" t="s">
        <v>1</v>
      </c>
      <c r="G1063" s="74">
        <f>G1064</f>
        <v>4651156.33</v>
      </c>
      <c r="H1063" s="74"/>
      <c r="I1063" s="206"/>
    </row>
    <row r="1064" spans="1:9" s="75" customFormat="1" ht="15.75" outlineLevel="1">
      <c r="A1064" s="72" t="s">
        <v>692</v>
      </c>
      <c r="B1064" s="73" t="s">
        <v>773</v>
      </c>
      <c r="C1064" s="73" t="s">
        <v>2</v>
      </c>
      <c r="D1064" s="73" t="s">
        <v>3</v>
      </c>
      <c r="E1064" s="73" t="s">
        <v>4</v>
      </c>
      <c r="F1064" s="73" t="s">
        <v>1</v>
      </c>
      <c r="G1064" s="74">
        <f>G1065+G1084</f>
        <v>4651156.33</v>
      </c>
      <c r="H1064" s="74"/>
      <c r="I1064" s="206"/>
    </row>
    <row r="1065" spans="1:9" s="75" customFormat="1" ht="63" outlineLevel="2">
      <c r="A1065" s="72" t="s">
        <v>666</v>
      </c>
      <c r="B1065" s="73" t="s">
        <v>773</v>
      </c>
      <c r="C1065" s="73" t="s">
        <v>2</v>
      </c>
      <c r="D1065" s="73" t="s">
        <v>60</v>
      </c>
      <c r="E1065" s="73" t="s">
        <v>4</v>
      </c>
      <c r="F1065" s="73" t="s">
        <v>1</v>
      </c>
      <c r="G1065" s="74">
        <f>G1066+G1075</f>
        <v>4494609.83</v>
      </c>
      <c r="H1065" s="74"/>
      <c r="I1065" s="206"/>
    </row>
    <row r="1066" spans="1:9" s="75" customFormat="1" ht="63" outlineLevel="3">
      <c r="A1066" s="72" t="s">
        <v>656</v>
      </c>
      <c r="B1066" s="73" t="s">
        <v>773</v>
      </c>
      <c r="C1066" s="73" t="s">
        <v>2</v>
      </c>
      <c r="D1066" s="73" t="s">
        <v>60</v>
      </c>
      <c r="E1066" s="73" t="s">
        <v>6</v>
      </c>
      <c r="F1066" s="73" t="s">
        <v>1</v>
      </c>
      <c r="G1066" s="74">
        <f>G1067</f>
        <v>73514</v>
      </c>
      <c r="H1066" s="74"/>
      <c r="I1066" s="206"/>
    </row>
    <row r="1067" spans="1:9" s="75" customFormat="1" ht="31.5" outlineLevel="4">
      <c r="A1067" s="72" t="s">
        <v>613</v>
      </c>
      <c r="B1067" s="73" t="s">
        <v>773</v>
      </c>
      <c r="C1067" s="73" t="s">
        <v>2</v>
      </c>
      <c r="D1067" s="73" t="s">
        <v>60</v>
      </c>
      <c r="E1067" s="73" t="s">
        <v>7</v>
      </c>
      <c r="F1067" s="73" t="s">
        <v>1</v>
      </c>
      <c r="G1067" s="74">
        <f>G1068+G1072</f>
        <v>73514</v>
      </c>
      <c r="H1067" s="74"/>
      <c r="I1067" s="206"/>
    </row>
    <row r="1068" spans="1:8" ht="63" outlineLevel="5">
      <c r="A1068" s="76" t="s">
        <v>1063</v>
      </c>
      <c r="B1068" s="77" t="s">
        <v>773</v>
      </c>
      <c r="C1068" s="77" t="s">
        <v>2</v>
      </c>
      <c r="D1068" s="77" t="s">
        <v>60</v>
      </c>
      <c r="E1068" s="77" t="s">
        <v>15</v>
      </c>
      <c r="F1068" s="77" t="s">
        <v>1</v>
      </c>
      <c r="G1068" s="78">
        <f>G1069</f>
        <v>57400</v>
      </c>
      <c r="H1068" s="78"/>
    </row>
    <row r="1069" spans="1:8" ht="31.5" outlineLevel="6">
      <c r="A1069" s="76" t="s">
        <v>430</v>
      </c>
      <c r="B1069" s="77" t="s">
        <v>773</v>
      </c>
      <c r="C1069" s="77" t="s">
        <v>2</v>
      </c>
      <c r="D1069" s="77" t="s">
        <v>60</v>
      </c>
      <c r="E1069" s="77" t="s">
        <v>16</v>
      </c>
      <c r="F1069" s="77" t="s">
        <v>1</v>
      </c>
      <c r="G1069" s="78">
        <f>G1071+G1070</f>
        <v>57400</v>
      </c>
      <c r="H1069" s="78"/>
    </row>
    <row r="1070" spans="1:8" ht="94.5" outlineLevel="7">
      <c r="A1070" s="76" t="s">
        <v>708</v>
      </c>
      <c r="B1070" s="77" t="s">
        <v>773</v>
      </c>
      <c r="C1070" s="77" t="s">
        <v>2</v>
      </c>
      <c r="D1070" s="77" t="s">
        <v>60</v>
      </c>
      <c r="E1070" s="77" t="s">
        <v>16</v>
      </c>
      <c r="F1070" s="77" t="s">
        <v>10</v>
      </c>
      <c r="G1070" s="78">
        <v>30700</v>
      </c>
      <c r="H1070" s="78"/>
    </row>
    <row r="1071" spans="1:8" ht="31.5" outlineLevel="7">
      <c r="A1071" s="76" t="s">
        <v>693</v>
      </c>
      <c r="B1071" s="77" t="s">
        <v>773</v>
      </c>
      <c r="C1071" s="77" t="s">
        <v>2</v>
      </c>
      <c r="D1071" s="77" t="s">
        <v>60</v>
      </c>
      <c r="E1071" s="77" t="s">
        <v>16</v>
      </c>
      <c r="F1071" s="77" t="s">
        <v>17</v>
      </c>
      <c r="G1071" s="78">
        <v>26700</v>
      </c>
      <c r="H1071" s="78"/>
    </row>
    <row r="1072" spans="1:8" ht="15.75" outlineLevel="5">
      <c r="A1072" s="76" t="s">
        <v>1064</v>
      </c>
      <c r="B1072" s="77" t="s">
        <v>773</v>
      </c>
      <c r="C1072" s="77" t="s">
        <v>2</v>
      </c>
      <c r="D1072" s="77" t="s">
        <v>60</v>
      </c>
      <c r="E1072" s="77" t="s">
        <v>18</v>
      </c>
      <c r="F1072" s="77" t="s">
        <v>1</v>
      </c>
      <c r="G1072" s="78">
        <f>G1073</f>
        <v>16114</v>
      </c>
      <c r="H1072" s="78"/>
    </row>
    <row r="1073" spans="1:8" ht="31.5" outlineLevel="6">
      <c r="A1073" s="76" t="s">
        <v>430</v>
      </c>
      <c r="B1073" s="77" t="s">
        <v>773</v>
      </c>
      <c r="C1073" s="77" t="s">
        <v>2</v>
      </c>
      <c r="D1073" s="77" t="s">
        <v>60</v>
      </c>
      <c r="E1073" s="77" t="s">
        <v>19</v>
      </c>
      <c r="F1073" s="77" t="s">
        <v>1</v>
      </c>
      <c r="G1073" s="78">
        <f>G1074</f>
        <v>16114</v>
      </c>
      <c r="H1073" s="78"/>
    </row>
    <row r="1074" spans="1:8" ht="31.5" outlineLevel="7">
      <c r="A1074" s="76" t="s">
        <v>693</v>
      </c>
      <c r="B1074" s="77" t="s">
        <v>773</v>
      </c>
      <c r="C1074" s="77" t="s">
        <v>2</v>
      </c>
      <c r="D1074" s="77" t="s">
        <v>60</v>
      </c>
      <c r="E1074" s="77" t="s">
        <v>19</v>
      </c>
      <c r="F1074" s="77" t="s">
        <v>17</v>
      </c>
      <c r="G1074" s="78">
        <v>16114</v>
      </c>
      <c r="H1074" s="78"/>
    </row>
    <row r="1075" spans="1:9" s="75" customFormat="1" ht="15.75" outlineLevel="3">
      <c r="A1075" s="72" t="s">
        <v>490</v>
      </c>
      <c r="B1075" s="73" t="s">
        <v>773</v>
      </c>
      <c r="C1075" s="73" t="s">
        <v>2</v>
      </c>
      <c r="D1075" s="73" t="s">
        <v>60</v>
      </c>
      <c r="E1075" s="73" t="s">
        <v>11</v>
      </c>
      <c r="F1075" s="73" t="s">
        <v>1</v>
      </c>
      <c r="G1075" s="74">
        <f>G1076+G1078+G1080+G1082</f>
        <v>4421095.83</v>
      </c>
      <c r="H1075" s="74"/>
      <c r="I1075" s="206"/>
    </row>
    <row r="1076" spans="1:8" ht="63" outlineLevel="6">
      <c r="A1076" s="76" t="s">
        <v>437</v>
      </c>
      <c r="B1076" s="77" t="s">
        <v>773</v>
      </c>
      <c r="C1076" s="77" t="s">
        <v>2</v>
      </c>
      <c r="D1076" s="77" t="s">
        <v>60</v>
      </c>
      <c r="E1076" s="77" t="s">
        <v>61</v>
      </c>
      <c r="F1076" s="77" t="s">
        <v>1</v>
      </c>
      <c r="G1076" s="78">
        <f>G1077</f>
        <v>1753836.66</v>
      </c>
      <c r="H1076" s="78"/>
    </row>
    <row r="1077" spans="1:8" ht="94.5" outlineLevel="7">
      <c r="A1077" s="76" t="s">
        <v>708</v>
      </c>
      <c r="B1077" s="77" t="s">
        <v>773</v>
      </c>
      <c r="C1077" s="77" t="s">
        <v>2</v>
      </c>
      <c r="D1077" s="77" t="s">
        <v>60</v>
      </c>
      <c r="E1077" s="77" t="s">
        <v>61</v>
      </c>
      <c r="F1077" s="77" t="s">
        <v>10</v>
      </c>
      <c r="G1077" s="78">
        <f>1299819+328873.41+125144.25</f>
        <v>1753836.66</v>
      </c>
      <c r="H1077" s="78" t="s">
        <v>1201</v>
      </c>
    </row>
    <row r="1078" spans="1:8" ht="31.5" outlineLevel="6">
      <c r="A1078" s="76" t="s">
        <v>434</v>
      </c>
      <c r="B1078" s="77" t="s">
        <v>773</v>
      </c>
      <c r="C1078" s="77" t="s">
        <v>2</v>
      </c>
      <c r="D1078" s="77" t="s">
        <v>60</v>
      </c>
      <c r="E1078" s="77" t="s">
        <v>21</v>
      </c>
      <c r="F1078" s="77" t="s">
        <v>1</v>
      </c>
      <c r="G1078" s="78">
        <f>G1079</f>
        <v>2047661</v>
      </c>
      <c r="H1078" s="78"/>
    </row>
    <row r="1079" spans="1:8" ht="94.5" outlineLevel="7">
      <c r="A1079" s="76" t="s">
        <v>708</v>
      </c>
      <c r="B1079" s="77" t="s">
        <v>773</v>
      </c>
      <c r="C1079" s="77" t="s">
        <v>2</v>
      </c>
      <c r="D1079" s="77" t="s">
        <v>60</v>
      </c>
      <c r="E1079" s="77" t="s">
        <v>21</v>
      </c>
      <c r="F1079" s="77" t="s">
        <v>10</v>
      </c>
      <c r="G1079" s="78">
        <v>2047661</v>
      </c>
      <c r="H1079" s="78"/>
    </row>
    <row r="1080" spans="1:8" ht="63" outlineLevel="6">
      <c r="A1080" s="76" t="s">
        <v>436</v>
      </c>
      <c r="B1080" s="77" t="s">
        <v>773</v>
      </c>
      <c r="C1080" s="77" t="s">
        <v>2</v>
      </c>
      <c r="D1080" s="77" t="s">
        <v>60</v>
      </c>
      <c r="E1080" s="77" t="s">
        <v>62</v>
      </c>
      <c r="F1080" s="77" t="s">
        <v>1</v>
      </c>
      <c r="G1080" s="78">
        <f>G1081</f>
        <v>533598.17</v>
      </c>
      <c r="H1080" s="78"/>
    </row>
    <row r="1081" spans="1:8" ht="94.5" outlineLevel="7">
      <c r="A1081" s="76" t="s">
        <v>708</v>
      </c>
      <c r="B1081" s="77" t="s">
        <v>773</v>
      </c>
      <c r="C1081" s="77" t="s">
        <v>2</v>
      </c>
      <c r="D1081" s="77" t="s">
        <v>60</v>
      </c>
      <c r="E1081" s="77" t="s">
        <v>62</v>
      </c>
      <c r="F1081" s="77" t="s">
        <v>10</v>
      </c>
      <c r="G1081" s="78">
        <f>548195-1159.63-13437.2</f>
        <v>533598.17</v>
      </c>
      <c r="H1081" s="78"/>
    </row>
    <row r="1082" spans="1:8" ht="78.75" outlineLevel="6">
      <c r="A1082" s="76" t="s">
        <v>432</v>
      </c>
      <c r="B1082" s="77" t="s">
        <v>773</v>
      </c>
      <c r="C1082" s="77" t="s">
        <v>2</v>
      </c>
      <c r="D1082" s="77" t="s">
        <v>60</v>
      </c>
      <c r="E1082" s="77" t="s">
        <v>13</v>
      </c>
      <c r="F1082" s="77" t="s">
        <v>1</v>
      </c>
      <c r="G1082" s="78">
        <f>G1083</f>
        <v>86000</v>
      </c>
      <c r="H1082" s="78"/>
    </row>
    <row r="1083" spans="1:8" ht="94.5" outlineLevel="7">
      <c r="A1083" s="76" t="s">
        <v>708</v>
      </c>
      <c r="B1083" s="77" t="s">
        <v>773</v>
      </c>
      <c r="C1083" s="77" t="s">
        <v>2</v>
      </c>
      <c r="D1083" s="77" t="s">
        <v>60</v>
      </c>
      <c r="E1083" s="77" t="s">
        <v>13</v>
      </c>
      <c r="F1083" s="77" t="s">
        <v>10</v>
      </c>
      <c r="G1083" s="78">
        <v>86000</v>
      </c>
      <c r="H1083" s="78"/>
    </row>
    <row r="1084" spans="1:9" s="75" customFormat="1" ht="15.75" outlineLevel="2">
      <c r="A1084" s="72" t="s">
        <v>668</v>
      </c>
      <c r="B1084" s="73" t="s">
        <v>773</v>
      </c>
      <c r="C1084" s="73" t="s">
        <v>2</v>
      </c>
      <c r="D1084" s="73" t="s">
        <v>66</v>
      </c>
      <c r="E1084" s="73" t="s">
        <v>4</v>
      </c>
      <c r="F1084" s="73" t="s">
        <v>1</v>
      </c>
      <c r="G1084" s="74">
        <f>G1085</f>
        <v>156546.5</v>
      </c>
      <c r="H1084" s="74"/>
      <c r="I1084" s="206"/>
    </row>
    <row r="1085" spans="1:9" s="75" customFormat="1" ht="47.25" outlineLevel="3">
      <c r="A1085" s="72" t="s">
        <v>659</v>
      </c>
      <c r="B1085" s="73" t="s">
        <v>773</v>
      </c>
      <c r="C1085" s="73" t="s">
        <v>2</v>
      </c>
      <c r="D1085" s="73" t="s">
        <v>66</v>
      </c>
      <c r="E1085" s="73" t="s">
        <v>90</v>
      </c>
      <c r="F1085" s="73" t="s">
        <v>1</v>
      </c>
      <c r="G1085" s="74">
        <f>G1086</f>
        <v>156546.5</v>
      </c>
      <c r="H1085" s="74"/>
      <c r="I1085" s="206"/>
    </row>
    <row r="1086" spans="1:9" s="75" customFormat="1" ht="47.25" outlineLevel="4">
      <c r="A1086" s="72" t="s">
        <v>624</v>
      </c>
      <c r="B1086" s="73" t="s">
        <v>773</v>
      </c>
      <c r="C1086" s="73" t="s">
        <v>2</v>
      </c>
      <c r="D1086" s="73" t="s">
        <v>66</v>
      </c>
      <c r="E1086" s="73" t="s">
        <v>91</v>
      </c>
      <c r="F1086" s="73" t="s">
        <v>1</v>
      </c>
      <c r="G1086" s="74">
        <f>G1087+G1090</f>
        <v>156546.5</v>
      </c>
      <c r="H1086" s="74"/>
      <c r="I1086" s="206"/>
    </row>
    <row r="1087" spans="1:8" ht="47.25" outlineLevel="5">
      <c r="A1087" s="76" t="s">
        <v>1065</v>
      </c>
      <c r="B1087" s="77" t="s">
        <v>773</v>
      </c>
      <c r="C1087" s="77" t="s">
        <v>2</v>
      </c>
      <c r="D1087" s="77" t="s">
        <v>66</v>
      </c>
      <c r="E1087" s="77" t="s">
        <v>92</v>
      </c>
      <c r="F1087" s="77" t="s">
        <v>1</v>
      </c>
      <c r="G1087" s="78">
        <f>G1088</f>
        <v>60000</v>
      </c>
      <c r="H1087" s="78"/>
    </row>
    <row r="1088" spans="1:8" ht="31.5" outlineLevel="6">
      <c r="A1088" s="76" t="s">
        <v>441</v>
      </c>
      <c r="B1088" s="77" t="s">
        <v>773</v>
      </c>
      <c r="C1088" s="77" t="s">
        <v>2</v>
      </c>
      <c r="D1088" s="77" t="s">
        <v>66</v>
      </c>
      <c r="E1088" s="77" t="s">
        <v>93</v>
      </c>
      <c r="F1088" s="77" t="s">
        <v>1</v>
      </c>
      <c r="G1088" s="78">
        <f>G1089</f>
        <v>60000</v>
      </c>
      <c r="H1088" s="78"/>
    </row>
    <row r="1089" spans="1:8" ht="31.5" outlineLevel="7">
      <c r="A1089" s="76" t="s">
        <v>693</v>
      </c>
      <c r="B1089" s="77" t="s">
        <v>773</v>
      </c>
      <c r="C1089" s="77" t="s">
        <v>2</v>
      </c>
      <c r="D1089" s="77" t="s">
        <v>66</v>
      </c>
      <c r="E1089" s="77" t="s">
        <v>93</v>
      </c>
      <c r="F1089" s="77" t="s">
        <v>17</v>
      </c>
      <c r="G1089" s="78">
        <v>60000</v>
      </c>
      <c r="H1089" s="78"/>
    </row>
    <row r="1090" spans="1:8" ht="47.25" outlineLevel="5">
      <c r="A1090" s="76" t="s">
        <v>1066</v>
      </c>
      <c r="B1090" s="77" t="s">
        <v>773</v>
      </c>
      <c r="C1090" s="77" t="s">
        <v>2</v>
      </c>
      <c r="D1090" s="77" t="s">
        <v>66</v>
      </c>
      <c r="E1090" s="77" t="s">
        <v>94</v>
      </c>
      <c r="F1090" s="77" t="s">
        <v>1</v>
      </c>
      <c r="G1090" s="78">
        <f>G1091</f>
        <v>96546.5</v>
      </c>
      <c r="H1090" s="78"/>
    </row>
    <row r="1091" spans="1:8" ht="31.5" outlineLevel="6">
      <c r="A1091" s="76" t="s">
        <v>441</v>
      </c>
      <c r="B1091" s="77" t="s">
        <v>773</v>
      </c>
      <c r="C1091" s="77" t="s">
        <v>2</v>
      </c>
      <c r="D1091" s="77" t="s">
        <v>66</v>
      </c>
      <c r="E1091" s="77" t="s">
        <v>95</v>
      </c>
      <c r="F1091" s="77" t="s">
        <v>1</v>
      </c>
      <c r="G1091" s="78">
        <f>G1092</f>
        <v>96546.5</v>
      </c>
      <c r="H1091" s="78"/>
    </row>
    <row r="1092" spans="1:8" ht="31.5" outlineLevel="7">
      <c r="A1092" s="76" t="s">
        <v>693</v>
      </c>
      <c r="B1092" s="77" t="s">
        <v>773</v>
      </c>
      <c r="C1092" s="77" t="s">
        <v>2</v>
      </c>
      <c r="D1092" s="77" t="s">
        <v>66</v>
      </c>
      <c r="E1092" s="77" t="s">
        <v>95</v>
      </c>
      <c r="F1092" s="77" t="s">
        <v>17</v>
      </c>
      <c r="G1092" s="78">
        <v>96546.5</v>
      </c>
      <c r="H1092" s="78"/>
    </row>
    <row r="1093" spans="1:9" s="75" customFormat="1" ht="21.75" customHeight="1" outlineLevel="7">
      <c r="A1093" s="327" t="s">
        <v>414</v>
      </c>
      <c r="B1093" s="328"/>
      <c r="C1093" s="328"/>
      <c r="D1093" s="328"/>
      <c r="E1093" s="328"/>
      <c r="F1093" s="329"/>
      <c r="G1093" s="74">
        <f>G1063+G873+G622+G571+G295+G65+G12</f>
        <v>2324477065.53</v>
      </c>
      <c r="H1093" s="74">
        <f>H65+H295+H622+H873</f>
        <v>855338484.5500001</v>
      </c>
      <c r="I1093" s="206"/>
    </row>
    <row r="1094" spans="1:8" ht="12.75" customHeight="1">
      <c r="A1094" s="79"/>
      <c r="B1094" s="79"/>
      <c r="C1094" s="79"/>
      <c r="D1094" s="79"/>
      <c r="E1094" s="79"/>
      <c r="F1094" s="79"/>
      <c r="G1094" s="79"/>
      <c r="H1094" s="79"/>
    </row>
    <row r="1095" spans="1:8" ht="15" customHeight="1">
      <c r="A1095" s="330"/>
      <c r="B1095" s="331"/>
      <c r="C1095" s="331"/>
      <c r="D1095" s="331"/>
      <c r="E1095" s="331"/>
      <c r="F1095" s="331"/>
      <c r="G1095" s="331"/>
      <c r="H1095" s="80"/>
    </row>
    <row r="1096" spans="1:8" ht="15.75" hidden="1">
      <c r="A1096" s="80"/>
      <c r="B1096" s="80"/>
      <c r="C1096" s="80"/>
      <c r="D1096" s="80"/>
      <c r="E1096" s="80"/>
      <c r="F1096" s="80"/>
      <c r="G1096" s="80">
        <f>G1093-Приложение_6!F942</f>
        <v>0</v>
      </c>
      <c r="H1096" s="80">
        <f>H1093-Приложение_6!G942</f>
        <v>0</v>
      </c>
    </row>
    <row r="1097" spans="1:8" ht="15.75" hidden="1">
      <c r="A1097" s="80"/>
      <c r="B1097" s="80"/>
      <c r="C1097" s="80"/>
      <c r="D1097" s="80"/>
      <c r="E1097" s="80"/>
      <c r="F1097" s="80"/>
      <c r="G1097" s="80"/>
      <c r="H1097" s="80"/>
    </row>
    <row r="1098" spans="1:8" ht="15.75" hidden="1">
      <c r="A1098" s="80"/>
      <c r="B1098" s="80"/>
      <c r="C1098" s="80"/>
      <c r="D1098" s="80"/>
      <c r="E1098" s="80"/>
      <c r="F1098" s="80"/>
      <c r="G1098" s="80">
        <v>2220551930.88</v>
      </c>
      <c r="H1098" s="80"/>
    </row>
    <row r="1099" spans="1:8" ht="15.75" hidden="1">
      <c r="A1099" s="80"/>
      <c r="B1099" s="80"/>
      <c r="C1099" s="80"/>
      <c r="D1099" s="80"/>
      <c r="E1099" s="80"/>
      <c r="F1099" s="80"/>
      <c r="G1099" s="80">
        <f>G1093-G1098</f>
        <v>103925134.6500001</v>
      </c>
      <c r="H1099" s="80"/>
    </row>
    <row r="1100" spans="1:8" ht="15.75" hidden="1">
      <c r="A1100" s="80"/>
      <c r="B1100" s="80"/>
      <c r="C1100" s="80"/>
      <c r="D1100" s="80"/>
      <c r="E1100" s="80"/>
      <c r="F1100" s="80"/>
      <c r="G1100" s="80"/>
      <c r="H1100" s="80"/>
    </row>
    <row r="1101" spans="1:8" ht="15.75" hidden="1">
      <c r="A1101" s="80"/>
      <c r="B1101" s="80"/>
      <c r="C1101" s="80"/>
      <c r="D1101" s="80"/>
      <c r="E1101" s="80"/>
      <c r="F1101" s="80"/>
      <c r="G1101" s="80"/>
      <c r="H1101" s="80"/>
    </row>
    <row r="1102" spans="1:8" ht="15.75" hidden="1">
      <c r="A1102" s="80"/>
      <c r="B1102" s="80"/>
      <c r="C1102" s="80"/>
      <c r="D1102" s="80"/>
      <c r="E1102" s="80"/>
      <c r="F1102" s="80"/>
      <c r="G1102" s="80"/>
      <c r="H1102" s="80"/>
    </row>
    <row r="1103" spans="1:8" ht="15.75" hidden="1">
      <c r="A1103" s="80"/>
      <c r="B1103" s="80"/>
      <c r="C1103" s="80"/>
      <c r="D1103" s="80"/>
      <c r="E1103" s="80"/>
      <c r="F1103" s="80"/>
      <c r="G1103" s="80"/>
      <c r="H1103" s="80"/>
    </row>
    <row r="1104" spans="1:8" ht="15.75" hidden="1">
      <c r="A1104" s="80"/>
      <c r="B1104" s="80"/>
      <c r="C1104" s="80"/>
      <c r="D1104" s="80"/>
      <c r="E1104" s="80"/>
      <c r="F1104" s="80"/>
      <c r="G1104" s="80"/>
      <c r="H1104" s="80"/>
    </row>
    <row r="1105" spans="1:8" ht="15.75" hidden="1">
      <c r="A1105" s="80"/>
      <c r="B1105" s="80"/>
      <c r="C1105" s="80"/>
      <c r="D1105" s="80"/>
      <c r="E1105" s="80"/>
      <c r="F1105" s="80"/>
      <c r="G1105" s="80"/>
      <c r="H1105" s="80"/>
    </row>
    <row r="1106" spans="1:8" ht="15.75" hidden="1">
      <c r="A1106" s="80"/>
      <c r="B1106" s="80"/>
      <c r="C1106" s="80"/>
      <c r="D1106" s="80"/>
      <c r="E1106" s="80"/>
      <c r="F1106" s="80"/>
      <c r="G1106" s="80"/>
      <c r="H1106" s="80"/>
    </row>
    <row r="1107" spans="1:8" ht="15.75" hidden="1">
      <c r="A1107" s="80"/>
      <c r="B1107" s="80"/>
      <c r="C1107" s="80"/>
      <c r="D1107" s="80"/>
      <c r="E1107" s="80"/>
      <c r="F1107" s="80"/>
      <c r="G1107" s="80"/>
      <c r="H1107" s="80"/>
    </row>
    <row r="1108" spans="1:8" ht="15.75" hidden="1">
      <c r="A1108" s="80"/>
      <c r="B1108" s="80"/>
      <c r="C1108" s="80"/>
      <c r="D1108" s="80"/>
      <c r="E1108" s="80"/>
      <c r="F1108" s="80"/>
      <c r="G1108" s="80">
        <f>2224502974.03-G1093</f>
        <v>-99974091.5</v>
      </c>
      <c r="H1108" s="80"/>
    </row>
    <row r="1109" spans="1:8" ht="15.75" hidden="1">
      <c r="A1109" s="80"/>
      <c r="B1109" s="80"/>
      <c r="C1109" s="80"/>
      <c r="D1109" s="80"/>
      <c r="E1109" s="80"/>
      <c r="F1109" s="80"/>
      <c r="G1109" s="80"/>
      <c r="H1109" s="80"/>
    </row>
    <row r="1110" spans="1:8" ht="15.75">
      <c r="A1110" s="80"/>
      <c r="B1110" s="80"/>
      <c r="C1110" s="80"/>
      <c r="D1110" s="80"/>
      <c r="E1110" s="80"/>
      <c r="F1110" s="80"/>
      <c r="G1110" s="80">
        <v>2323396916.53</v>
      </c>
      <c r="H1110" s="80">
        <f>856911884.55</f>
        <v>856911884.55</v>
      </c>
    </row>
    <row r="1111" spans="1:8" ht="15.75">
      <c r="A1111" s="80"/>
      <c r="B1111" s="80"/>
      <c r="C1111" s="80"/>
      <c r="D1111" s="80"/>
      <c r="E1111" s="80"/>
      <c r="F1111" s="80"/>
      <c r="G1111" s="80">
        <f>G1110-G1093</f>
        <v>-1080149</v>
      </c>
      <c r="H1111" s="80">
        <f>H1110-H1093</f>
        <v>1573399.9999998808</v>
      </c>
    </row>
    <row r="1112" spans="7:8" ht="15.75">
      <c r="G1112" s="80"/>
      <c r="H1112" s="80"/>
    </row>
    <row r="1113" spans="7:8" ht="15.75">
      <c r="G1113" s="80">
        <f>2653549+538800-2162200+50000</f>
        <v>1080149</v>
      </c>
      <c r="H1113" s="80">
        <f>538800-2162200+50000</f>
        <v>-1573400</v>
      </c>
    </row>
    <row r="1114" spans="7:8" ht="15.75">
      <c r="G1114" s="80">
        <f>G1110+G1113</f>
        <v>2324477065.53</v>
      </c>
      <c r="H1114" s="80"/>
    </row>
    <row r="1115" spans="7:8" ht="15.75">
      <c r="G1115" s="80">
        <f>G1114-G1093</f>
        <v>0</v>
      </c>
      <c r="H1115" s="80"/>
    </row>
    <row r="1116" spans="7:8" ht="15.75">
      <c r="G1116" s="80"/>
      <c r="H1116" s="80"/>
    </row>
    <row r="1117" spans="7:8" ht="15.75">
      <c r="G1117" s="80"/>
      <c r="H1117" s="80"/>
    </row>
    <row r="1118" spans="7:8" ht="15.75">
      <c r="G1118" s="80"/>
      <c r="H1118" s="80"/>
    </row>
    <row r="1119" spans="7:8" ht="15.75">
      <c r="G1119" s="80"/>
      <c r="H1119" s="80"/>
    </row>
    <row r="1120" ht="15.75">
      <c r="G1120" s="80"/>
    </row>
  </sheetData>
  <sheetProtection/>
  <mergeCells count="8">
    <mergeCell ref="A1093:F1093"/>
    <mergeCell ref="A1095:G1095"/>
    <mergeCell ref="A7:H7"/>
    <mergeCell ref="A1:H1"/>
    <mergeCell ref="A2:H2"/>
    <mergeCell ref="A3:H3"/>
    <mergeCell ref="A4:H4"/>
    <mergeCell ref="A5:H5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61" r:id="rId1"/>
  <headerFooter>
    <oddFooter>&amp;CСтраница &amp;P&amp;R&amp;A</oddFooter>
  </headerFooter>
  <rowBreaks count="1" manualBreakCount="1">
    <brk id="10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0"/>
  <sheetViews>
    <sheetView showGridLines="0" zoomScaleSheetLayoutView="100" zoomScalePageLayoutView="0" workbookViewId="0" topLeftCell="A228">
      <selection activeCell="F231" sqref="F231"/>
    </sheetView>
  </sheetViews>
  <sheetFormatPr defaultColWidth="9.140625" defaultRowHeight="15" outlineLevelRow="5"/>
  <cols>
    <col min="1" max="1" width="31.421875" style="4" customWidth="1"/>
    <col min="2" max="2" width="14.421875" style="4" customWidth="1"/>
    <col min="3" max="3" width="11.8515625" style="4" customWidth="1"/>
    <col min="4" max="4" width="9.28125" style="4" customWidth="1"/>
    <col min="5" max="5" width="12.28125" style="4" customWidth="1"/>
    <col min="6" max="6" width="20.421875" style="4" customWidth="1"/>
    <col min="7" max="7" width="18.140625" style="4" customWidth="1"/>
    <col min="8" max="8" width="12.421875" style="121" bestFit="1" customWidth="1"/>
    <col min="9" max="10" width="18.8515625" style="121" hidden="1" customWidth="1"/>
    <col min="11" max="11" width="9.140625" style="121" hidden="1" customWidth="1"/>
    <col min="12" max="12" width="19.8515625" style="121" hidden="1" customWidth="1"/>
    <col min="13" max="13" width="15.140625" style="121" hidden="1" customWidth="1"/>
    <col min="14" max="16384" width="9.140625" style="121" customWidth="1"/>
  </cols>
  <sheetData>
    <row r="1" spans="1:7" s="68" customFormat="1" ht="15.75">
      <c r="A1" s="319" t="s">
        <v>1212</v>
      </c>
      <c r="B1" s="319"/>
      <c r="C1" s="319"/>
      <c r="D1" s="319"/>
      <c r="E1" s="319"/>
      <c r="F1" s="319"/>
      <c r="G1" s="319"/>
    </row>
    <row r="2" spans="1:7" s="68" customFormat="1" ht="15.75">
      <c r="A2" s="319" t="s">
        <v>421</v>
      </c>
      <c r="B2" s="319"/>
      <c r="C2" s="319"/>
      <c r="D2" s="319"/>
      <c r="E2" s="319"/>
      <c r="F2" s="319"/>
      <c r="G2" s="319"/>
    </row>
    <row r="3" spans="1:7" s="123" customFormat="1" ht="15" customHeight="1">
      <c r="A3" s="321" t="s">
        <v>1221</v>
      </c>
      <c r="B3" s="321"/>
      <c r="C3" s="321"/>
      <c r="D3" s="321"/>
      <c r="E3" s="321"/>
      <c r="F3" s="321"/>
      <c r="G3" s="321"/>
    </row>
    <row r="4" spans="1:7" s="123" customFormat="1" ht="15" customHeight="1">
      <c r="A4" s="319" t="s">
        <v>712</v>
      </c>
      <c r="B4" s="319"/>
      <c r="C4" s="319"/>
      <c r="D4" s="319"/>
      <c r="E4" s="319"/>
      <c r="F4" s="319"/>
      <c r="G4" s="319"/>
    </row>
    <row r="5" spans="1:7" s="123" customFormat="1" ht="15.75" customHeight="1">
      <c r="A5" s="319"/>
      <c r="B5" s="319"/>
      <c r="C5" s="319"/>
      <c r="D5" s="319"/>
      <c r="E5" s="319"/>
      <c r="F5" s="319"/>
      <c r="G5" s="319"/>
    </row>
    <row r="6" spans="1:7" s="123" customFormat="1" ht="75" customHeight="1">
      <c r="A6" s="336" t="s">
        <v>1220</v>
      </c>
      <c r="B6" s="336"/>
      <c r="C6" s="336"/>
      <c r="D6" s="336"/>
      <c r="E6" s="336"/>
      <c r="F6" s="336"/>
      <c r="G6" s="336"/>
    </row>
    <row r="7" spans="1:7" s="123" customFormat="1" ht="21" customHeight="1">
      <c r="A7" s="337" t="s">
        <v>1194</v>
      </c>
      <c r="B7" s="337"/>
      <c r="C7" s="337"/>
      <c r="D7" s="337"/>
      <c r="E7" s="337"/>
      <c r="F7" s="337"/>
      <c r="G7" s="337"/>
    </row>
    <row r="8" spans="1:7" ht="126">
      <c r="A8" s="126" t="s">
        <v>424</v>
      </c>
      <c r="B8" s="106" t="s">
        <v>427</v>
      </c>
      <c r="C8" s="122" t="s">
        <v>1211</v>
      </c>
      <c r="D8" s="126" t="s">
        <v>425</v>
      </c>
      <c r="E8" s="126" t="s">
        <v>426</v>
      </c>
      <c r="F8" s="71" t="s">
        <v>1219</v>
      </c>
      <c r="G8" s="71" t="s">
        <v>419</v>
      </c>
    </row>
    <row r="9" spans="1:7" ht="15.75">
      <c r="A9" s="126">
        <v>1</v>
      </c>
      <c r="B9" s="207">
        <v>2</v>
      </c>
      <c r="C9" s="207">
        <v>3</v>
      </c>
      <c r="D9" s="126">
        <v>4</v>
      </c>
      <c r="E9" s="126">
        <v>5</v>
      </c>
      <c r="F9" s="71">
        <v>6</v>
      </c>
      <c r="G9" s="71">
        <v>7</v>
      </c>
    </row>
    <row r="10" spans="1:13" ht="71.25" customHeight="1">
      <c r="A10" s="115" t="s">
        <v>1218</v>
      </c>
      <c r="B10" s="116" t="s">
        <v>23</v>
      </c>
      <c r="C10" s="116" t="s">
        <v>1</v>
      </c>
      <c r="D10" s="116" t="s">
        <v>3</v>
      </c>
      <c r="E10" s="116" t="s">
        <v>3</v>
      </c>
      <c r="F10" s="117">
        <f>F11+F46+F99+F160+F169+F178+F194+F212</f>
        <v>1402321131.2700002</v>
      </c>
      <c r="G10" s="117">
        <f>G11+G46+G99+G160+G169+G178+G194+G212</f>
        <v>774477425.65</v>
      </c>
      <c r="H10" s="125"/>
      <c r="I10" s="125">
        <v>1391759019.29</v>
      </c>
      <c r="J10" s="125">
        <v>776639625.65</v>
      </c>
      <c r="L10" s="125">
        <f>I10-F10</f>
        <v>-10562111.980000257</v>
      </c>
      <c r="M10" s="125">
        <f>J10-G10</f>
        <v>2162200</v>
      </c>
    </row>
    <row r="11" spans="1:13" ht="47.25" outlineLevel="1">
      <c r="A11" s="115" t="s">
        <v>640</v>
      </c>
      <c r="B11" s="116" t="s">
        <v>240</v>
      </c>
      <c r="C11" s="116" t="s">
        <v>1</v>
      </c>
      <c r="D11" s="116" t="s">
        <v>3</v>
      </c>
      <c r="E11" s="116" t="s">
        <v>3</v>
      </c>
      <c r="F11" s="117">
        <f>F12+F22+F26+F36+F42</f>
        <v>566989201.72</v>
      </c>
      <c r="G11" s="117">
        <f>G12+G22+G26+G36+G42</f>
        <v>354402840.73999995</v>
      </c>
      <c r="I11" s="125">
        <v>566989201.72</v>
      </c>
      <c r="J11" s="125">
        <v>354402840.74</v>
      </c>
      <c r="L11" s="125">
        <f aca="true" t="shared" si="0" ref="L11:L74">I11-F11</f>
        <v>0</v>
      </c>
      <c r="M11" s="125">
        <f aca="true" t="shared" si="1" ref="M11:M74">J11-G11</f>
        <v>0</v>
      </c>
    </row>
    <row r="12" spans="1:13" ht="126" customHeight="1" outlineLevel="2">
      <c r="A12" s="108" t="s">
        <v>560</v>
      </c>
      <c r="B12" s="109" t="s">
        <v>241</v>
      </c>
      <c r="C12" s="109" t="s">
        <v>1</v>
      </c>
      <c r="D12" s="109" t="s">
        <v>3</v>
      </c>
      <c r="E12" s="109" t="s">
        <v>3</v>
      </c>
      <c r="F12" s="110">
        <f>F13+F16+F19</f>
        <v>336265219.90999997</v>
      </c>
      <c r="G12" s="110">
        <f>G15+G18</f>
        <v>336234518.78</v>
      </c>
      <c r="I12" s="125">
        <v>336265219.91</v>
      </c>
      <c r="J12" s="125">
        <v>336234518.78</v>
      </c>
      <c r="L12" s="125">
        <f t="shared" si="0"/>
        <v>0</v>
      </c>
      <c r="M12" s="125">
        <f t="shared" si="1"/>
        <v>0</v>
      </c>
    </row>
    <row r="13" spans="1:13" ht="126" outlineLevel="3">
      <c r="A13" s="108" t="s">
        <v>465</v>
      </c>
      <c r="B13" s="109" t="s">
        <v>242</v>
      </c>
      <c r="C13" s="109" t="s">
        <v>1</v>
      </c>
      <c r="D13" s="109" t="s">
        <v>3</v>
      </c>
      <c r="E13" s="109" t="s">
        <v>3</v>
      </c>
      <c r="F13" s="110">
        <f>F14</f>
        <v>488918.78</v>
      </c>
      <c r="G13" s="110">
        <f>G14</f>
        <v>488918.78</v>
      </c>
      <c r="I13" s="125">
        <v>488918.78</v>
      </c>
      <c r="J13" s="125">
        <v>488918.78</v>
      </c>
      <c r="L13" s="125">
        <f t="shared" si="0"/>
        <v>0</v>
      </c>
      <c r="M13" s="125">
        <f t="shared" si="1"/>
        <v>0</v>
      </c>
    </row>
    <row r="14" spans="1:13" ht="78.75" outlineLevel="4">
      <c r="A14" s="108" t="s">
        <v>696</v>
      </c>
      <c r="B14" s="109" t="s">
        <v>242</v>
      </c>
      <c r="C14" s="109" t="s">
        <v>70</v>
      </c>
      <c r="D14" s="109" t="s">
        <v>3</v>
      </c>
      <c r="E14" s="109" t="s">
        <v>3</v>
      </c>
      <c r="F14" s="110">
        <f>F15</f>
        <v>488918.78</v>
      </c>
      <c r="G14" s="110">
        <f>G15</f>
        <v>488918.78</v>
      </c>
      <c r="I14" s="125">
        <v>488918.78</v>
      </c>
      <c r="J14" s="125">
        <v>488918.78</v>
      </c>
      <c r="L14" s="125">
        <f t="shared" si="0"/>
        <v>0</v>
      </c>
      <c r="M14" s="125">
        <f t="shared" si="1"/>
        <v>0</v>
      </c>
    </row>
    <row r="15" spans="1:13" ht="37.5" customHeight="1" outlineLevel="5">
      <c r="A15" s="108" t="s">
        <v>680</v>
      </c>
      <c r="B15" s="109" t="s">
        <v>242</v>
      </c>
      <c r="C15" s="109" t="s">
        <v>70</v>
      </c>
      <c r="D15" s="109" t="s">
        <v>239</v>
      </c>
      <c r="E15" s="109" t="s">
        <v>2</v>
      </c>
      <c r="F15" s="110">
        <f>Приложение_6!F555</f>
        <v>488918.78</v>
      </c>
      <c r="G15" s="110">
        <f>F15</f>
        <v>488918.78</v>
      </c>
      <c r="I15" s="125">
        <v>488918.78</v>
      </c>
      <c r="J15" s="125">
        <v>488918.78</v>
      </c>
      <c r="L15" s="125">
        <f t="shared" si="0"/>
        <v>0</v>
      </c>
      <c r="M15" s="125">
        <f t="shared" si="1"/>
        <v>0</v>
      </c>
    </row>
    <row r="16" spans="1:13" ht="126" outlineLevel="3">
      <c r="A16" s="108" t="s">
        <v>466</v>
      </c>
      <c r="B16" s="109" t="s">
        <v>243</v>
      </c>
      <c r="C16" s="109" t="s">
        <v>1</v>
      </c>
      <c r="D16" s="109" t="s">
        <v>3</v>
      </c>
      <c r="E16" s="109" t="s">
        <v>3</v>
      </c>
      <c r="F16" s="110">
        <f>F17</f>
        <v>335745600</v>
      </c>
      <c r="G16" s="110">
        <f>G17</f>
        <v>335745600</v>
      </c>
      <c r="I16" s="125">
        <v>335745600</v>
      </c>
      <c r="J16" s="125">
        <v>335745600</v>
      </c>
      <c r="L16" s="125">
        <f t="shared" si="0"/>
        <v>0</v>
      </c>
      <c r="M16" s="125">
        <f t="shared" si="1"/>
        <v>0</v>
      </c>
    </row>
    <row r="17" spans="1:13" ht="78.75" outlineLevel="4">
      <c r="A17" s="108" t="s">
        <v>696</v>
      </c>
      <c r="B17" s="109" t="s">
        <v>243</v>
      </c>
      <c r="C17" s="109" t="s">
        <v>70</v>
      </c>
      <c r="D17" s="109" t="s">
        <v>3</v>
      </c>
      <c r="E17" s="109" t="s">
        <v>3</v>
      </c>
      <c r="F17" s="110">
        <f>F18</f>
        <v>335745600</v>
      </c>
      <c r="G17" s="110">
        <f>G18</f>
        <v>335745600</v>
      </c>
      <c r="I17" s="125">
        <v>335745600</v>
      </c>
      <c r="J17" s="125">
        <v>335745600</v>
      </c>
      <c r="L17" s="125">
        <f t="shared" si="0"/>
        <v>0</v>
      </c>
      <c r="M17" s="125">
        <f t="shared" si="1"/>
        <v>0</v>
      </c>
    </row>
    <row r="18" spans="1:13" ht="24.75" customHeight="1" outlineLevel="5">
      <c r="A18" s="108" t="s">
        <v>680</v>
      </c>
      <c r="B18" s="109" t="s">
        <v>243</v>
      </c>
      <c r="C18" s="109" t="s">
        <v>70</v>
      </c>
      <c r="D18" s="109" t="s">
        <v>239</v>
      </c>
      <c r="E18" s="109" t="s">
        <v>2</v>
      </c>
      <c r="F18" s="110">
        <f>Приложение_6!F557</f>
        <v>335745600</v>
      </c>
      <c r="G18" s="110">
        <f>F18</f>
        <v>335745600</v>
      </c>
      <c r="I18" s="125">
        <v>335745600</v>
      </c>
      <c r="J18" s="125">
        <v>335745600</v>
      </c>
      <c r="L18" s="125">
        <f t="shared" si="0"/>
        <v>0</v>
      </c>
      <c r="M18" s="125">
        <f t="shared" si="1"/>
        <v>0</v>
      </c>
    </row>
    <row r="19" spans="1:13" ht="126" outlineLevel="3">
      <c r="A19" s="108" t="s">
        <v>465</v>
      </c>
      <c r="B19" s="109" t="s">
        <v>244</v>
      </c>
      <c r="C19" s="109" t="s">
        <v>1</v>
      </c>
      <c r="D19" s="109" t="s">
        <v>3</v>
      </c>
      <c r="E19" s="109" t="s">
        <v>3</v>
      </c>
      <c r="F19" s="110">
        <f>F20</f>
        <v>30701.13</v>
      </c>
      <c r="G19" s="110"/>
      <c r="I19" s="125">
        <v>30701.13</v>
      </c>
      <c r="L19" s="125">
        <f t="shared" si="0"/>
        <v>0</v>
      </c>
      <c r="M19" s="125">
        <f t="shared" si="1"/>
        <v>0</v>
      </c>
    </row>
    <row r="20" spans="1:13" ht="78.75" outlineLevel="4">
      <c r="A20" s="108" t="s">
        <v>696</v>
      </c>
      <c r="B20" s="109" t="s">
        <v>244</v>
      </c>
      <c r="C20" s="109" t="s">
        <v>70</v>
      </c>
      <c r="D20" s="109" t="s">
        <v>3</v>
      </c>
      <c r="E20" s="109" t="s">
        <v>3</v>
      </c>
      <c r="F20" s="110">
        <f>F21</f>
        <v>30701.13</v>
      </c>
      <c r="G20" s="110"/>
      <c r="I20" s="125">
        <v>30701.13</v>
      </c>
      <c r="L20" s="125">
        <f t="shared" si="0"/>
        <v>0</v>
      </c>
      <c r="M20" s="125">
        <f t="shared" si="1"/>
        <v>0</v>
      </c>
    </row>
    <row r="21" spans="1:13" ht="15.75" outlineLevel="5">
      <c r="A21" s="108" t="s">
        <v>680</v>
      </c>
      <c r="B21" s="109" t="s">
        <v>244</v>
      </c>
      <c r="C21" s="109" t="s">
        <v>70</v>
      </c>
      <c r="D21" s="109" t="s">
        <v>239</v>
      </c>
      <c r="E21" s="109" t="s">
        <v>2</v>
      </c>
      <c r="F21" s="110">
        <f>Приложение_6!F559</f>
        <v>30701.13</v>
      </c>
      <c r="G21" s="110"/>
      <c r="I21" s="125">
        <v>30701.13</v>
      </c>
      <c r="L21" s="125">
        <f t="shared" si="0"/>
        <v>0</v>
      </c>
      <c r="M21" s="125">
        <f t="shared" si="1"/>
        <v>0</v>
      </c>
    </row>
    <row r="22" spans="1:13" ht="94.5" outlineLevel="2">
      <c r="A22" s="108" t="s">
        <v>561</v>
      </c>
      <c r="B22" s="109" t="s">
        <v>245</v>
      </c>
      <c r="C22" s="109" t="s">
        <v>1</v>
      </c>
      <c r="D22" s="109" t="s">
        <v>3</v>
      </c>
      <c r="E22" s="109" t="s">
        <v>3</v>
      </c>
      <c r="F22" s="110">
        <f>F23</f>
        <v>204543626.85</v>
      </c>
      <c r="G22" s="110"/>
      <c r="I22" s="125">
        <v>204543626.85</v>
      </c>
      <c r="L22" s="125">
        <f t="shared" si="0"/>
        <v>0</v>
      </c>
      <c r="M22" s="125">
        <f t="shared" si="1"/>
        <v>0</v>
      </c>
    </row>
    <row r="23" spans="1:13" ht="126" outlineLevel="3">
      <c r="A23" s="108" t="s">
        <v>443</v>
      </c>
      <c r="B23" s="109" t="s">
        <v>246</v>
      </c>
      <c r="C23" s="109" t="s">
        <v>1</v>
      </c>
      <c r="D23" s="109" t="s">
        <v>3</v>
      </c>
      <c r="E23" s="109" t="s">
        <v>3</v>
      </c>
      <c r="F23" s="110">
        <f>F24</f>
        <v>204543626.85</v>
      </c>
      <c r="G23" s="110"/>
      <c r="I23" s="125">
        <v>204543626.85</v>
      </c>
      <c r="L23" s="125">
        <f t="shared" si="0"/>
        <v>0</v>
      </c>
      <c r="M23" s="125">
        <f t="shared" si="1"/>
        <v>0</v>
      </c>
    </row>
    <row r="24" spans="1:13" ht="78.75" outlineLevel="4">
      <c r="A24" s="108" t="s">
        <v>696</v>
      </c>
      <c r="B24" s="109" t="s">
        <v>246</v>
      </c>
      <c r="C24" s="109" t="s">
        <v>70</v>
      </c>
      <c r="D24" s="109" t="s">
        <v>3</v>
      </c>
      <c r="E24" s="109" t="s">
        <v>3</v>
      </c>
      <c r="F24" s="110">
        <f>F25</f>
        <v>204543626.85</v>
      </c>
      <c r="G24" s="110"/>
      <c r="I24" s="125">
        <v>204543626.85</v>
      </c>
      <c r="L24" s="125">
        <f t="shared" si="0"/>
        <v>0</v>
      </c>
      <c r="M24" s="125">
        <f t="shared" si="1"/>
        <v>0</v>
      </c>
    </row>
    <row r="25" spans="1:13" ht="15.75" outlineLevel="5">
      <c r="A25" s="108" t="s">
        <v>680</v>
      </c>
      <c r="B25" s="109" t="s">
        <v>246</v>
      </c>
      <c r="C25" s="109" t="s">
        <v>70</v>
      </c>
      <c r="D25" s="109" t="s">
        <v>239</v>
      </c>
      <c r="E25" s="109" t="s">
        <v>2</v>
      </c>
      <c r="F25" s="110">
        <f>Приложение_6!F562</f>
        <v>204543626.85</v>
      </c>
      <c r="G25" s="110"/>
      <c r="I25" s="125">
        <v>204543626.85</v>
      </c>
      <c r="L25" s="125">
        <f t="shared" si="0"/>
        <v>0</v>
      </c>
      <c r="M25" s="125">
        <f t="shared" si="1"/>
        <v>0</v>
      </c>
    </row>
    <row r="26" spans="1:13" ht="31.5" outlineLevel="2">
      <c r="A26" s="108" t="s">
        <v>562</v>
      </c>
      <c r="B26" s="109" t="s">
        <v>247</v>
      </c>
      <c r="C26" s="109" t="s">
        <v>1</v>
      </c>
      <c r="D26" s="109" t="s">
        <v>3</v>
      </c>
      <c r="E26" s="109" t="s">
        <v>3</v>
      </c>
      <c r="F26" s="110">
        <f>F27+F30+F33</f>
        <v>8735954.96</v>
      </c>
      <c r="G26" s="110">
        <f>G32+G35</f>
        <v>723921.9600000001</v>
      </c>
      <c r="I26" s="125">
        <v>8735954.96</v>
      </c>
      <c r="J26" s="125">
        <v>723921.96</v>
      </c>
      <c r="L26" s="125">
        <f t="shared" si="0"/>
        <v>0</v>
      </c>
      <c r="M26" s="125">
        <f t="shared" si="1"/>
        <v>0</v>
      </c>
    </row>
    <row r="27" spans="1:13" ht="126" outlineLevel="3">
      <c r="A27" s="108" t="s">
        <v>432</v>
      </c>
      <c r="B27" s="109" t="s">
        <v>248</v>
      </c>
      <c r="C27" s="109" t="s">
        <v>1</v>
      </c>
      <c r="D27" s="109" t="s">
        <v>3</v>
      </c>
      <c r="E27" s="109" t="s">
        <v>3</v>
      </c>
      <c r="F27" s="110">
        <f>F28</f>
        <v>8012033</v>
      </c>
      <c r="G27" s="110"/>
      <c r="I27" s="125">
        <v>8012033</v>
      </c>
      <c r="L27" s="125">
        <f t="shared" si="0"/>
        <v>0</v>
      </c>
      <c r="M27" s="125">
        <f t="shared" si="1"/>
        <v>0</v>
      </c>
    </row>
    <row r="28" spans="1:13" ht="78.75" outlineLevel="4">
      <c r="A28" s="108" t="s">
        <v>696</v>
      </c>
      <c r="B28" s="109" t="s">
        <v>248</v>
      </c>
      <c r="C28" s="109" t="s">
        <v>70</v>
      </c>
      <c r="D28" s="109" t="s">
        <v>3</v>
      </c>
      <c r="E28" s="109" t="s">
        <v>3</v>
      </c>
      <c r="F28" s="110">
        <f>F29</f>
        <v>8012033</v>
      </c>
      <c r="G28" s="110"/>
      <c r="I28" s="125">
        <v>8012033</v>
      </c>
      <c r="L28" s="125">
        <f t="shared" si="0"/>
        <v>0</v>
      </c>
      <c r="M28" s="125">
        <f t="shared" si="1"/>
        <v>0</v>
      </c>
    </row>
    <row r="29" spans="1:13" ht="15.75" outlineLevel="5">
      <c r="A29" s="108" t="s">
        <v>680</v>
      </c>
      <c r="B29" s="109" t="s">
        <v>248</v>
      </c>
      <c r="C29" s="109" t="s">
        <v>70</v>
      </c>
      <c r="D29" s="109" t="s">
        <v>239</v>
      </c>
      <c r="E29" s="109" t="s">
        <v>2</v>
      </c>
      <c r="F29" s="110">
        <f>Приложение_6!F565</f>
        <v>8012033</v>
      </c>
      <c r="G29" s="110"/>
      <c r="I29" s="125">
        <v>8012033</v>
      </c>
      <c r="L29" s="125">
        <f t="shared" si="0"/>
        <v>0</v>
      </c>
      <c r="M29" s="125">
        <f t="shared" si="1"/>
        <v>0</v>
      </c>
    </row>
    <row r="30" spans="1:13" ht="157.5" outlineLevel="3">
      <c r="A30" s="108" t="s">
        <v>473</v>
      </c>
      <c r="B30" s="109" t="s">
        <v>373</v>
      </c>
      <c r="C30" s="109" t="s">
        <v>1</v>
      </c>
      <c r="D30" s="109" t="s">
        <v>3</v>
      </c>
      <c r="E30" s="109" t="s">
        <v>3</v>
      </c>
      <c r="F30" s="110">
        <f>F31</f>
        <v>1887.92</v>
      </c>
      <c r="G30" s="110">
        <f>G31</f>
        <v>1887.92</v>
      </c>
      <c r="I30" s="125">
        <v>1887.92</v>
      </c>
      <c r="J30" s="125">
        <v>1887.92</v>
      </c>
      <c r="L30" s="125">
        <f t="shared" si="0"/>
        <v>0</v>
      </c>
      <c r="M30" s="125">
        <f t="shared" si="1"/>
        <v>0</v>
      </c>
    </row>
    <row r="31" spans="1:13" ht="78.75" outlineLevel="4">
      <c r="A31" s="108" t="s">
        <v>696</v>
      </c>
      <c r="B31" s="109" t="s">
        <v>373</v>
      </c>
      <c r="C31" s="109" t="s">
        <v>70</v>
      </c>
      <c r="D31" s="109" t="s">
        <v>3</v>
      </c>
      <c r="E31" s="109" t="s">
        <v>3</v>
      </c>
      <c r="F31" s="110">
        <f>F32</f>
        <v>1887.92</v>
      </c>
      <c r="G31" s="110">
        <f>G32</f>
        <v>1887.92</v>
      </c>
      <c r="I31" s="125">
        <v>1887.92</v>
      </c>
      <c r="J31" s="125">
        <v>1887.92</v>
      </c>
      <c r="L31" s="125">
        <f t="shared" si="0"/>
        <v>0</v>
      </c>
      <c r="M31" s="125">
        <f t="shared" si="1"/>
        <v>0</v>
      </c>
    </row>
    <row r="32" spans="1:13" ht="31.5" outlineLevel="5">
      <c r="A32" s="108" t="s">
        <v>687</v>
      </c>
      <c r="B32" s="109" t="s">
        <v>373</v>
      </c>
      <c r="C32" s="109" t="s">
        <v>70</v>
      </c>
      <c r="D32" s="109" t="s">
        <v>187</v>
      </c>
      <c r="E32" s="109" t="s">
        <v>14</v>
      </c>
      <c r="F32" s="110">
        <f>Приложение_6!F851</f>
        <v>1887.92</v>
      </c>
      <c r="G32" s="110">
        <f>F32</f>
        <v>1887.92</v>
      </c>
      <c r="I32" s="125">
        <v>1887.92</v>
      </c>
      <c r="J32" s="125">
        <v>1887.92</v>
      </c>
      <c r="L32" s="125">
        <f t="shared" si="0"/>
        <v>0</v>
      </c>
      <c r="M32" s="125">
        <f t="shared" si="1"/>
        <v>0</v>
      </c>
    </row>
    <row r="33" spans="1:13" ht="141.75" customHeight="1" outlineLevel="3">
      <c r="A33" s="108" t="s">
        <v>474</v>
      </c>
      <c r="B33" s="109" t="s">
        <v>374</v>
      </c>
      <c r="C33" s="109" t="s">
        <v>1</v>
      </c>
      <c r="D33" s="109" t="s">
        <v>3</v>
      </c>
      <c r="E33" s="109" t="s">
        <v>3</v>
      </c>
      <c r="F33" s="110">
        <f>F34</f>
        <v>722034.04</v>
      </c>
      <c r="G33" s="110">
        <f>G34</f>
        <v>722034.04</v>
      </c>
      <c r="I33" s="125">
        <v>722034.04</v>
      </c>
      <c r="J33" s="125">
        <v>722034.04</v>
      </c>
      <c r="L33" s="125">
        <f t="shared" si="0"/>
        <v>0</v>
      </c>
      <c r="M33" s="125">
        <f t="shared" si="1"/>
        <v>0</v>
      </c>
    </row>
    <row r="34" spans="1:13" ht="78.75" outlineLevel="4">
      <c r="A34" s="108" t="s">
        <v>696</v>
      </c>
      <c r="B34" s="109" t="s">
        <v>374</v>
      </c>
      <c r="C34" s="109" t="s">
        <v>70</v>
      </c>
      <c r="D34" s="109" t="s">
        <v>3</v>
      </c>
      <c r="E34" s="109" t="s">
        <v>3</v>
      </c>
      <c r="F34" s="110">
        <f>F35</f>
        <v>722034.04</v>
      </c>
      <c r="G34" s="110">
        <f>G35</f>
        <v>722034.04</v>
      </c>
      <c r="I34" s="125">
        <v>722034.04</v>
      </c>
      <c r="J34" s="125">
        <v>722034.04</v>
      </c>
      <c r="L34" s="125">
        <f t="shared" si="0"/>
        <v>0</v>
      </c>
      <c r="M34" s="125">
        <f t="shared" si="1"/>
        <v>0</v>
      </c>
    </row>
    <row r="35" spans="1:13" ht="31.5" outlineLevel="5">
      <c r="A35" s="108" t="s">
        <v>687</v>
      </c>
      <c r="B35" s="109" t="s">
        <v>374</v>
      </c>
      <c r="C35" s="109" t="s">
        <v>70</v>
      </c>
      <c r="D35" s="109" t="s">
        <v>187</v>
      </c>
      <c r="E35" s="109" t="s">
        <v>14</v>
      </c>
      <c r="F35" s="110">
        <f>Приложение_6!F853</f>
        <v>722034.04</v>
      </c>
      <c r="G35" s="110">
        <f>F35</f>
        <v>722034.04</v>
      </c>
      <c r="I35" s="125">
        <v>722034.04</v>
      </c>
      <c r="J35" s="125">
        <v>722034.04</v>
      </c>
      <c r="L35" s="125">
        <f t="shared" si="0"/>
        <v>0</v>
      </c>
      <c r="M35" s="125">
        <f t="shared" si="1"/>
        <v>0</v>
      </c>
    </row>
    <row r="36" spans="1:13" ht="94.5" outlineLevel="2">
      <c r="A36" s="108" t="s">
        <v>602</v>
      </c>
      <c r="B36" s="109" t="s">
        <v>388</v>
      </c>
      <c r="C36" s="109" t="s">
        <v>1</v>
      </c>
      <c r="D36" s="109" t="s">
        <v>3</v>
      </c>
      <c r="E36" s="109" t="s">
        <v>3</v>
      </c>
      <c r="F36" s="110">
        <f>F37</f>
        <v>425500</v>
      </c>
      <c r="G36" s="110">
        <f>G37</f>
        <v>425500</v>
      </c>
      <c r="I36" s="125">
        <v>425500</v>
      </c>
      <c r="J36" s="125">
        <v>425500</v>
      </c>
      <c r="L36" s="125">
        <f t="shared" si="0"/>
        <v>0</v>
      </c>
      <c r="M36" s="125">
        <f t="shared" si="1"/>
        <v>0</v>
      </c>
    </row>
    <row r="37" spans="1:13" ht="252" outlineLevel="3">
      <c r="A37" s="108" t="s">
        <v>479</v>
      </c>
      <c r="B37" s="109" t="s">
        <v>389</v>
      </c>
      <c r="C37" s="109" t="s">
        <v>1</v>
      </c>
      <c r="D37" s="109" t="s">
        <v>3</v>
      </c>
      <c r="E37" s="109" t="s">
        <v>3</v>
      </c>
      <c r="F37" s="110">
        <f>F38+F40</f>
        <v>425500</v>
      </c>
      <c r="G37" s="110">
        <f>G38+G40</f>
        <v>425500</v>
      </c>
      <c r="I37" s="125">
        <v>425500</v>
      </c>
      <c r="J37" s="125">
        <v>425500</v>
      </c>
      <c r="L37" s="125">
        <f t="shared" si="0"/>
        <v>0</v>
      </c>
      <c r="M37" s="125">
        <f t="shared" si="1"/>
        <v>0</v>
      </c>
    </row>
    <row r="38" spans="1:13" ht="63" outlineLevel="4">
      <c r="A38" s="108" t="s">
        <v>693</v>
      </c>
      <c r="B38" s="109" t="s">
        <v>389</v>
      </c>
      <c r="C38" s="109" t="s">
        <v>17</v>
      </c>
      <c r="D38" s="109" t="s">
        <v>3</v>
      </c>
      <c r="E38" s="109" t="s">
        <v>3</v>
      </c>
      <c r="F38" s="110">
        <f>F39</f>
        <v>170216.5</v>
      </c>
      <c r="G38" s="110">
        <f>G39</f>
        <v>170216.5</v>
      </c>
      <c r="I38" s="125">
        <v>170216.5</v>
      </c>
      <c r="J38" s="125">
        <v>170216.5</v>
      </c>
      <c r="L38" s="125">
        <f t="shared" si="0"/>
        <v>0</v>
      </c>
      <c r="M38" s="125">
        <f t="shared" si="1"/>
        <v>0</v>
      </c>
    </row>
    <row r="39" spans="1:13" ht="15.75" outlineLevel="5">
      <c r="A39" s="108" t="s">
        <v>688</v>
      </c>
      <c r="B39" s="109" t="s">
        <v>389</v>
      </c>
      <c r="C39" s="109" t="s">
        <v>17</v>
      </c>
      <c r="D39" s="109" t="s">
        <v>187</v>
      </c>
      <c r="E39" s="109" t="s">
        <v>22</v>
      </c>
      <c r="F39" s="110">
        <f>Приложение_6!F890</f>
        <v>170216.5</v>
      </c>
      <c r="G39" s="110">
        <f>F39</f>
        <v>170216.5</v>
      </c>
      <c r="I39" s="125">
        <v>170216.5</v>
      </c>
      <c r="J39" s="125">
        <v>170216.5</v>
      </c>
      <c r="L39" s="125">
        <f t="shared" si="0"/>
        <v>0</v>
      </c>
      <c r="M39" s="125">
        <f t="shared" si="1"/>
        <v>0</v>
      </c>
    </row>
    <row r="40" spans="1:13" ht="78.75" outlineLevel="4">
      <c r="A40" s="108" t="s">
        <v>696</v>
      </c>
      <c r="B40" s="109" t="s">
        <v>389</v>
      </c>
      <c r="C40" s="109" t="s">
        <v>70</v>
      </c>
      <c r="D40" s="109" t="s">
        <v>3</v>
      </c>
      <c r="E40" s="109" t="s">
        <v>3</v>
      </c>
      <c r="F40" s="110">
        <f>F41</f>
        <v>255283.5</v>
      </c>
      <c r="G40" s="110">
        <f>G41</f>
        <v>255283.5</v>
      </c>
      <c r="I40" s="125">
        <v>255283.5</v>
      </c>
      <c r="J40" s="125">
        <v>255283.5</v>
      </c>
      <c r="L40" s="125">
        <f t="shared" si="0"/>
        <v>0</v>
      </c>
      <c r="M40" s="125">
        <f t="shared" si="1"/>
        <v>0</v>
      </c>
    </row>
    <row r="41" spans="1:13" ht="15.75" outlineLevel="5">
      <c r="A41" s="108" t="s">
        <v>688</v>
      </c>
      <c r="B41" s="109" t="s">
        <v>389</v>
      </c>
      <c r="C41" s="109" t="s">
        <v>70</v>
      </c>
      <c r="D41" s="109" t="s">
        <v>187</v>
      </c>
      <c r="E41" s="109" t="s">
        <v>22</v>
      </c>
      <c r="F41" s="110">
        <f>Приложение_6!F891</f>
        <v>255283.5</v>
      </c>
      <c r="G41" s="110">
        <f>F41</f>
        <v>255283.5</v>
      </c>
      <c r="I41" s="125">
        <v>255283.5</v>
      </c>
      <c r="J41" s="125">
        <v>255283.5</v>
      </c>
      <c r="L41" s="125">
        <f t="shared" si="0"/>
        <v>0</v>
      </c>
      <c r="M41" s="125">
        <f t="shared" si="1"/>
        <v>0</v>
      </c>
    </row>
    <row r="42" spans="1:13" ht="63" outlineLevel="2">
      <c r="A42" s="108" t="s">
        <v>603</v>
      </c>
      <c r="B42" s="109" t="s">
        <v>390</v>
      </c>
      <c r="C42" s="109" t="s">
        <v>1</v>
      </c>
      <c r="D42" s="109" t="s">
        <v>3</v>
      </c>
      <c r="E42" s="109" t="s">
        <v>3</v>
      </c>
      <c r="F42" s="110">
        <f aca="true" t="shared" si="2" ref="F42:G44">F43</f>
        <v>17018900</v>
      </c>
      <c r="G42" s="110">
        <f t="shared" si="2"/>
        <v>17018900</v>
      </c>
      <c r="I42" s="125">
        <v>17018900</v>
      </c>
      <c r="J42" s="125">
        <v>17018900</v>
      </c>
      <c r="L42" s="125">
        <f t="shared" si="0"/>
        <v>0</v>
      </c>
      <c r="M42" s="125">
        <f t="shared" si="1"/>
        <v>0</v>
      </c>
    </row>
    <row r="43" spans="1:13" ht="141.75" outlineLevel="3">
      <c r="A43" s="108" t="s">
        <v>480</v>
      </c>
      <c r="B43" s="109" t="s">
        <v>391</v>
      </c>
      <c r="C43" s="109" t="s">
        <v>1</v>
      </c>
      <c r="D43" s="109" t="s">
        <v>3</v>
      </c>
      <c r="E43" s="109" t="s">
        <v>3</v>
      </c>
      <c r="F43" s="110">
        <f t="shared" si="2"/>
        <v>17018900</v>
      </c>
      <c r="G43" s="110">
        <f t="shared" si="2"/>
        <v>17018900</v>
      </c>
      <c r="I43" s="125">
        <v>17018900</v>
      </c>
      <c r="J43" s="125">
        <v>17018900</v>
      </c>
      <c r="L43" s="125">
        <f t="shared" si="0"/>
        <v>0</v>
      </c>
      <c r="M43" s="125">
        <f t="shared" si="1"/>
        <v>0</v>
      </c>
    </row>
    <row r="44" spans="1:13" ht="31.5" outlineLevel="4">
      <c r="A44" s="108" t="s">
        <v>694</v>
      </c>
      <c r="B44" s="109" t="s">
        <v>391</v>
      </c>
      <c r="C44" s="109" t="s">
        <v>47</v>
      </c>
      <c r="D44" s="109" t="s">
        <v>3</v>
      </c>
      <c r="E44" s="109" t="s">
        <v>3</v>
      </c>
      <c r="F44" s="110">
        <f t="shared" si="2"/>
        <v>17018900</v>
      </c>
      <c r="G44" s="110">
        <f t="shared" si="2"/>
        <v>17018900</v>
      </c>
      <c r="I44" s="125">
        <v>17018900</v>
      </c>
      <c r="J44" s="125">
        <v>17018900</v>
      </c>
      <c r="L44" s="125">
        <f t="shared" si="0"/>
        <v>0</v>
      </c>
      <c r="M44" s="125">
        <f t="shared" si="1"/>
        <v>0</v>
      </c>
    </row>
    <row r="45" spans="1:13" ht="15.75" outlineLevel="5">
      <c r="A45" s="108" t="s">
        <v>688</v>
      </c>
      <c r="B45" s="109" t="s">
        <v>391</v>
      </c>
      <c r="C45" s="109" t="s">
        <v>47</v>
      </c>
      <c r="D45" s="109" t="s">
        <v>187</v>
      </c>
      <c r="E45" s="109" t="s">
        <v>22</v>
      </c>
      <c r="F45" s="110">
        <f>Приложение_6!F894</f>
        <v>17018900</v>
      </c>
      <c r="G45" s="110">
        <f>F45</f>
        <v>17018900</v>
      </c>
      <c r="I45" s="125">
        <v>17018900</v>
      </c>
      <c r="J45" s="125">
        <v>17018900</v>
      </c>
      <c r="L45" s="125">
        <f t="shared" si="0"/>
        <v>0</v>
      </c>
      <c r="M45" s="125">
        <f t="shared" si="1"/>
        <v>0</v>
      </c>
    </row>
    <row r="46" spans="1:13" ht="110.25" outlineLevel="1">
      <c r="A46" s="115" t="s">
        <v>642</v>
      </c>
      <c r="B46" s="116" t="s">
        <v>256</v>
      </c>
      <c r="C46" s="116" t="s">
        <v>1</v>
      </c>
      <c r="D46" s="116" t="s">
        <v>3</v>
      </c>
      <c r="E46" s="116" t="s">
        <v>3</v>
      </c>
      <c r="F46" s="117">
        <f>F47+F57+F67+F71+F75+F85+F95</f>
        <v>674444560.1800001</v>
      </c>
      <c r="G46" s="117">
        <f>G47+G57+G67+G71+G75+G85+G95</f>
        <v>358567771.18</v>
      </c>
      <c r="I46" s="125">
        <v>676606760.18</v>
      </c>
      <c r="J46" s="125">
        <v>360729971.18</v>
      </c>
      <c r="L46" s="125">
        <f t="shared" si="0"/>
        <v>2162199.999999881</v>
      </c>
      <c r="M46" s="125">
        <f t="shared" si="1"/>
        <v>2162200</v>
      </c>
    </row>
    <row r="47" spans="1:13" ht="110.25" customHeight="1" outlineLevel="2">
      <c r="A47" s="108" t="s">
        <v>566</v>
      </c>
      <c r="B47" s="109" t="s">
        <v>257</v>
      </c>
      <c r="C47" s="109" t="s">
        <v>1</v>
      </c>
      <c r="D47" s="109" t="s">
        <v>3</v>
      </c>
      <c r="E47" s="109" t="s">
        <v>3</v>
      </c>
      <c r="F47" s="110">
        <f>F48+F51+F54</f>
        <v>138171741.06000003</v>
      </c>
      <c r="G47" s="110">
        <f>G48+G51+G54</f>
        <v>138159615.44000003</v>
      </c>
      <c r="I47" s="125">
        <v>140333941.06</v>
      </c>
      <c r="J47" s="125">
        <v>140321815.44</v>
      </c>
      <c r="L47" s="125">
        <f t="shared" si="0"/>
        <v>2162199.99999997</v>
      </c>
      <c r="M47" s="125">
        <f t="shared" si="1"/>
        <v>2162199.99999997</v>
      </c>
    </row>
    <row r="48" spans="1:13" ht="126" outlineLevel="3">
      <c r="A48" s="108" t="s">
        <v>465</v>
      </c>
      <c r="B48" s="109" t="s">
        <v>258</v>
      </c>
      <c r="C48" s="109" t="s">
        <v>1</v>
      </c>
      <c r="D48" s="109" t="s">
        <v>3</v>
      </c>
      <c r="E48" s="109" t="s">
        <v>3</v>
      </c>
      <c r="F48" s="110">
        <f>F49</f>
        <v>230386.86</v>
      </c>
      <c r="G48" s="110">
        <f>G49</f>
        <v>230386.86</v>
      </c>
      <c r="I48" s="125">
        <v>230386.86</v>
      </c>
      <c r="J48" s="125">
        <v>230386.86</v>
      </c>
      <c r="L48" s="125">
        <f t="shared" si="0"/>
        <v>0</v>
      </c>
      <c r="M48" s="125">
        <f t="shared" si="1"/>
        <v>0</v>
      </c>
    </row>
    <row r="49" spans="1:13" ht="78.75" outlineLevel="4">
      <c r="A49" s="108" t="s">
        <v>696</v>
      </c>
      <c r="B49" s="109" t="s">
        <v>258</v>
      </c>
      <c r="C49" s="109" t="s">
        <v>70</v>
      </c>
      <c r="D49" s="109" t="s">
        <v>3</v>
      </c>
      <c r="E49" s="109" t="s">
        <v>3</v>
      </c>
      <c r="F49" s="110">
        <f>F50</f>
        <v>230386.86</v>
      </c>
      <c r="G49" s="110">
        <f>G50</f>
        <v>230386.86</v>
      </c>
      <c r="I49" s="125">
        <v>230386.86</v>
      </c>
      <c r="J49" s="125">
        <v>230386.86</v>
      </c>
      <c r="L49" s="125">
        <f t="shared" si="0"/>
        <v>0</v>
      </c>
      <c r="M49" s="125">
        <f t="shared" si="1"/>
        <v>0</v>
      </c>
    </row>
    <row r="50" spans="1:13" ht="15.75" outlineLevel="5">
      <c r="A50" s="108" t="s">
        <v>681</v>
      </c>
      <c r="B50" s="109" t="s">
        <v>258</v>
      </c>
      <c r="C50" s="109" t="s">
        <v>70</v>
      </c>
      <c r="D50" s="109" t="s">
        <v>239</v>
      </c>
      <c r="E50" s="109" t="s">
        <v>5</v>
      </c>
      <c r="F50" s="110">
        <f>Приложение_6!F594</f>
        <v>230386.86</v>
      </c>
      <c r="G50" s="110">
        <f>F50</f>
        <v>230386.86</v>
      </c>
      <c r="I50" s="125">
        <v>230386.86</v>
      </c>
      <c r="J50" s="125">
        <v>230386.86</v>
      </c>
      <c r="L50" s="125">
        <f t="shared" si="0"/>
        <v>0</v>
      </c>
      <c r="M50" s="125">
        <f t="shared" si="1"/>
        <v>0</v>
      </c>
    </row>
    <row r="51" spans="1:13" ht="110.25" outlineLevel="3">
      <c r="A51" s="108" t="s">
        <v>468</v>
      </c>
      <c r="B51" s="109" t="s">
        <v>259</v>
      </c>
      <c r="C51" s="109" t="s">
        <v>1</v>
      </c>
      <c r="D51" s="109" t="s">
        <v>3</v>
      </c>
      <c r="E51" s="109" t="s">
        <v>3</v>
      </c>
      <c r="F51" s="110">
        <f>F52</f>
        <v>137929228.58</v>
      </c>
      <c r="G51" s="110">
        <f>G52</f>
        <v>137929228.58</v>
      </c>
      <c r="I51" s="125">
        <v>140091428.58</v>
      </c>
      <c r="J51" s="125">
        <v>140091428.58</v>
      </c>
      <c r="L51" s="125">
        <f t="shared" si="0"/>
        <v>2162200</v>
      </c>
      <c r="M51" s="125">
        <f t="shared" si="1"/>
        <v>2162200</v>
      </c>
    </row>
    <row r="52" spans="1:13" ht="78.75" outlineLevel="4">
      <c r="A52" s="108" t="s">
        <v>696</v>
      </c>
      <c r="B52" s="109" t="s">
        <v>259</v>
      </c>
      <c r="C52" s="109" t="s">
        <v>70</v>
      </c>
      <c r="D52" s="109" t="s">
        <v>3</v>
      </c>
      <c r="E52" s="109" t="s">
        <v>3</v>
      </c>
      <c r="F52" s="110">
        <f>F53</f>
        <v>137929228.58</v>
      </c>
      <c r="G52" s="110">
        <f>G53</f>
        <v>137929228.58</v>
      </c>
      <c r="I52" s="125">
        <v>140091428.58</v>
      </c>
      <c r="J52" s="125">
        <v>140091428.58</v>
      </c>
      <c r="L52" s="125">
        <f t="shared" si="0"/>
        <v>2162200</v>
      </c>
      <c r="M52" s="125">
        <f t="shared" si="1"/>
        <v>2162200</v>
      </c>
    </row>
    <row r="53" spans="1:13" ht="15.75" outlineLevel="5">
      <c r="A53" s="108" t="s">
        <v>681</v>
      </c>
      <c r="B53" s="109" t="s">
        <v>259</v>
      </c>
      <c r="C53" s="109" t="s">
        <v>70</v>
      </c>
      <c r="D53" s="109" t="s">
        <v>239</v>
      </c>
      <c r="E53" s="109" t="s">
        <v>5</v>
      </c>
      <c r="F53" s="110">
        <f>Приложение_6!F596</f>
        <v>137929228.58</v>
      </c>
      <c r="G53" s="110">
        <f>F53</f>
        <v>137929228.58</v>
      </c>
      <c r="I53" s="125">
        <v>140091428.58</v>
      </c>
      <c r="J53" s="125">
        <v>140091428.58</v>
      </c>
      <c r="L53" s="125">
        <f t="shared" si="0"/>
        <v>2162200</v>
      </c>
      <c r="M53" s="125">
        <f t="shared" si="1"/>
        <v>2162200</v>
      </c>
    </row>
    <row r="54" spans="1:13" ht="126" outlineLevel="3">
      <c r="A54" s="108" t="s">
        <v>465</v>
      </c>
      <c r="B54" s="109" t="s">
        <v>260</v>
      </c>
      <c r="C54" s="109" t="s">
        <v>1</v>
      </c>
      <c r="D54" s="109" t="s">
        <v>3</v>
      </c>
      <c r="E54" s="109" t="s">
        <v>3</v>
      </c>
      <c r="F54" s="110">
        <f>F55</f>
        <v>12125.62</v>
      </c>
      <c r="G54" s="110"/>
      <c r="I54" s="125">
        <v>12125.62</v>
      </c>
      <c r="L54" s="125">
        <f t="shared" si="0"/>
        <v>0</v>
      </c>
      <c r="M54" s="125">
        <f t="shared" si="1"/>
        <v>0</v>
      </c>
    </row>
    <row r="55" spans="1:13" ht="78.75" outlineLevel="4">
      <c r="A55" s="108" t="s">
        <v>696</v>
      </c>
      <c r="B55" s="109" t="s">
        <v>260</v>
      </c>
      <c r="C55" s="109" t="s">
        <v>70</v>
      </c>
      <c r="D55" s="109" t="s">
        <v>3</v>
      </c>
      <c r="E55" s="109" t="s">
        <v>3</v>
      </c>
      <c r="F55" s="110">
        <f>F56</f>
        <v>12125.62</v>
      </c>
      <c r="G55" s="110"/>
      <c r="I55" s="125">
        <v>12125.62</v>
      </c>
      <c r="L55" s="125">
        <f t="shared" si="0"/>
        <v>0</v>
      </c>
      <c r="M55" s="125">
        <f t="shared" si="1"/>
        <v>0</v>
      </c>
    </row>
    <row r="56" spans="1:13" ht="15.75" outlineLevel="5">
      <c r="A56" s="108" t="s">
        <v>681</v>
      </c>
      <c r="B56" s="109" t="s">
        <v>260</v>
      </c>
      <c r="C56" s="109" t="s">
        <v>70</v>
      </c>
      <c r="D56" s="109" t="s">
        <v>239</v>
      </c>
      <c r="E56" s="109" t="s">
        <v>5</v>
      </c>
      <c r="F56" s="110">
        <f>Приложение_6!F598</f>
        <v>12125.62</v>
      </c>
      <c r="G56" s="110"/>
      <c r="I56" s="125">
        <v>12125.62</v>
      </c>
      <c r="L56" s="125">
        <f t="shared" si="0"/>
        <v>0</v>
      </c>
      <c r="M56" s="125">
        <f t="shared" si="1"/>
        <v>0</v>
      </c>
    </row>
    <row r="57" spans="1:13" ht="110.25" customHeight="1" outlineLevel="2">
      <c r="A57" s="108" t="s">
        <v>567</v>
      </c>
      <c r="B57" s="109" t="s">
        <v>261</v>
      </c>
      <c r="C57" s="109" t="s">
        <v>1</v>
      </c>
      <c r="D57" s="109" t="s">
        <v>3</v>
      </c>
      <c r="E57" s="109" t="s">
        <v>3</v>
      </c>
      <c r="F57" s="110">
        <f>F58+F61+F64</f>
        <v>178529211.02</v>
      </c>
      <c r="G57" s="110">
        <f>G60+G63</f>
        <v>178515760.55</v>
      </c>
      <c r="I57" s="125">
        <v>178529211.02</v>
      </c>
      <c r="J57" s="125">
        <v>178515760.55</v>
      </c>
      <c r="L57" s="125">
        <f t="shared" si="0"/>
        <v>0</v>
      </c>
      <c r="M57" s="125">
        <f t="shared" si="1"/>
        <v>0</v>
      </c>
    </row>
    <row r="58" spans="1:13" ht="126" outlineLevel="3">
      <c r="A58" s="108" t="s">
        <v>465</v>
      </c>
      <c r="B58" s="109" t="s">
        <v>262</v>
      </c>
      <c r="C58" s="109" t="s">
        <v>1</v>
      </c>
      <c r="D58" s="109" t="s">
        <v>3</v>
      </c>
      <c r="E58" s="109" t="s">
        <v>3</v>
      </c>
      <c r="F58" s="110">
        <f>F59</f>
        <v>255558.84</v>
      </c>
      <c r="G58" s="110">
        <f>G59</f>
        <v>255558.84</v>
      </c>
      <c r="I58" s="125">
        <v>255558.84</v>
      </c>
      <c r="J58" s="125">
        <v>255558.84</v>
      </c>
      <c r="L58" s="125">
        <f t="shared" si="0"/>
        <v>0</v>
      </c>
      <c r="M58" s="125">
        <f t="shared" si="1"/>
        <v>0</v>
      </c>
    </row>
    <row r="59" spans="1:13" ht="78.75" outlineLevel="4">
      <c r="A59" s="108" t="s">
        <v>696</v>
      </c>
      <c r="B59" s="109" t="s">
        <v>262</v>
      </c>
      <c r="C59" s="109" t="s">
        <v>70</v>
      </c>
      <c r="D59" s="109" t="s">
        <v>3</v>
      </c>
      <c r="E59" s="109" t="s">
        <v>3</v>
      </c>
      <c r="F59" s="110">
        <f>F60</f>
        <v>255558.84</v>
      </c>
      <c r="G59" s="110">
        <f>G60</f>
        <v>255558.84</v>
      </c>
      <c r="I59" s="125">
        <v>255558.84</v>
      </c>
      <c r="J59" s="125">
        <v>255558.84</v>
      </c>
      <c r="L59" s="125">
        <f t="shared" si="0"/>
        <v>0</v>
      </c>
      <c r="M59" s="125">
        <f t="shared" si="1"/>
        <v>0</v>
      </c>
    </row>
    <row r="60" spans="1:13" ht="15.75" outlineLevel="5">
      <c r="A60" s="108" t="s">
        <v>681</v>
      </c>
      <c r="B60" s="109" t="s">
        <v>262</v>
      </c>
      <c r="C60" s="109" t="s">
        <v>70</v>
      </c>
      <c r="D60" s="109" t="s">
        <v>239</v>
      </c>
      <c r="E60" s="109" t="s">
        <v>5</v>
      </c>
      <c r="F60" s="110">
        <f>Приложение_6!F601</f>
        <v>255558.84</v>
      </c>
      <c r="G60" s="110">
        <f>F60</f>
        <v>255558.84</v>
      </c>
      <c r="I60" s="125">
        <v>255558.84</v>
      </c>
      <c r="J60" s="125">
        <v>255558.84</v>
      </c>
      <c r="L60" s="125">
        <f t="shared" si="0"/>
        <v>0</v>
      </c>
      <c r="M60" s="125">
        <f t="shared" si="1"/>
        <v>0</v>
      </c>
    </row>
    <row r="61" spans="1:13" ht="110.25" outlineLevel="3">
      <c r="A61" s="108" t="s">
        <v>468</v>
      </c>
      <c r="B61" s="109" t="s">
        <v>263</v>
      </c>
      <c r="C61" s="109" t="s">
        <v>1</v>
      </c>
      <c r="D61" s="109" t="s">
        <v>3</v>
      </c>
      <c r="E61" s="109" t="s">
        <v>3</v>
      </c>
      <c r="F61" s="110">
        <f>F62</f>
        <v>178260201.71</v>
      </c>
      <c r="G61" s="110">
        <f>G62</f>
        <v>178260201.71</v>
      </c>
      <c r="I61" s="125">
        <v>178260201.71</v>
      </c>
      <c r="J61" s="125">
        <v>178260201.71</v>
      </c>
      <c r="L61" s="125">
        <f t="shared" si="0"/>
        <v>0</v>
      </c>
      <c r="M61" s="125">
        <f t="shared" si="1"/>
        <v>0</v>
      </c>
    </row>
    <row r="62" spans="1:13" ht="78.75" outlineLevel="4">
      <c r="A62" s="108" t="s">
        <v>696</v>
      </c>
      <c r="B62" s="109" t="s">
        <v>263</v>
      </c>
      <c r="C62" s="109" t="s">
        <v>70</v>
      </c>
      <c r="D62" s="109" t="s">
        <v>3</v>
      </c>
      <c r="E62" s="109" t="s">
        <v>3</v>
      </c>
      <c r="F62" s="110">
        <f>F63</f>
        <v>178260201.71</v>
      </c>
      <c r="G62" s="110">
        <f>G63</f>
        <v>178260201.71</v>
      </c>
      <c r="I62" s="125">
        <v>178260201.71</v>
      </c>
      <c r="J62" s="125">
        <v>178260201.71</v>
      </c>
      <c r="L62" s="125">
        <f t="shared" si="0"/>
        <v>0</v>
      </c>
      <c r="M62" s="125">
        <f t="shared" si="1"/>
        <v>0</v>
      </c>
    </row>
    <row r="63" spans="1:13" ht="15.75" outlineLevel="5">
      <c r="A63" s="108" t="s">
        <v>681</v>
      </c>
      <c r="B63" s="109" t="s">
        <v>263</v>
      </c>
      <c r="C63" s="109" t="s">
        <v>70</v>
      </c>
      <c r="D63" s="109" t="s">
        <v>239</v>
      </c>
      <c r="E63" s="109" t="s">
        <v>5</v>
      </c>
      <c r="F63" s="110">
        <f>Приложение_6!F603</f>
        <v>178260201.71</v>
      </c>
      <c r="G63" s="110">
        <f>F63</f>
        <v>178260201.71</v>
      </c>
      <c r="I63" s="125">
        <v>178260201.71</v>
      </c>
      <c r="J63" s="125">
        <v>178260201.71</v>
      </c>
      <c r="L63" s="125">
        <f t="shared" si="0"/>
        <v>0</v>
      </c>
      <c r="M63" s="125">
        <f t="shared" si="1"/>
        <v>0</v>
      </c>
    </row>
    <row r="64" spans="1:13" ht="126" outlineLevel="3">
      <c r="A64" s="108" t="s">
        <v>465</v>
      </c>
      <c r="B64" s="109" t="s">
        <v>264</v>
      </c>
      <c r="C64" s="109" t="s">
        <v>1</v>
      </c>
      <c r="D64" s="109" t="s">
        <v>3</v>
      </c>
      <c r="E64" s="109" t="s">
        <v>3</v>
      </c>
      <c r="F64" s="110">
        <f>F65</f>
        <v>13450.47</v>
      </c>
      <c r="G64" s="110"/>
      <c r="I64" s="125">
        <v>13450.47</v>
      </c>
      <c r="L64" s="125">
        <f t="shared" si="0"/>
        <v>0</v>
      </c>
      <c r="M64" s="125">
        <f t="shared" si="1"/>
        <v>0</v>
      </c>
    </row>
    <row r="65" spans="1:13" ht="78.75" outlineLevel="4">
      <c r="A65" s="108" t="s">
        <v>696</v>
      </c>
      <c r="B65" s="109" t="s">
        <v>264</v>
      </c>
      <c r="C65" s="109" t="s">
        <v>70</v>
      </c>
      <c r="D65" s="109" t="s">
        <v>3</v>
      </c>
      <c r="E65" s="109" t="s">
        <v>3</v>
      </c>
      <c r="F65" s="110">
        <f>F66</f>
        <v>13450.47</v>
      </c>
      <c r="G65" s="110"/>
      <c r="I65" s="125">
        <v>13450.47</v>
      </c>
      <c r="L65" s="125">
        <f t="shared" si="0"/>
        <v>0</v>
      </c>
      <c r="M65" s="125">
        <f t="shared" si="1"/>
        <v>0</v>
      </c>
    </row>
    <row r="66" spans="1:13" ht="15.75" outlineLevel="5">
      <c r="A66" s="108" t="s">
        <v>681</v>
      </c>
      <c r="B66" s="109" t="s">
        <v>264</v>
      </c>
      <c r="C66" s="109" t="s">
        <v>70</v>
      </c>
      <c r="D66" s="109" t="s">
        <v>239</v>
      </c>
      <c r="E66" s="109" t="s">
        <v>5</v>
      </c>
      <c r="F66" s="110">
        <f>Приложение_6!F605</f>
        <v>13450.47</v>
      </c>
      <c r="G66" s="110"/>
      <c r="I66" s="125">
        <v>13450.47</v>
      </c>
      <c r="L66" s="125">
        <f t="shared" si="0"/>
        <v>0</v>
      </c>
      <c r="M66" s="125">
        <f t="shared" si="1"/>
        <v>0</v>
      </c>
    </row>
    <row r="67" spans="1:13" ht="110.25" customHeight="1" outlineLevel="2">
      <c r="A67" s="108" t="s">
        <v>568</v>
      </c>
      <c r="B67" s="109" t="s">
        <v>265</v>
      </c>
      <c r="C67" s="109" t="s">
        <v>1</v>
      </c>
      <c r="D67" s="109" t="s">
        <v>3</v>
      </c>
      <c r="E67" s="109" t="s">
        <v>3</v>
      </c>
      <c r="F67" s="110">
        <f aca="true" t="shared" si="3" ref="F67:G69">F68</f>
        <v>34687169.71</v>
      </c>
      <c r="G67" s="110">
        <f t="shared" si="3"/>
        <v>34687169.71</v>
      </c>
      <c r="I67" s="125">
        <v>34687169.71</v>
      </c>
      <c r="J67" s="125">
        <v>34687169.71</v>
      </c>
      <c r="L67" s="125">
        <f t="shared" si="0"/>
        <v>0</v>
      </c>
      <c r="M67" s="125">
        <f t="shared" si="1"/>
        <v>0</v>
      </c>
    </row>
    <row r="68" spans="1:13" ht="110.25" outlineLevel="3">
      <c r="A68" s="108" t="s">
        <v>468</v>
      </c>
      <c r="B68" s="109" t="s">
        <v>266</v>
      </c>
      <c r="C68" s="109" t="s">
        <v>1</v>
      </c>
      <c r="D68" s="109" t="s">
        <v>3</v>
      </c>
      <c r="E68" s="109" t="s">
        <v>3</v>
      </c>
      <c r="F68" s="110">
        <f t="shared" si="3"/>
        <v>34687169.71</v>
      </c>
      <c r="G68" s="110">
        <f t="shared" si="3"/>
        <v>34687169.71</v>
      </c>
      <c r="I68" s="125">
        <v>34687169.71</v>
      </c>
      <c r="J68" s="125">
        <v>34687169.71</v>
      </c>
      <c r="L68" s="125">
        <f t="shared" si="0"/>
        <v>0</v>
      </c>
      <c r="M68" s="125">
        <f t="shared" si="1"/>
        <v>0</v>
      </c>
    </row>
    <row r="69" spans="1:13" ht="78.75" outlineLevel="4">
      <c r="A69" s="108" t="s">
        <v>696</v>
      </c>
      <c r="B69" s="109" t="s">
        <v>266</v>
      </c>
      <c r="C69" s="109" t="s">
        <v>70</v>
      </c>
      <c r="D69" s="109" t="s">
        <v>3</v>
      </c>
      <c r="E69" s="109" t="s">
        <v>3</v>
      </c>
      <c r="F69" s="110">
        <f t="shared" si="3"/>
        <v>34687169.71</v>
      </c>
      <c r="G69" s="110">
        <f t="shared" si="3"/>
        <v>34687169.71</v>
      </c>
      <c r="I69" s="125">
        <v>34687169.71</v>
      </c>
      <c r="J69" s="125">
        <v>34687169.71</v>
      </c>
      <c r="L69" s="125">
        <f t="shared" si="0"/>
        <v>0</v>
      </c>
      <c r="M69" s="125">
        <f t="shared" si="1"/>
        <v>0</v>
      </c>
    </row>
    <row r="70" spans="1:13" ht="15.75" outlineLevel="5">
      <c r="A70" s="108" t="s">
        <v>681</v>
      </c>
      <c r="B70" s="109" t="s">
        <v>266</v>
      </c>
      <c r="C70" s="109" t="s">
        <v>70</v>
      </c>
      <c r="D70" s="109" t="s">
        <v>239</v>
      </c>
      <c r="E70" s="109" t="s">
        <v>5</v>
      </c>
      <c r="F70" s="110">
        <f>Приложение_6!F608</f>
        <v>34687169.71</v>
      </c>
      <c r="G70" s="110">
        <f>F70</f>
        <v>34687169.71</v>
      </c>
      <c r="I70" s="125">
        <v>34687169.71</v>
      </c>
      <c r="J70" s="125">
        <v>34687169.71</v>
      </c>
      <c r="L70" s="125">
        <f t="shared" si="0"/>
        <v>0</v>
      </c>
      <c r="M70" s="125">
        <f t="shared" si="1"/>
        <v>0</v>
      </c>
    </row>
    <row r="71" spans="1:13" ht="157.5" outlineLevel="2">
      <c r="A71" s="108" t="s">
        <v>569</v>
      </c>
      <c r="B71" s="109" t="s">
        <v>267</v>
      </c>
      <c r="C71" s="109" t="s">
        <v>1</v>
      </c>
      <c r="D71" s="109" t="s">
        <v>3</v>
      </c>
      <c r="E71" s="109" t="s">
        <v>3</v>
      </c>
      <c r="F71" s="110">
        <f>F72</f>
        <v>101563041.91</v>
      </c>
      <c r="G71" s="110"/>
      <c r="I71" s="125">
        <v>101563041.91</v>
      </c>
      <c r="L71" s="125">
        <f t="shared" si="0"/>
        <v>0</v>
      </c>
      <c r="M71" s="125">
        <f t="shared" si="1"/>
        <v>0</v>
      </c>
    </row>
    <row r="72" spans="1:13" ht="126" outlineLevel="3">
      <c r="A72" s="108" t="s">
        <v>443</v>
      </c>
      <c r="B72" s="109" t="s">
        <v>268</v>
      </c>
      <c r="C72" s="109" t="s">
        <v>1</v>
      </c>
      <c r="D72" s="109" t="s">
        <v>3</v>
      </c>
      <c r="E72" s="109" t="s">
        <v>3</v>
      </c>
      <c r="F72" s="110">
        <f>F73</f>
        <v>101563041.91</v>
      </c>
      <c r="G72" s="110"/>
      <c r="I72" s="125">
        <v>101563041.91</v>
      </c>
      <c r="L72" s="125">
        <f t="shared" si="0"/>
        <v>0</v>
      </c>
      <c r="M72" s="125">
        <f t="shared" si="1"/>
        <v>0</v>
      </c>
    </row>
    <row r="73" spans="1:13" ht="78.75" outlineLevel="4">
      <c r="A73" s="108" t="s">
        <v>696</v>
      </c>
      <c r="B73" s="109" t="s">
        <v>268</v>
      </c>
      <c r="C73" s="109" t="s">
        <v>70</v>
      </c>
      <c r="D73" s="109" t="s">
        <v>3</v>
      </c>
      <c r="E73" s="109" t="s">
        <v>3</v>
      </c>
      <c r="F73" s="110">
        <f>F74</f>
        <v>101563041.91</v>
      </c>
      <c r="G73" s="110"/>
      <c r="I73" s="125">
        <v>101563041.91</v>
      </c>
      <c r="L73" s="125">
        <f t="shared" si="0"/>
        <v>0</v>
      </c>
      <c r="M73" s="125">
        <f t="shared" si="1"/>
        <v>0</v>
      </c>
    </row>
    <row r="74" spans="1:13" ht="15.75" outlineLevel="5">
      <c r="A74" s="108" t="s">
        <v>681</v>
      </c>
      <c r="B74" s="109" t="s">
        <v>268</v>
      </c>
      <c r="C74" s="109" t="s">
        <v>70</v>
      </c>
      <c r="D74" s="109" t="s">
        <v>239</v>
      </c>
      <c r="E74" s="109" t="s">
        <v>5</v>
      </c>
      <c r="F74" s="110">
        <f>Приложение_6!F611</f>
        <v>101563041.91</v>
      </c>
      <c r="G74" s="110"/>
      <c r="I74" s="125">
        <v>101563041.91</v>
      </c>
      <c r="L74" s="125">
        <f t="shared" si="0"/>
        <v>0</v>
      </c>
      <c r="M74" s="125">
        <f t="shared" si="1"/>
        <v>0</v>
      </c>
    </row>
    <row r="75" spans="1:13" ht="31.5" outlineLevel="2">
      <c r="A75" s="108" t="s">
        <v>562</v>
      </c>
      <c r="B75" s="109" t="s">
        <v>269</v>
      </c>
      <c r="C75" s="109" t="s">
        <v>1</v>
      </c>
      <c r="D75" s="109" t="s">
        <v>3</v>
      </c>
      <c r="E75" s="109" t="s">
        <v>3</v>
      </c>
      <c r="F75" s="110">
        <f>F76+F79+F82</f>
        <v>8217225.04</v>
      </c>
      <c r="G75" s="110">
        <f>G81+G84</f>
        <v>1360214.04</v>
      </c>
      <c r="I75" s="125">
        <v>8217225.04</v>
      </c>
      <c r="J75" s="125">
        <v>1360214.04</v>
      </c>
      <c r="L75" s="125">
        <f aca="true" t="shared" si="4" ref="L75:L138">I75-F75</f>
        <v>0</v>
      </c>
      <c r="M75" s="125">
        <f aca="true" t="shared" si="5" ref="M75:M138">J75-G75</f>
        <v>0</v>
      </c>
    </row>
    <row r="76" spans="1:13" ht="126" outlineLevel="3">
      <c r="A76" s="108" t="s">
        <v>432</v>
      </c>
      <c r="B76" s="109" t="s">
        <v>270</v>
      </c>
      <c r="C76" s="109" t="s">
        <v>1</v>
      </c>
      <c r="D76" s="109" t="s">
        <v>3</v>
      </c>
      <c r="E76" s="109" t="s">
        <v>3</v>
      </c>
      <c r="F76" s="110">
        <f>F77</f>
        <v>6857011</v>
      </c>
      <c r="G76" s="110"/>
      <c r="I76" s="125">
        <v>6857011</v>
      </c>
      <c r="L76" s="125">
        <f t="shared" si="4"/>
        <v>0</v>
      </c>
      <c r="M76" s="125">
        <f t="shared" si="5"/>
        <v>0</v>
      </c>
    </row>
    <row r="77" spans="1:13" ht="78.75" outlineLevel="4">
      <c r="A77" s="108" t="s">
        <v>696</v>
      </c>
      <c r="B77" s="109" t="s">
        <v>270</v>
      </c>
      <c r="C77" s="109" t="s">
        <v>70</v>
      </c>
      <c r="D77" s="109" t="s">
        <v>3</v>
      </c>
      <c r="E77" s="109" t="s">
        <v>3</v>
      </c>
      <c r="F77" s="110">
        <f>F78</f>
        <v>6857011</v>
      </c>
      <c r="G77" s="110"/>
      <c r="I77" s="125">
        <v>6857011</v>
      </c>
      <c r="L77" s="125">
        <f t="shared" si="4"/>
        <v>0</v>
      </c>
      <c r="M77" s="125">
        <f t="shared" si="5"/>
        <v>0</v>
      </c>
    </row>
    <row r="78" spans="1:13" ht="15.75" outlineLevel="5">
      <c r="A78" s="108" t="s">
        <v>681</v>
      </c>
      <c r="B78" s="109" t="s">
        <v>270</v>
      </c>
      <c r="C78" s="109" t="s">
        <v>70</v>
      </c>
      <c r="D78" s="109" t="s">
        <v>239</v>
      </c>
      <c r="E78" s="109" t="s">
        <v>5</v>
      </c>
      <c r="F78" s="110">
        <f>Приложение_6!F614</f>
        <v>6857011</v>
      </c>
      <c r="G78" s="110"/>
      <c r="I78" s="125">
        <v>6857011</v>
      </c>
      <c r="L78" s="125">
        <f t="shared" si="4"/>
        <v>0</v>
      </c>
      <c r="M78" s="125">
        <f t="shared" si="5"/>
        <v>0</v>
      </c>
    </row>
    <row r="79" spans="1:13" ht="157.5" outlineLevel="3">
      <c r="A79" s="108" t="s">
        <v>473</v>
      </c>
      <c r="B79" s="109" t="s">
        <v>375</v>
      </c>
      <c r="C79" s="109" t="s">
        <v>1</v>
      </c>
      <c r="D79" s="109" t="s">
        <v>3</v>
      </c>
      <c r="E79" s="109" t="s">
        <v>3</v>
      </c>
      <c r="F79" s="110">
        <f>F80</f>
        <v>3548.08</v>
      </c>
      <c r="G79" s="110">
        <f>G80</f>
        <v>3548.08</v>
      </c>
      <c r="I79" s="125">
        <v>3548.08</v>
      </c>
      <c r="J79" s="125">
        <v>3548.08</v>
      </c>
      <c r="L79" s="125">
        <f t="shared" si="4"/>
        <v>0</v>
      </c>
      <c r="M79" s="125">
        <f t="shared" si="5"/>
        <v>0</v>
      </c>
    </row>
    <row r="80" spans="1:13" ht="78.75" outlineLevel="4">
      <c r="A80" s="108" t="s">
        <v>696</v>
      </c>
      <c r="B80" s="109" t="s">
        <v>375</v>
      </c>
      <c r="C80" s="109" t="s">
        <v>70</v>
      </c>
      <c r="D80" s="109" t="s">
        <v>3</v>
      </c>
      <c r="E80" s="109" t="s">
        <v>3</v>
      </c>
      <c r="F80" s="110">
        <f>F81</f>
        <v>3548.08</v>
      </c>
      <c r="G80" s="110">
        <f>G81</f>
        <v>3548.08</v>
      </c>
      <c r="I80" s="125">
        <v>3548.08</v>
      </c>
      <c r="J80" s="125">
        <v>3548.08</v>
      </c>
      <c r="L80" s="125">
        <f t="shared" si="4"/>
        <v>0</v>
      </c>
      <c r="M80" s="125">
        <f t="shared" si="5"/>
        <v>0</v>
      </c>
    </row>
    <row r="81" spans="1:13" ht="31.5" outlineLevel="5">
      <c r="A81" s="108" t="s">
        <v>687</v>
      </c>
      <c r="B81" s="109" t="s">
        <v>375</v>
      </c>
      <c r="C81" s="109" t="s">
        <v>70</v>
      </c>
      <c r="D81" s="109" t="s">
        <v>187</v>
      </c>
      <c r="E81" s="109" t="s">
        <v>14</v>
      </c>
      <c r="F81" s="110">
        <f>Приложение_6!F857</f>
        <v>3548.08</v>
      </c>
      <c r="G81" s="110">
        <f>F81</f>
        <v>3548.08</v>
      </c>
      <c r="I81" s="125">
        <v>3548.08</v>
      </c>
      <c r="J81" s="125">
        <v>3548.08</v>
      </c>
      <c r="L81" s="125">
        <f t="shared" si="4"/>
        <v>0</v>
      </c>
      <c r="M81" s="125">
        <f t="shared" si="5"/>
        <v>0</v>
      </c>
    </row>
    <row r="82" spans="1:13" ht="141.75" customHeight="1" outlineLevel="3">
      <c r="A82" s="108" t="s">
        <v>474</v>
      </c>
      <c r="B82" s="109" t="s">
        <v>376</v>
      </c>
      <c r="C82" s="109" t="s">
        <v>1</v>
      </c>
      <c r="D82" s="109" t="s">
        <v>3</v>
      </c>
      <c r="E82" s="109" t="s">
        <v>3</v>
      </c>
      <c r="F82" s="110">
        <f>F83</f>
        <v>1356665.96</v>
      </c>
      <c r="G82" s="110">
        <f>G83</f>
        <v>1356665.96</v>
      </c>
      <c r="I82" s="125">
        <v>1356665.96</v>
      </c>
      <c r="J82" s="125">
        <v>1356665.96</v>
      </c>
      <c r="L82" s="125">
        <f t="shared" si="4"/>
        <v>0</v>
      </c>
      <c r="M82" s="125">
        <f t="shared" si="5"/>
        <v>0</v>
      </c>
    </row>
    <row r="83" spans="1:13" ht="78.75" outlineLevel="4">
      <c r="A83" s="108" t="s">
        <v>696</v>
      </c>
      <c r="B83" s="109" t="s">
        <v>376</v>
      </c>
      <c r="C83" s="109" t="s">
        <v>70</v>
      </c>
      <c r="D83" s="109" t="s">
        <v>3</v>
      </c>
      <c r="E83" s="109" t="s">
        <v>3</v>
      </c>
      <c r="F83" s="110">
        <f>F84</f>
        <v>1356665.96</v>
      </c>
      <c r="G83" s="110">
        <f>G84</f>
        <v>1356665.96</v>
      </c>
      <c r="I83" s="125">
        <v>1356665.96</v>
      </c>
      <c r="J83" s="125">
        <v>1356665.96</v>
      </c>
      <c r="L83" s="125">
        <f t="shared" si="4"/>
        <v>0</v>
      </c>
      <c r="M83" s="125">
        <f t="shared" si="5"/>
        <v>0</v>
      </c>
    </row>
    <row r="84" spans="1:13" ht="31.5" outlineLevel="5">
      <c r="A84" s="108" t="s">
        <v>687</v>
      </c>
      <c r="B84" s="109" t="s">
        <v>376</v>
      </c>
      <c r="C84" s="109" t="s">
        <v>70</v>
      </c>
      <c r="D84" s="109" t="s">
        <v>187</v>
      </c>
      <c r="E84" s="109" t="s">
        <v>14</v>
      </c>
      <c r="F84" s="110">
        <f>Приложение_6!F859</f>
        <v>1356665.96</v>
      </c>
      <c r="G84" s="110">
        <f>F84</f>
        <v>1356665.96</v>
      </c>
      <c r="I84" s="125">
        <v>1356665.96</v>
      </c>
      <c r="J84" s="125">
        <v>1356665.96</v>
      </c>
      <c r="L84" s="125">
        <f t="shared" si="4"/>
        <v>0</v>
      </c>
      <c r="M84" s="125">
        <f t="shared" si="5"/>
        <v>0</v>
      </c>
    </row>
    <row r="85" spans="1:13" ht="78.75" customHeight="1" outlineLevel="2">
      <c r="A85" s="108" t="s">
        <v>571</v>
      </c>
      <c r="B85" s="109" t="s">
        <v>273</v>
      </c>
      <c r="C85" s="109" t="s">
        <v>1</v>
      </c>
      <c r="D85" s="109" t="s">
        <v>3</v>
      </c>
      <c r="E85" s="109" t="s">
        <v>3</v>
      </c>
      <c r="F85" s="110">
        <f>F86+F89+F92</f>
        <v>209853851.44</v>
      </c>
      <c r="G85" s="110">
        <f>G91</f>
        <v>5845011.44</v>
      </c>
      <c r="I85" s="125">
        <v>209853851.44</v>
      </c>
      <c r="J85" s="125">
        <v>5845011.44</v>
      </c>
      <c r="L85" s="125">
        <f t="shared" si="4"/>
        <v>0</v>
      </c>
      <c r="M85" s="125">
        <f t="shared" si="5"/>
        <v>0</v>
      </c>
    </row>
    <row r="86" spans="1:13" ht="126" outlineLevel="3">
      <c r="A86" s="108" t="s">
        <v>443</v>
      </c>
      <c r="B86" s="109" t="s">
        <v>274</v>
      </c>
      <c r="C86" s="109" t="s">
        <v>1</v>
      </c>
      <c r="D86" s="109" t="s">
        <v>3</v>
      </c>
      <c r="E86" s="109" t="s">
        <v>3</v>
      </c>
      <c r="F86" s="110">
        <f>F87</f>
        <v>201050490</v>
      </c>
      <c r="G86" s="110"/>
      <c r="I86" s="125">
        <v>201050490</v>
      </c>
      <c r="L86" s="125">
        <f t="shared" si="4"/>
        <v>0</v>
      </c>
      <c r="M86" s="125">
        <f t="shared" si="5"/>
        <v>0</v>
      </c>
    </row>
    <row r="87" spans="1:13" ht="78.75" outlineLevel="4">
      <c r="A87" s="108" t="s">
        <v>696</v>
      </c>
      <c r="B87" s="109" t="s">
        <v>274</v>
      </c>
      <c r="C87" s="109" t="s">
        <v>70</v>
      </c>
      <c r="D87" s="109" t="s">
        <v>3</v>
      </c>
      <c r="E87" s="109" t="s">
        <v>3</v>
      </c>
      <c r="F87" s="110">
        <f>F88</f>
        <v>201050490</v>
      </c>
      <c r="G87" s="110"/>
      <c r="I87" s="125">
        <v>201050490</v>
      </c>
      <c r="L87" s="125">
        <f t="shared" si="4"/>
        <v>0</v>
      </c>
      <c r="M87" s="125">
        <f t="shared" si="5"/>
        <v>0</v>
      </c>
    </row>
    <row r="88" spans="1:13" ht="31.5" outlineLevel="5">
      <c r="A88" s="108" t="s">
        <v>682</v>
      </c>
      <c r="B88" s="109" t="s">
        <v>274</v>
      </c>
      <c r="C88" s="109" t="s">
        <v>70</v>
      </c>
      <c r="D88" s="109" t="s">
        <v>239</v>
      </c>
      <c r="E88" s="109" t="s">
        <v>14</v>
      </c>
      <c r="F88" s="110">
        <f>Приложение_6!F639</f>
        <v>201050490</v>
      </c>
      <c r="G88" s="110"/>
      <c r="I88" s="125">
        <v>201050490</v>
      </c>
      <c r="L88" s="125">
        <f t="shared" si="4"/>
        <v>0</v>
      </c>
      <c r="M88" s="125">
        <f t="shared" si="5"/>
        <v>0</v>
      </c>
    </row>
    <row r="89" spans="1:13" ht="126" outlineLevel="3">
      <c r="A89" s="108" t="s">
        <v>465</v>
      </c>
      <c r="B89" s="109" t="s">
        <v>275</v>
      </c>
      <c r="C89" s="109" t="s">
        <v>1</v>
      </c>
      <c r="D89" s="109" t="s">
        <v>3</v>
      </c>
      <c r="E89" s="109" t="s">
        <v>3</v>
      </c>
      <c r="F89" s="110">
        <f>F90</f>
        <v>5845011.44</v>
      </c>
      <c r="G89" s="110">
        <f>G90</f>
        <v>5845011.44</v>
      </c>
      <c r="I89" s="125">
        <v>5845011.44</v>
      </c>
      <c r="J89" s="125">
        <v>5845011.44</v>
      </c>
      <c r="L89" s="125">
        <f t="shared" si="4"/>
        <v>0</v>
      </c>
      <c r="M89" s="125">
        <f t="shared" si="5"/>
        <v>0</v>
      </c>
    </row>
    <row r="90" spans="1:13" ht="78.75" outlineLevel="4">
      <c r="A90" s="108" t="s">
        <v>696</v>
      </c>
      <c r="B90" s="109" t="s">
        <v>275</v>
      </c>
      <c r="C90" s="109" t="s">
        <v>70</v>
      </c>
      <c r="D90" s="109" t="s">
        <v>3</v>
      </c>
      <c r="E90" s="109" t="s">
        <v>3</v>
      </c>
      <c r="F90" s="110">
        <f>F91</f>
        <v>5845011.44</v>
      </c>
      <c r="G90" s="110">
        <f>G91</f>
        <v>5845011.44</v>
      </c>
      <c r="I90" s="125">
        <v>5845011.44</v>
      </c>
      <c r="J90" s="125">
        <v>5845011.44</v>
      </c>
      <c r="L90" s="125">
        <f t="shared" si="4"/>
        <v>0</v>
      </c>
      <c r="M90" s="125">
        <f t="shared" si="5"/>
        <v>0</v>
      </c>
    </row>
    <row r="91" spans="1:13" ht="31.5" outlineLevel="5">
      <c r="A91" s="108" t="s">
        <v>682</v>
      </c>
      <c r="B91" s="109" t="s">
        <v>275</v>
      </c>
      <c r="C91" s="109" t="s">
        <v>70</v>
      </c>
      <c r="D91" s="109" t="s">
        <v>239</v>
      </c>
      <c r="E91" s="109" t="s">
        <v>14</v>
      </c>
      <c r="F91" s="110">
        <f>Приложение_6!F641</f>
        <v>5845011.44</v>
      </c>
      <c r="G91" s="110">
        <f>F91</f>
        <v>5845011.44</v>
      </c>
      <c r="I91" s="125">
        <v>5845011.44</v>
      </c>
      <c r="J91" s="125">
        <v>5845011.44</v>
      </c>
      <c r="L91" s="125">
        <f t="shared" si="4"/>
        <v>0</v>
      </c>
      <c r="M91" s="125">
        <f t="shared" si="5"/>
        <v>0</v>
      </c>
    </row>
    <row r="92" spans="1:13" ht="126" outlineLevel="3">
      <c r="A92" s="108" t="s">
        <v>465</v>
      </c>
      <c r="B92" s="109" t="s">
        <v>276</v>
      </c>
      <c r="C92" s="109" t="s">
        <v>1</v>
      </c>
      <c r="D92" s="109" t="s">
        <v>3</v>
      </c>
      <c r="E92" s="109" t="s">
        <v>3</v>
      </c>
      <c r="F92" s="110">
        <f>F93</f>
        <v>2958350</v>
      </c>
      <c r="G92" s="110"/>
      <c r="I92" s="125">
        <v>2958350</v>
      </c>
      <c r="L92" s="125">
        <f t="shared" si="4"/>
        <v>0</v>
      </c>
      <c r="M92" s="125">
        <f t="shared" si="5"/>
        <v>0</v>
      </c>
    </row>
    <row r="93" spans="1:13" ht="78.75" outlineLevel="4">
      <c r="A93" s="108" t="s">
        <v>696</v>
      </c>
      <c r="B93" s="109" t="s">
        <v>276</v>
      </c>
      <c r="C93" s="109" t="s">
        <v>70</v>
      </c>
      <c r="D93" s="109" t="s">
        <v>3</v>
      </c>
      <c r="E93" s="109" t="s">
        <v>3</v>
      </c>
      <c r="F93" s="110">
        <f>F94</f>
        <v>2958350</v>
      </c>
      <c r="G93" s="110"/>
      <c r="I93" s="125">
        <v>2958350</v>
      </c>
      <c r="L93" s="125">
        <f t="shared" si="4"/>
        <v>0</v>
      </c>
      <c r="M93" s="125">
        <f t="shared" si="5"/>
        <v>0</v>
      </c>
    </row>
    <row r="94" spans="1:13" ht="31.5" outlineLevel="5">
      <c r="A94" s="108" t="s">
        <v>682</v>
      </c>
      <c r="B94" s="109" t="s">
        <v>276</v>
      </c>
      <c r="C94" s="109" t="s">
        <v>70</v>
      </c>
      <c r="D94" s="109" t="s">
        <v>239</v>
      </c>
      <c r="E94" s="109" t="s">
        <v>14</v>
      </c>
      <c r="F94" s="110">
        <f>Приложение_6!F643</f>
        <v>2958350</v>
      </c>
      <c r="G94" s="110"/>
      <c r="I94" s="125">
        <v>2958350</v>
      </c>
      <c r="L94" s="125">
        <f t="shared" si="4"/>
        <v>0</v>
      </c>
      <c r="M94" s="125">
        <f t="shared" si="5"/>
        <v>0</v>
      </c>
    </row>
    <row r="95" spans="1:13" ht="31.5" outlineLevel="2">
      <c r="A95" s="108" t="s">
        <v>562</v>
      </c>
      <c r="B95" s="109" t="s">
        <v>277</v>
      </c>
      <c r="C95" s="109" t="s">
        <v>1</v>
      </c>
      <c r="D95" s="109" t="s">
        <v>3</v>
      </c>
      <c r="E95" s="109" t="s">
        <v>3</v>
      </c>
      <c r="F95" s="110">
        <f>F96</f>
        <v>3422320</v>
      </c>
      <c r="G95" s="110"/>
      <c r="I95" s="125">
        <v>3422320</v>
      </c>
      <c r="L95" s="125">
        <f t="shared" si="4"/>
        <v>0</v>
      </c>
      <c r="M95" s="125">
        <f t="shared" si="5"/>
        <v>0</v>
      </c>
    </row>
    <row r="96" spans="1:13" ht="126" outlineLevel="3">
      <c r="A96" s="108" t="s">
        <v>432</v>
      </c>
      <c r="B96" s="109" t="s">
        <v>278</v>
      </c>
      <c r="C96" s="109" t="s">
        <v>1</v>
      </c>
      <c r="D96" s="109" t="s">
        <v>3</v>
      </c>
      <c r="E96" s="109" t="s">
        <v>3</v>
      </c>
      <c r="F96" s="110">
        <f>F97</f>
        <v>3422320</v>
      </c>
      <c r="G96" s="110"/>
      <c r="I96" s="125">
        <v>3422320</v>
      </c>
      <c r="L96" s="125">
        <f t="shared" si="4"/>
        <v>0</v>
      </c>
      <c r="M96" s="125">
        <f t="shared" si="5"/>
        <v>0</v>
      </c>
    </row>
    <row r="97" spans="1:13" ht="78.75" outlineLevel="4">
      <c r="A97" s="108" t="s">
        <v>696</v>
      </c>
      <c r="B97" s="109" t="s">
        <v>278</v>
      </c>
      <c r="C97" s="109" t="s">
        <v>70</v>
      </c>
      <c r="D97" s="109" t="s">
        <v>3</v>
      </c>
      <c r="E97" s="109" t="s">
        <v>3</v>
      </c>
      <c r="F97" s="110">
        <f>F98</f>
        <v>3422320</v>
      </c>
      <c r="G97" s="110"/>
      <c r="I97" s="125">
        <v>3422320</v>
      </c>
      <c r="L97" s="125">
        <f t="shared" si="4"/>
        <v>0</v>
      </c>
      <c r="M97" s="125">
        <f t="shared" si="5"/>
        <v>0</v>
      </c>
    </row>
    <row r="98" spans="1:13" ht="31.5" outlineLevel="5">
      <c r="A98" s="108" t="s">
        <v>682</v>
      </c>
      <c r="B98" s="109" t="s">
        <v>278</v>
      </c>
      <c r="C98" s="109" t="s">
        <v>70</v>
      </c>
      <c r="D98" s="109" t="s">
        <v>239</v>
      </c>
      <c r="E98" s="109" t="s">
        <v>14</v>
      </c>
      <c r="F98" s="110">
        <f>Приложение_6!F646</f>
        <v>3422320</v>
      </c>
      <c r="G98" s="110"/>
      <c r="I98" s="125">
        <v>3422320</v>
      </c>
      <c r="L98" s="125">
        <f t="shared" si="4"/>
        <v>0</v>
      </c>
      <c r="M98" s="125">
        <f t="shared" si="5"/>
        <v>0</v>
      </c>
    </row>
    <row r="99" spans="1:13" ht="63" outlineLevel="1">
      <c r="A99" s="115" t="s">
        <v>614</v>
      </c>
      <c r="B99" s="116" t="s">
        <v>24</v>
      </c>
      <c r="C99" s="116" t="s">
        <v>1</v>
      </c>
      <c r="D99" s="116" t="s">
        <v>3</v>
      </c>
      <c r="E99" s="116" t="s">
        <v>3</v>
      </c>
      <c r="F99" s="117">
        <f>F100+F104+F111+F117+F121+F128+F132+F136+F140+F150</f>
        <v>58246118.66</v>
      </c>
      <c r="G99" s="117">
        <f>G100+G104+G111+G117+G121+G128+G132+G136+G140+G150</f>
        <v>41769800</v>
      </c>
      <c r="I99" s="125">
        <v>58246118.66</v>
      </c>
      <c r="L99" s="125">
        <f t="shared" si="4"/>
        <v>0</v>
      </c>
      <c r="M99" s="125">
        <f t="shared" si="5"/>
        <v>-41769800</v>
      </c>
    </row>
    <row r="100" spans="1:13" ht="252" outlineLevel="2">
      <c r="A100" s="108" t="s">
        <v>491</v>
      </c>
      <c r="B100" s="109" t="s">
        <v>25</v>
      </c>
      <c r="C100" s="109" t="s">
        <v>1</v>
      </c>
      <c r="D100" s="109" t="s">
        <v>3</v>
      </c>
      <c r="E100" s="109" t="s">
        <v>3</v>
      </c>
      <c r="F100" s="110">
        <f>F101</f>
        <v>478823.5900000001</v>
      </c>
      <c r="G100" s="110"/>
      <c r="I100" s="125">
        <v>1373779.26</v>
      </c>
      <c r="L100" s="125">
        <f t="shared" si="4"/>
        <v>894955.6699999999</v>
      </c>
      <c r="M100" s="125">
        <f t="shared" si="5"/>
        <v>0</v>
      </c>
    </row>
    <row r="101" spans="1:13" ht="63" outlineLevel="3">
      <c r="A101" s="108" t="s">
        <v>434</v>
      </c>
      <c r="B101" s="109" t="s">
        <v>26</v>
      </c>
      <c r="C101" s="109" t="s">
        <v>1</v>
      </c>
      <c r="D101" s="109" t="s">
        <v>3</v>
      </c>
      <c r="E101" s="109" t="s">
        <v>3</v>
      </c>
      <c r="F101" s="110">
        <f>F102</f>
        <v>478823.5900000001</v>
      </c>
      <c r="G101" s="110"/>
      <c r="I101" s="125">
        <v>1373779.26</v>
      </c>
      <c r="L101" s="125">
        <f t="shared" si="4"/>
        <v>894955.6699999999</v>
      </c>
      <c r="M101" s="125">
        <f t="shared" si="5"/>
        <v>0</v>
      </c>
    </row>
    <row r="102" spans="1:13" ht="141.75" outlineLevel="4">
      <c r="A102" s="108" t="s">
        <v>1202</v>
      </c>
      <c r="B102" s="109" t="s">
        <v>26</v>
      </c>
      <c r="C102" s="109" t="s">
        <v>10</v>
      </c>
      <c r="D102" s="109" t="s">
        <v>3</v>
      </c>
      <c r="E102" s="109" t="s">
        <v>3</v>
      </c>
      <c r="F102" s="110">
        <f>F103</f>
        <v>478823.5900000001</v>
      </c>
      <c r="G102" s="110"/>
      <c r="I102" s="125">
        <v>1373779.26</v>
      </c>
      <c r="L102" s="125">
        <f t="shared" si="4"/>
        <v>894955.6699999999</v>
      </c>
      <c r="M102" s="125">
        <f t="shared" si="5"/>
        <v>0</v>
      </c>
    </row>
    <row r="103" spans="1:13" ht="126" outlineLevel="5">
      <c r="A103" s="108" t="s">
        <v>665</v>
      </c>
      <c r="B103" s="109" t="s">
        <v>26</v>
      </c>
      <c r="C103" s="109" t="s">
        <v>10</v>
      </c>
      <c r="D103" s="109" t="s">
        <v>2</v>
      </c>
      <c r="E103" s="109" t="s">
        <v>22</v>
      </c>
      <c r="F103" s="110">
        <f>Приложение_6!F54</f>
        <v>478823.5900000001</v>
      </c>
      <c r="G103" s="110"/>
      <c r="I103" s="125">
        <v>1373779.26</v>
      </c>
      <c r="L103" s="125">
        <f t="shared" si="4"/>
        <v>894955.6699999999</v>
      </c>
      <c r="M103" s="125">
        <f t="shared" si="5"/>
        <v>0</v>
      </c>
    </row>
    <row r="104" spans="1:13" ht="126" outlineLevel="2">
      <c r="A104" s="108" t="s">
        <v>492</v>
      </c>
      <c r="B104" s="109" t="s">
        <v>27</v>
      </c>
      <c r="C104" s="109" t="s">
        <v>1</v>
      </c>
      <c r="D104" s="109" t="s">
        <v>3</v>
      </c>
      <c r="E104" s="109" t="s">
        <v>3</v>
      </c>
      <c r="F104" s="110">
        <f>F105+F108</f>
        <v>2897595.5199999996</v>
      </c>
      <c r="G104" s="110"/>
      <c r="I104" s="125">
        <v>2124094.82</v>
      </c>
      <c r="L104" s="125">
        <f t="shared" si="4"/>
        <v>-773500.6999999997</v>
      </c>
      <c r="M104" s="125">
        <f t="shared" si="5"/>
        <v>0</v>
      </c>
    </row>
    <row r="105" spans="1:13" ht="63" outlineLevel="3">
      <c r="A105" s="108" t="s">
        <v>434</v>
      </c>
      <c r="B105" s="109" t="s">
        <v>28</v>
      </c>
      <c r="C105" s="109" t="s">
        <v>1</v>
      </c>
      <c r="D105" s="109" t="s">
        <v>3</v>
      </c>
      <c r="E105" s="109" t="s">
        <v>3</v>
      </c>
      <c r="F105" s="110">
        <f>F106</f>
        <v>2869995.5199999996</v>
      </c>
      <c r="G105" s="110"/>
      <c r="I105" s="125">
        <v>2099094.82</v>
      </c>
      <c r="L105" s="125">
        <f t="shared" si="4"/>
        <v>-770900.6999999997</v>
      </c>
      <c r="M105" s="125">
        <f t="shared" si="5"/>
        <v>0</v>
      </c>
    </row>
    <row r="106" spans="1:13" ht="141.75" outlineLevel="4">
      <c r="A106" s="108" t="s">
        <v>1202</v>
      </c>
      <c r="B106" s="109" t="s">
        <v>28</v>
      </c>
      <c r="C106" s="109" t="s">
        <v>10</v>
      </c>
      <c r="D106" s="109" t="s">
        <v>3</v>
      </c>
      <c r="E106" s="109" t="s">
        <v>3</v>
      </c>
      <c r="F106" s="110">
        <f>F107</f>
        <v>2869995.5199999996</v>
      </c>
      <c r="G106" s="110"/>
      <c r="I106" s="125">
        <v>2099094.82</v>
      </c>
      <c r="L106" s="125">
        <f t="shared" si="4"/>
        <v>-770900.6999999997</v>
      </c>
      <c r="M106" s="125">
        <f t="shared" si="5"/>
        <v>0</v>
      </c>
    </row>
    <row r="107" spans="1:13" ht="126" outlineLevel="5">
      <c r="A107" s="108" t="s">
        <v>665</v>
      </c>
      <c r="B107" s="109" t="s">
        <v>28</v>
      </c>
      <c r="C107" s="109" t="s">
        <v>10</v>
      </c>
      <c r="D107" s="109" t="s">
        <v>2</v>
      </c>
      <c r="E107" s="109" t="s">
        <v>22</v>
      </c>
      <c r="F107" s="110">
        <f>Приложение_6!F57</f>
        <v>2869995.5199999996</v>
      </c>
      <c r="G107" s="110"/>
      <c r="I107" s="125">
        <v>2099094.82</v>
      </c>
      <c r="L107" s="125">
        <f t="shared" si="4"/>
        <v>-770900.6999999997</v>
      </c>
      <c r="M107" s="125">
        <f t="shared" si="5"/>
        <v>0</v>
      </c>
    </row>
    <row r="108" spans="1:13" ht="126" outlineLevel="3">
      <c r="A108" s="108" t="s">
        <v>432</v>
      </c>
      <c r="B108" s="109" t="s">
        <v>29</v>
      </c>
      <c r="C108" s="109" t="s">
        <v>1</v>
      </c>
      <c r="D108" s="109" t="s">
        <v>3</v>
      </c>
      <c r="E108" s="109" t="s">
        <v>3</v>
      </c>
      <c r="F108" s="110">
        <f>F109</f>
        <v>27600</v>
      </c>
      <c r="G108" s="110"/>
      <c r="I108" s="125">
        <v>25000</v>
      </c>
      <c r="L108" s="125">
        <f t="shared" si="4"/>
        <v>-2600</v>
      </c>
      <c r="M108" s="125">
        <f t="shared" si="5"/>
        <v>0</v>
      </c>
    </row>
    <row r="109" spans="1:13" ht="141.75" outlineLevel="4">
      <c r="A109" s="108" t="s">
        <v>1202</v>
      </c>
      <c r="B109" s="109" t="s">
        <v>29</v>
      </c>
      <c r="C109" s="109" t="s">
        <v>10</v>
      </c>
      <c r="D109" s="109" t="s">
        <v>3</v>
      </c>
      <c r="E109" s="109" t="s">
        <v>3</v>
      </c>
      <c r="F109" s="110">
        <f>F110</f>
        <v>27600</v>
      </c>
      <c r="G109" s="110"/>
      <c r="I109" s="125">
        <v>25000</v>
      </c>
      <c r="L109" s="125">
        <f t="shared" si="4"/>
        <v>-2600</v>
      </c>
      <c r="M109" s="125">
        <f t="shared" si="5"/>
        <v>0</v>
      </c>
    </row>
    <row r="110" spans="1:13" ht="126" outlineLevel="5">
      <c r="A110" s="108" t="s">
        <v>665</v>
      </c>
      <c r="B110" s="109" t="s">
        <v>29</v>
      </c>
      <c r="C110" s="109" t="s">
        <v>10</v>
      </c>
      <c r="D110" s="109" t="s">
        <v>2</v>
      </c>
      <c r="E110" s="109" t="s">
        <v>22</v>
      </c>
      <c r="F110" s="110">
        <f>Приложение_6!F59</f>
        <v>27600</v>
      </c>
      <c r="G110" s="110"/>
      <c r="I110" s="125">
        <v>25000</v>
      </c>
      <c r="L110" s="125">
        <f t="shared" si="4"/>
        <v>-2600</v>
      </c>
      <c r="M110" s="125">
        <f t="shared" si="5"/>
        <v>0</v>
      </c>
    </row>
    <row r="111" spans="1:13" ht="78.75" outlineLevel="2">
      <c r="A111" s="108" t="s">
        <v>604</v>
      </c>
      <c r="B111" s="109" t="s">
        <v>392</v>
      </c>
      <c r="C111" s="109" t="s">
        <v>1</v>
      </c>
      <c r="D111" s="109" t="s">
        <v>3</v>
      </c>
      <c r="E111" s="109" t="s">
        <v>3</v>
      </c>
      <c r="F111" s="110">
        <f>F112</f>
        <v>5286000</v>
      </c>
      <c r="G111" s="110">
        <f>G112</f>
        <v>5286000</v>
      </c>
      <c r="I111" s="125">
        <v>5286000</v>
      </c>
      <c r="J111" s="125">
        <v>5286000</v>
      </c>
      <c r="L111" s="125">
        <f t="shared" si="4"/>
        <v>0</v>
      </c>
      <c r="M111" s="125">
        <f t="shared" si="5"/>
        <v>0</v>
      </c>
    </row>
    <row r="112" spans="1:13" ht="189" outlineLevel="3">
      <c r="A112" s="108" t="s">
        <v>481</v>
      </c>
      <c r="B112" s="109" t="s">
        <v>393</v>
      </c>
      <c r="C112" s="109" t="s">
        <v>1</v>
      </c>
      <c r="D112" s="109" t="s">
        <v>3</v>
      </c>
      <c r="E112" s="109" t="s">
        <v>3</v>
      </c>
      <c r="F112" s="110">
        <f>F113+F115</f>
        <v>5286000</v>
      </c>
      <c r="G112" s="110">
        <f>G113+G115</f>
        <v>5286000</v>
      </c>
      <c r="I112" s="125">
        <v>5286000</v>
      </c>
      <c r="J112" s="125">
        <v>5286000</v>
      </c>
      <c r="L112" s="125">
        <f t="shared" si="4"/>
        <v>0</v>
      </c>
      <c r="M112" s="125">
        <f t="shared" si="5"/>
        <v>0</v>
      </c>
    </row>
    <row r="113" spans="1:13" ht="141.75" outlineLevel="4">
      <c r="A113" s="108" t="s">
        <v>1202</v>
      </c>
      <c r="B113" s="109" t="s">
        <v>393</v>
      </c>
      <c r="C113" s="109" t="s">
        <v>10</v>
      </c>
      <c r="D113" s="109" t="s">
        <v>3</v>
      </c>
      <c r="E113" s="109" t="s">
        <v>3</v>
      </c>
      <c r="F113" s="110">
        <f>F114</f>
        <v>3774682.59</v>
      </c>
      <c r="G113" s="110">
        <f>G114</f>
        <v>3774682.59</v>
      </c>
      <c r="I113" s="125">
        <v>3774682.59</v>
      </c>
      <c r="J113" s="125">
        <v>3774682.59</v>
      </c>
      <c r="L113" s="125">
        <f t="shared" si="4"/>
        <v>0</v>
      </c>
      <c r="M113" s="125">
        <f t="shared" si="5"/>
        <v>0</v>
      </c>
    </row>
    <row r="114" spans="1:13" ht="15.75" outlineLevel="5">
      <c r="A114" s="108" t="s">
        <v>688</v>
      </c>
      <c r="B114" s="109" t="s">
        <v>393</v>
      </c>
      <c r="C114" s="109" t="s">
        <v>10</v>
      </c>
      <c r="D114" s="109" t="s">
        <v>187</v>
      </c>
      <c r="E114" s="109" t="s">
        <v>22</v>
      </c>
      <c r="F114" s="110">
        <f>Приложение_6!F898</f>
        <v>3774682.59</v>
      </c>
      <c r="G114" s="110">
        <f>F114</f>
        <v>3774682.59</v>
      </c>
      <c r="I114" s="125">
        <v>3774682.59</v>
      </c>
      <c r="J114" s="125">
        <v>3774682.59</v>
      </c>
      <c r="L114" s="125">
        <f t="shared" si="4"/>
        <v>0</v>
      </c>
      <c r="M114" s="125">
        <f t="shared" si="5"/>
        <v>0</v>
      </c>
    </row>
    <row r="115" spans="1:13" ht="63" outlineLevel="4">
      <c r="A115" s="108" t="s">
        <v>693</v>
      </c>
      <c r="B115" s="109" t="s">
        <v>393</v>
      </c>
      <c r="C115" s="109" t="s">
        <v>17</v>
      </c>
      <c r="D115" s="109" t="s">
        <v>3</v>
      </c>
      <c r="E115" s="109" t="s">
        <v>3</v>
      </c>
      <c r="F115" s="110">
        <f>F116</f>
        <v>1511317.41</v>
      </c>
      <c r="G115" s="110">
        <f>G116</f>
        <v>1511317.41</v>
      </c>
      <c r="I115" s="125">
        <v>1511317.41</v>
      </c>
      <c r="J115" s="125">
        <v>1511317.41</v>
      </c>
      <c r="L115" s="125">
        <f t="shared" si="4"/>
        <v>0</v>
      </c>
      <c r="M115" s="125">
        <f t="shared" si="5"/>
        <v>0</v>
      </c>
    </row>
    <row r="116" spans="1:13" ht="15.75" outlineLevel="5">
      <c r="A116" s="108" t="s">
        <v>688</v>
      </c>
      <c r="B116" s="109" t="s">
        <v>393</v>
      </c>
      <c r="C116" s="109" t="s">
        <v>17</v>
      </c>
      <c r="D116" s="109" t="s">
        <v>187</v>
      </c>
      <c r="E116" s="109" t="s">
        <v>22</v>
      </c>
      <c r="F116" s="110">
        <f>Приложение_6!F899</f>
        <v>1511317.41</v>
      </c>
      <c r="G116" s="110">
        <f>F116</f>
        <v>1511317.41</v>
      </c>
      <c r="I116" s="125">
        <v>1511317.41</v>
      </c>
      <c r="J116" s="125">
        <v>1511317.41</v>
      </c>
      <c r="L116" s="125">
        <f t="shared" si="4"/>
        <v>0</v>
      </c>
      <c r="M116" s="125">
        <f t="shared" si="5"/>
        <v>0</v>
      </c>
    </row>
    <row r="117" spans="1:13" ht="283.5" customHeight="1" outlineLevel="2">
      <c r="A117" s="108" t="s">
        <v>599</v>
      </c>
      <c r="B117" s="109" t="s">
        <v>377</v>
      </c>
      <c r="C117" s="109" t="s">
        <v>1</v>
      </c>
      <c r="D117" s="109" t="s">
        <v>3</v>
      </c>
      <c r="E117" s="109" t="s">
        <v>3</v>
      </c>
      <c r="F117" s="110">
        <f>F118</f>
        <v>147100</v>
      </c>
      <c r="G117" s="110">
        <f>G120</f>
        <v>147100</v>
      </c>
      <c r="I117" s="125">
        <v>147100</v>
      </c>
      <c r="J117" s="125">
        <v>147100</v>
      </c>
      <c r="L117" s="125">
        <f t="shared" si="4"/>
        <v>0</v>
      </c>
      <c r="M117" s="125">
        <f t="shared" si="5"/>
        <v>0</v>
      </c>
    </row>
    <row r="118" spans="1:13" ht="283.5" customHeight="1" outlineLevel="3">
      <c r="A118" s="108" t="s">
        <v>475</v>
      </c>
      <c r="B118" s="109" t="s">
        <v>378</v>
      </c>
      <c r="C118" s="109" t="s">
        <v>1</v>
      </c>
      <c r="D118" s="109" t="s">
        <v>3</v>
      </c>
      <c r="E118" s="109" t="s">
        <v>3</v>
      </c>
      <c r="F118" s="110">
        <f>F119</f>
        <v>147100</v>
      </c>
      <c r="G118" s="110">
        <f>G119</f>
        <v>147100</v>
      </c>
      <c r="I118" s="125">
        <v>147100</v>
      </c>
      <c r="J118" s="125">
        <v>147100</v>
      </c>
      <c r="L118" s="125">
        <f t="shared" si="4"/>
        <v>0</v>
      </c>
      <c r="M118" s="125">
        <f t="shared" si="5"/>
        <v>0</v>
      </c>
    </row>
    <row r="119" spans="1:13" ht="31.5" outlineLevel="4">
      <c r="A119" s="108" t="s">
        <v>694</v>
      </c>
      <c r="B119" s="109" t="s">
        <v>378</v>
      </c>
      <c r="C119" s="109" t="s">
        <v>47</v>
      </c>
      <c r="D119" s="109" t="s">
        <v>3</v>
      </c>
      <c r="E119" s="109" t="s">
        <v>3</v>
      </c>
      <c r="F119" s="110">
        <f>F120</f>
        <v>147100</v>
      </c>
      <c r="G119" s="110">
        <f>G120</f>
        <v>147100</v>
      </c>
      <c r="I119" s="125">
        <v>147100</v>
      </c>
      <c r="J119" s="125">
        <v>147100</v>
      </c>
      <c r="L119" s="125">
        <f t="shared" si="4"/>
        <v>0</v>
      </c>
      <c r="M119" s="125">
        <f t="shared" si="5"/>
        <v>0</v>
      </c>
    </row>
    <row r="120" spans="1:13" ht="31.5" outlineLevel="5">
      <c r="A120" s="108" t="s">
        <v>687</v>
      </c>
      <c r="B120" s="109" t="s">
        <v>378</v>
      </c>
      <c r="C120" s="109" t="s">
        <v>47</v>
      </c>
      <c r="D120" s="109" t="s">
        <v>187</v>
      </c>
      <c r="E120" s="109" t="s">
        <v>14</v>
      </c>
      <c r="F120" s="110">
        <f>Приложение_6!F863</f>
        <v>147100</v>
      </c>
      <c r="G120" s="110">
        <f>F120</f>
        <v>147100</v>
      </c>
      <c r="I120" s="125">
        <v>147100</v>
      </c>
      <c r="J120" s="125">
        <v>147100</v>
      </c>
      <c r="L120" s="125">
        <f t="shared" si="4"/>
        <v>0</v>
      </c>
      <c r="M120" s="125">
        <f t="shared" si="5"/>
        <v>0</v>
      </c>
    </row>
    <row r="121" spans="1:13" ht="157.5" outlineLevel="2">
      <c r="A121" s="108" t="s">
        <v>600</v>
      </c>
      <c r="B121" s="109" t="s">
        <v>379</v>
      </c>
      <c r="C121" s="109" t="s">
        <v>1</v>
      </c>
      <c r="D121" s="109" t="s">
        <v>3</v>
      </c>
      <c r="E121" s="109" t="s">
        <v>3</v>
      </c>
      <c r="F121" s="110">
        <f>F122+F125</f>
        <v>1869400</v>
      </c>
      <c r="G121" s="110">
        <f>G122+G125</f>
        <v>1869400</v>
      </c>
      <c r="I121" s="125">
        <v>1869400</v>
      </c>
      <c r="J121" s="125">
        <v>1869400</v>
      </c>
      <c r="L121" s="125">
        <f t="shared" si="4"/>
        <v>0</v>
      </c>
      <c r="M121" s="125">
        <f t="shared" si="5"/>
        <v>0</v>
      </c>
    </row>
    <row r="122" spans="1:13" ht="141.75" customHeight="1" outlineLevel="3">
      <c r="A122" s="108" t="s">
        <v>476</v>
      </c>
      <c r="B122" s="109" t="s">
        <v>380</v>
      </c>
      <c r="C122" s="109" t="s">
        <v>1</v>
      </c>
      <c r="D122" s="109" t="s">
        <v>3</v>
      </c>
      <c r="E122" s="109" t="s">
        <v>3</v>
      </c>
      <c r="F122" s="110">
        <f>F123</f>
        <v>1847600</v>
      </c>
      <c r="G122" s="110">
        <f>G123</f>
        <v>1847600</v>
      </c>
      <c r="I122" s="125">
        <v>1847600</v>
      </c>
      <c r="J122" s="125">
        <v>1847600</v>
      </c>
      <c r="L122" s="125">
        <f t="shared" si="4"/>
        <v>0</v>
      </c>
      <c r="M122" s="125">
        <f t="shared" si="5"/>
        <v>0</v>
      </c>
    </row>
    <row r="123" spans="1:13" ht="31.5" outlineLevel="4">
      <c r="A123" s="108" t="s">
        <v>694</v>
      </c>
      <c r="B123" s="109" t="s">
        <v>380</v>
      </c>
      <c r="C123" s="109" t="s">
        <v>47</v>
      </c>
      <c r="D123" s="109" t="s">
        <v>3</v>
      </c>
      <c r="E123" s="109" t="s">
        <v>3</v>
      </c>
      <c r="F123" s="110">
        <f>F124</f>
        <v>1847600</v>
      </c>
      <c r="G123" s="110">
        <f>G124</f>
        <v>1847600</v>
      </c>
      <c r="I123" s="125">
        <v>1847600</v>
      </c>
      <c r="J123" s="125">
        <v>1847600</v>
      </c>
      <c r="L123" s="125">
        <f t="shared" si="4"/>
        <v>0</v>
      </c>
      <c r="M123" s="125">
        <f t="shared" si="5"/>
        <v>0</v>
      </c>
    </row>
    <row r="124" spans="1:13" ht="31.5" outlineLevel="5">
      <c r="A124" s="108" t="s">
        <v>687</v>
      </c>
      <c r="B124" s="109" t="s">
        <v>380</v>
      </c>
      <c r="C124" s="109" t="s">
        <v>47</v>
      </c>
      <c r="D124" s="109" t="s">
        <v>187</v>
      </c>
      <c r="E124" s="109" t="s">
        <v>14</v>
      </c>
      <c r="F124" s="110">
        <f>Приложение_6!F866</f>
        <v>1847600</v>
      </c>
      <c r="G124" s="110">
        <f>F124</f>
        <v>1847600</v>
      </c>
      <c r="I124" s="125">
        <v>1847600</v>
      </c>
      <c r="J124" s="125">
        <v>1847600</v>
      </c>
      <c r="L124" s="125">
        <f t="shared" si="4"/>
        <v>0</v>
      </c>
      <c r="M124" s="125">
        <f t="shared" si="5"/>
        <v>0</v>
      </c>
    </row>
    <row r="125" spans="1:13" ht="157.5" outlineLevel="3">
      <c r="A125" s="108" t="s">
        <v>477</v>
      </c>
      <c r="B125" s="109" t="s">
        <v>381</v>
      </c>
      <c r="C125" s="109" t="s">
        <v>1</v>
      </c>
      <c r="D125" s="109" t="s">
        <v>3</v>
      </c>
      <c r="E125" s="109" t="s">
        <v>3</v>
      </c>
      <c r="F125" s="110">
        <f>F126</f>
        <v>21800</v>
      </c>
      <c r="G125" s="110">
        <f>G126</f>
        <v>21800</v>
      </c>
      <c r="I125" s="125">
        <v>21800</v>
      </c>
      <c r="J125" s="125">
        <v>21800</v>
      </c>
      <c r="L125" s="125">
        <f t="shared" si="4"/>
        <v>0</v>
      </c>
      <c r="M125" s="125">
        <f t="shared" si="5"/>
        <v>0</v>
      </c>
    </row>
    <row r="126" spans="1:13" ht="141.75" outlineLevel="4">
      <c r="A126" s="108" t="s">
        <v>1202</v>
      </c>
      <c r="B126" s="109" t="s">
        <v>381</v>
      </c>
      <c r="C126" s="109" t="s">
        <v>10</v>
      </c>
      <c r="D126" s="109" t="s">
        <v>3</v>
      </c>
      <c r="E126" s="109" t="s">
        <v>3</v>
      </c>
      <c r="F126" s="110">
        <f>F127</f>
        <v>21800</v>
      </c>
      <c r="G126" s="110">
        <f>G127</f>
        <v>21800</v>
      </c>
      <c r="I126" s="125">
        <v>21800</v>
      </c>
      <c r="J126" s="125">
        <v>21800</v>
      </c>
      <c r="L126" s="125">
        <f t="shared" si="4"/>
        <v>0</v>
      </c>
      <c r="M126" s="125">
        <f t="shared" si="5"/>
        <v>0</v>
      </c>
    </row>
    <row r="127" spans="1:13" ht="31.5" outlineLevel="5">
      <c r="A127" s="108" t="s">
        <v>687</v>
      </c>
      <c r="B127" s="109" t="s">
        <v>381</v>
      </c>
      <c r="C127" s="109" t="s">
        <v>10</v>
      </c>
      <c r="D127" s="109" t="s">
        <v>187</v>
      </c>
      <c r="E127" s="109" t="s">
        <v>14</v>
      </c>
      <c r="F127" s="110">
        <f>Приложение_6!F868</f>
        <v>21800</v>
      </c>
      <c r="G127" s="110">
        <f>F127</f>
        <v>21800</v>
      </c>
      <c r="I127" s="125">
        <v>21800</v>
      </c>
      <c r="J127" s="125">
        <v>21800</v>
      </c>
      <c r="L127" s="125">
        <f t="shared" si="4"/>
        <v>0</v>
      </c>
      <c r="M127" s="125">
        <f t="shared" si="5"/>
        <v>0</v>
      </c>
    </row>
    <row r="128" spans="1:13" ht="189" outlineLevel="2">
      <c r="A128" s="108" t="s">
        <v>601</v>
      </c>
      <c r="B128" s="109" t="s">
        <v>382</v>
      </c>
      <c r="C128" s="109" t="s">
        <v>1</v>
      </c>
      <c r="D128" s="109" t="s">
        <v>3</v>
      </c>
      <c r="E128" s="109" t="s">
        <v>3</v>
      </c>
      <c r="F128" s="110">
        <f aca="true" t="shared" si="6" ref="F128:G130">F129</f>
        <v>314000</v>
      </c>
      <c r="G128" s="110">
        <f t="shared" si="6"/>
        <v>314000</v>
      </c>
      <c r="I128" s="125">
        <v>314000</v>
      </c>
      <c r="J128" s="125">
        <v>314000</v>
      </c>
      <c r="L128" s="125">
        <f t="shared" si="4"/>
        <v>0</v>
      </c>
      <c r="M128" s="125">
        <f t="shared" si="5"/>
        <v>0</v>
      </c>
    </row>
    <row r="129" spans="1:13" ht="283.5" outlineLevel="3">
      <c r="A129" s="108" t="s">
        <v>478</v>
      </c>
      <c r="B129" s="109" t="s">
        <v>383</v>
      </c>
      <c r="C129" s="109" t="s">
        <v>1</v>
      </c>
      <c r="D129" s="109" t="s">
        <v>3</v>
      </c>
      <c r="E129" s="109" t="s">
        <v>3</v>
      </c>
      <c r="F129" s="110">
        <f t="shared" si="6"/>
        <v>314000</v>
      </c>
      <c r="G129" s="110">
        <f t="shared" si="6"/>
        <v>314000</v>
      </c>
      <c r="I129" s="125">
        <v>314000</v>
      </c>
      <c r="J129" s="125">
        <v>314000</v>
      </c>
      <c r="L129" s="125">
        <f t="shared" si="4"/>
        <v>0</v>
      </c>
      <c r="M129" s="125">
        <f t="shared" si="5"/>
        <v>0</v>
      </c>
    </row>
    <row r="130" spans="1:13" ht="31.5" outlineLevel="4">
      <c r="A130" s="108" t="s">
        <v>694</v>
      </c>
      <c r="B130" s="109" t="s">
        <v>383</v>
      </c>
      <c r="C130" s="109" t="s">
        <v>47</v>
      </c>
      <c r="D130" s="109" t="s">
        <v>3</v>
      </c>
      <c r="E130" s="109" t="s">
        <v>3</v>
      </c>
      <c r="F130" s="110">
        <f t="shared" si="6"/>
        <v>314000</v>
      </c>
      <c r="G130" s="110">
        <f t="shared" si="6"/>
        <v>314000</v>
      </c>
      <c r="I130" s="125">
        <v>314000</v>
      </c>
      <c r="J130" s="125">
        <v>314000</v>
      </c>
      <c r="L130" s="125">
        <f t="shared" si="4"/>
        <v>0</v>
      </c>
      <c r="M130" s="125">
        <f t="shared" si="5"/>
        <v>0</v>
      </c>
    </row>
    <row r="131" spans="1:13" ht="31.5" outlineLevel="5">
      <c r="A131" s="108" t="s">
        <v>687</v>
      </c>
      <c r="B131" s="109" t="s">
        <v>383</v>
      </c>
      <c r="C131" s="109" t="s">
        <v>47</v>
      </c>
      <c r="D131" s="109" t="s">
        <v>187</v>
      </c>
      <c r="E131" s="109" t="s">
        <v>14</v>
      </c>
      <c r="F131" s="110">
        <f>Приложение_6!F871</f>
        <v>314000</v>
      </c>
      <c r="G131" s="110">
        <f>F131</f>
        <v>314000</v>
      </c>
      <c r="I131" s="125">
        <v>314000</v>
      </c>
      <c r="J131" s="125">
        <v>314000</v>
      </c>
      <c r="L131" s="125">
        <f t="shared" si="4"/>
        <v>0</v>
      </c>
      <c r="M131" s="125">
        <f t="shared" si="5"/>
        <v>0</v>
      </c>
    </row>
    <row r="132" spans="1:13" ht="110.25" outlineLevel="2">
      <c r="A132" s="108" t="s">
        <v>605</v>
      </c>
      <c r="B132" s="109" t="s">
        <v>394</v>
      </c>
      <c r="C132" s="109" t="s">
        <v>1</v>
      </c>
      <c r="D132" s="109" t="s">
        <v>3</v>
      </c>
      <c r="E132" s="109" t="s">
        <v>3</v>
      </c>
      <c r="F132" s="110">
        <f aca="true" t="shared" si="7" ref="F132:G134">F133</f>
        <v>756100</v>
      </c>
      <c r="G132" s="110">
        <f t="shared" si="7"/>
        <v>756100</v>
      </c>
      <c r="I132" s="125">
        <v>756100</v>
      </c>
      <c r="J132" s="125">
        <v>756100</v>
      </c>
      <c r="L132" s="125">
        <f t="shared" si="4"/>
        <v>0</v>
      </c>
      <c r="M132" s="125">
        <f t="shared" si="5"/>
        <v>0</v>
      </c>
    </row>
    <row r="133" spans="1:13" ht="173.25" outlineLevel="3">
      <c r="A133" s="108" t="s">
        <v>482</v>
      </c>
      <c r="B133" s="109" t="s">
        <v>395</v>
      </c>
      <c r="C133" s="109" t="s">
        <v>1</v>
      </c>
      <c r="D133" s="109" t="s">
        <v>3</v>
      </c>
      <c r="E133" s="109" t="s">
        <v>3</v>
      </c>
      <c r="F133" s="110">
        <f t="shared" si="7"/>
        <v>756100</v>
      </c>
      <c r="G133" s="110">
        <f t="shared" si="7"/>
        <v>756100</v>
      </c>
      <c r="I133" s="125">
        <v>756100</v>
      </c>
      <c r="J133" s="125">
        <v>756100</v>
      </c>
      <c r="L133" s="125">
        <f t="shared" si="4"/>
        <v>0</v>
      </c>
      <c r="M133" s="125">
        <f t="shared" si="5"/>
        <v>0</v>
      </c>
    </row>
    <row r="134" spans="1:13" ht="31.5" outlineLevel="4">
      <c r="A134" s="108" t="s">
        <v>694</v>
      </c>
      <c r="B134" s="109" t="s">
        <v>395</v>
      </c>
      <c r="C134" s="109" t="s">
        <v>47</v>
      </c>
      <c r="D134" s="109" t="s">
        <v>3</v>
      </c>
      <c r="E134" s="109" t="s">
        <v>3</v>
      </c>
      <c r="F134" s="110">
        <f t="shared" si="7"/>
        <v>756100</v>
      </c>
      <c r="G134" s="110">
        <f t="shared" si="7"/>
        <v>756100</v>
      </c>
      <c r="I134" s="125">
        <v>756100</v>
      </c>
      <c r="J134" s="125">
        <v>756100</v>
      </c>
      <c r="L134" s="125">
        <f t="shared" si="4"/>
        <v>0</v>
      </c>
      <c r="M134" s="125">
        <f t="shared" si="5"/>
        <v>0</v>
      </c>
    </row>
    <row r="135" spans="1:13" ht="15.75" outlineLevel="5">
      <c r="A135" s="108" t="s">
        <v>688</v>
      </c>
      <c r="B135" s="109" t="s">
        <v>395</v>
      </c>
      <c r="C135" s="109" t="s">
        <v>47</v>
      </c>
      <c r="D135" s="109" t="s">
        <v>187</v>
      </c>
      <c r="E135" s="109" t="s">
        <v>22</v>
      </c>
      <c r="F135" s="110">
        <f>Приложение_6!F902</f>
        <v>756100</v>
      </c>
      <c r="G135" s="110">
        <f>F135</f>
        <v>756100</v>
      </c>
      <c r="I135" s="125">
        <v>756100</v>
      </c>
      <c r="J135" s="125">
        <v>756100</v>
      </c>
      <c r="L135" s="125">
        <f t="shared" si="4"/>
        <v>0</v>
      </c>
      <c r="M135" s="125">
        <f t="shared" si="5"/>
        <v>0</v>
      </c>
    </row>
    <row r="136" spans="1:13" ht="94.5" outlineLevel="2">
      <c r="A136" s="108" t="s">
        <v>606</v>
      </c>
      <c r="B136" s="109" t="s">
        <v>396</v>
      </c>
      <c r="C136" s="109" t="s">
        <v>1</v>
      </c>
      <c r="D136" s="109" t="s">
        <v>3</v>
      </c>
      <c r="E136" s="109" t="s">
        <v>3</v>
      </c>
      <c r="F136" s="110">
        <f aca="true" t="shared" si="8" ref="F136:G138">F137</f>
        <v>33397200</v>
      </c>
      <c r="G136" s="110">
        <f t="shared" si="8"/>
        <v>33397200</v>
      </c>
      <c r="I136" s="125">
        <v>33397200</v>
      </c>
      <c r="J136" s="125">
        <v>33397200</v>
      </c>
      <c r="L136" s="125">
        <f t="shared" si="4"/>
        <v>0</v>
      </c>
      <c r="M136" s="125">
        <f t="shared" si="5"/>
        <v>0</v>
      </c>
    </row>
    <row r="137" spans="1:13" ht="110.25" outlineLevel="3">
      <c r="A137" s="108" t="s">
        <v>483</v>
      </c>
      <c r="B137" s="109" t="s">
        <v>397</v>
      </c>
      <c r="C137" s="109" t="s">
        <v>1</v>
      </c>
      <c r="D137" s="109" t="s">
        <v>3</v>
      </c>
      <c r="E137" s="109" t="s">
        <v>3</v>
      </c>
      <c r="F137" s="110">
        <f t="shared" si="8"/>
        <v>33397200</v>
      </c>
      <c r="G137" s="110">
        <f t="shared" si="8"/>
        <v>33397200</v>
      </c>
      <c r="I137" s="125">
        <v>33397200</v>
      </c>
      <c r="J137" s="125">
        <v>33397200</v>
      </c>
      <c r="L137" s="125">
        <f t="shared" si="4"/>
        <v>0</v>
      </c>
      <c r="M137" s="125">
        <f t="shared" si="5"/>
        <v>0</v>
      </c>
    </row>
    <row r="138" spans="1:13" ht="31.5" outlineLevel="4">
      <c r="A138" s="108" t="s">
        <v>694</v>
      </c>
      <c r="B138" s="109" t="s">
        <v>397</v>
      </c>
      <c r="C138" s="109" t="s">
        <v>47</v>
      </c>
      <c r="D138" s="109" t="s">
        <v>3</v>
      </c>
      <c r="E138" s="109" t="s">
        <v>3</v>
      </c>
      <c r="F138" s="110">
        <f t="shared" si="8"/>
        <v>33397200</v>
      </c>
      <c r="G138" s="110">
        <f t="shared" si="8"/>
        <v>33397200</v>
      </c>
      <c r="I138" s="125">
        <v>33397200</v>
      </c>
      <c r="J138" s="125">
        <v>33397200</v>
      </c>
      <c r="L138" s="125">
        <f t="shared" si="4"/>
        <v>0</v>
      </c>
      <c r="M138" s="125">
        <f t="shared" si="5"/>
        <v>0</v>
      </c>
    </row>
    <row r="139" spans="1:13" ht="15.75" outlineLevel="5">
      <c r="A139" s="108" t="s">
        <v>688</v>
      </c>
      <c r="B139" s="109" t="s">
        <v>397</v>
      </c>
      <c r="C139" s="109" t="s">
        <v>47</v>
      </c>
      <c r="D139" s="109" t="s">
        <v>187</v>
      </c>
      <c r="E139" s="109" t="s">
        <v>22</v>
      </c>
      <c r="F139" s="110">
        <f>Приложение_6!F905</f>
        <v>33397200</v>
      </c>
      <c r="G139" s="110">
        <f>F139</f>
        <v>33397200</v>
      </c>
      <c r="I139" s="125">
        <v>33397200</v>
      </c>
      <c r="J139" s="125">
        <v>33397200</v>
      </c>
      <c r="L139" s="125">
        <f aca="true" t="shared" si="9" ref="L139:L208">I139-F139</f>
        <v>0</v>
      </c>
      <c r="M139" s="125">
        <f aca="true" t="shared" si="10" ref="M139:M208">J139-G139</f>
        <v>0</v>
      </c>
    </row>
    <row r="140" spans="1:13" ht="189" outlineLevel="2">
      <c r="A140" s="108" t="s">
        <v>493</v>
      </c>
      <c r="B140" s="109" t="s">
        <v>30</v>
      </c>
      <c r="C140" s="109" t="s">
        <v>1</v>
      </c>
      <c r="D140" s="109" t="s">
        <v>3</v>
      </c>
      <c r="E140" s="109" t="s">
        <v>3</v>
      </c>
      <c r="F140" s="110">
        <f>F141+F144+F147</f>
        <v>6074534.6</v>
      </c>
      <c r="G140" s="110"/>
      <c r="I140" s="125">
        <v>5902579.31</v>
      </c>
      <c r="L140" s="125">
        <f t="shared" si="9"/>
        <v>-171955.29000000004</v>
      </c>
      <c r="M140" s="125">
        <f t="shared" si="10"/>
        <v>0</v>
      </c>
    </row>
    <row r="141" spans="1:13" ht="63" outlineLevel="3">
      <c r="A141" s="108" t="s">
        <v>434</v>
      </c>
      <c r="B141" s="109" t="s">
        <v>31</v>
      </c>
      <c r="C141" s="109" t="s">
        <v>1</v>
      </c>
      <c r="D141" s="109" t="s">
        <v>3</v>
      </c>
      <c r="E141" s="109" t="s">
        <v>3</v>
      </c>
      <c r="F141" s="110">
        <f>F142</f>
        <v>5940605.4799999995</v>
      </c>
      <c r="G141" s="110"/>
      <c r="I141" s="125">
        <v>5841197.31</v>
      </c>
      <c r="L141" s="125">
        <f t="shared" si="9"/>
        <v>-99408.16999999993</v>
      </c>
      <c r="M141" s="125">
        <f t="shared" si="10"/>
        <v>0</v>
      </c>
    </row>
    <row r="142" spans="1:13" ht="141.75" outlineLevel="4">
      <c r="A142" s="108" t="s">
        <v>1202</v>
      </c>
      <c r="B142" s="109" t="s">
        <v>31</v>
      </c>
      <c r="C142" s="109" t="s">
        <v>10</v>
      </c>
      <c r="D142" s="109" t="s">
        <v>3</v>
      </c>
      <c r="E142" s="109" t="s">
        <v>3</v>
      </c>
      <c r="F142" s="110">
        <f>F143</f>
        <v>5940605.4799999995</v>
      </c>
      <c r="G142" s="110"/>
      <c r="I142" s="125">
        <v>5841197.31</v>
      </c>
      <c r="L142" s="125">
        <f t="shared" si="9"/>
        <v>-99408.16999999993</v>
      </c>
      <c r="M142" s="125">
        <f t="shared" si="10"/>
        <v>0</v>
      </c>
    </row>
    <row r="143" spans="1:13" ht="126" outlineLevel="5">
      <c r="A143" s="108" t="s">
        <v>665</v>
      </c>
      <c r="B143" s="109" t="s">
        <v>31</v>
      </c>
      <c r="C143" s="109" t="s">
        <v>10</v>
      </c>
      <c r="D143" s="109" t="s">
        <v>2</v>
      </c>
      <c r="E143" s="109" t="s">
        <v>22</v>
      </c>
      <c r="F143" s="110">
        <f>Приложение_6!F62</f>
        <v>5940605.4799999995</v>
      </c>
      <c r="G143" s="110"/>
      <c r="I143" s="125">
        <v>5841197.31</v>
      </c>
      <c r="L143" s="125">
        <f t="shared" si="9"/>
        <v>-99408.16999999993</v>
      </c>
      <c r="M143" s="125">
        <f t="shared" si="10"/>
        <v>0</v>
      </c>
    </row>
    <row r="144" spans="1:13" ht="47.25" outlineLevel="3">
      <c r="A144" s="108" t="s">
        <v>430</v>
      </c>
      <c r="B144" s="109" t="s">
        <v>32</v>
      </c>
      <c r="C144" s="109" t="s">
        <v>1</v>
      </c>
      <c r="D144" s="109" t="s">
        <v>3</v>
      </c>
      <c r="E144" s="109" t="s">
        <v>3</v>
      </c>
      <c r="F144" s="110">
        <f>F145</f>
        <v>900</v>
      </c>
      <c r="G144" s="110"/>
      <c r="I144" s="121">
        <v>900</v>
      </c>
      <c r="L144" s="125">
        <f t="shared" si="9"/>
        <v>0</v>
      </c>
      <c r="M144" s="125">
        <f t="shared" si="10"/>
        <v>0</v>
      </c>
    </row>
    <row r="145" spans="1:13" ht="141.75" outlineLevel="4">
      <c r="A145" s="108" t="s">
        <v>1202</v>
      </c>
      <c r="B145" s="109" t="s">
        <v>32</v>
      </c>
      <c r="C145" s="109" t="s">
        <v>10</v>
      </c>
      <c r="D145" s="109" t="s">
        <v>3</v>
      </c>
      <c r="E145" s="109" t="s">
        <v>3</v>
      </c>
      <c r="F145" s="110">
        <f>F146</f>
        <v>900</v>
      </c>
      <c r="G145" s="110"/>
      <c r="I145" s="121">
        <v>900</v>
      </c>
      <c r="L145" s="125">
        <f t="shared" si="9"/>
        <v>0</v>
      </c>
      <c r="M145" s="125">
        <f t="shared" si="10"/>
        <v>0</v>
      </c>
    </row>
    <row r="146" spans="1:13" ht="126" outlineLevel="5">
      <c r="A146" s="108" t="s">
        <v>665</v>
      </c>
      <c r="B146" s="109" t="s">
        <v>32</v>
      </c>
      <c r="C146" s="109" t="s">
        <v>10</v>
      </c>
      <c r="D146" s="109" t="s">
        <v>2</v>
      </c>
      <c r="E146" s="109" t="s">
        <v>22</v>
      </c>
      <c r="F146" s="110">
        <f>Приложение_6!F64</f>
        <v>900</v>
      </c>
      <c r="G146" s="110"/>
      <c r="I146" s="121">
        <v>900</v>
      </c>
      <c r="L146" s="125">
        <f t="shared" si="9"/>
        <v>0</v>
      </c>
      <c r="M146" s="125">
        <f t="shared" si="10"/>
        <v>0</v>
      </c>
    </row>
    <row r="147" spans="1:13" ht="126" outlineLevel="3">
      <c r="A147" s="108" t="s">
        <v>432</v>
      </c>
      <c r="B147" s="109" t="s">
        <v>33</v>
      </c>
      <c r="C147" s="109" t="s">
        <v>1</v>
      </c>
      <c r="D147" s="109" t="s">
        <v>3</v>
      </c>
      <c r="E147" s="109" t="s">
        <v>3</v>
      </c>
      <c r="F147" s="110">
        <f>F148</f>
        <v>133029.12</v>
      </c>
      <c r="G147" s="110"/>
      <c r="I147" s="125">
        <v>60482</v>
      </c>
      <c r="L147" s="125">
        <f t="shared" si="9"/>
        <v>-72547.12</v>
      </c>
      <c r="M147" s="125">
        <f t="shared" si="10"/>
        <v>0</v>
      </c>
    </row>
    <row r="148" spans="1:13" ht="141.75" outlineLevel="4">
      <c r="A148" s="108" t="s">
        <v>1202</v>
      </c>
      <c r="B148" s="109" t="s">
        <v>33</v>
      </c>
      <c r="C148" s="109" t="s">
        <v>10</v>
      </c>
      <c r="D148" s="109" t="s">
        <v>3</v>
      </c>
      <c r="E148" s="109" t="s">
        <v>3</v>
      </c>
      <c r="F148" s="110">
        <f>F149</f>
        <v>133029.12</v>
      </c>
      <c r="G148" s="110"/>
      <c r="I148" s="125">
        <v>60482</v>
      </c>
      <c r="L148" s="125">
        <f t="shared" si="9"/>
        <v>-72547.12</v>
      </c>
      <c r="M148" s="125">
        <f t="shared" si="10"/>
        <v>0</v>
      </c>
    </row>
    <row r="149" spans="1:13" ht="126" outlineLevel="5">
      <c r="A149" s="108" t="s">
        <v>665</v>
      </c>
      <c r="B149" s="109" t="s">
        <v>33</v>
      </c>
      <c r="C149" s="109" t="s">
        <v>10</v>
      </c>
      <c r="D149" s="109" t="s">
        <v>2</v>
      </c>
      <c r="E149" s="109" t="s">
        <v>22</v>
      </c>
      <c r="F149" s="110">
        <f>Приложение_6!F66</f>
        <v>133029.12</v>
      </c>
      <c r="G149" s="110"/>
      <c r="I149" s="125">
        <v>60482</v>
      </c>
      <c r="L149" s="125">
        <f t="shared" si="9"/>
        <v>-72547.12</v>
      </c>
      <c r="M149" s="125">
        <f t="shared" si="10"/>
        <v>0</v>
      </c>
    </row>
    <row r="150" spans="1:13" ht="267.75" outlineLevel="2">
      <c r="A150" s="108" t="s">
        <v>494</v>
      </c>
      <c r="B150" s="109" t="s">
        <v>34</v>
      </c>
      <c r="C150" s="109" t="s">
        <v>1</v>
      </c>
      <c r="D150" s="109" t="s">
        <v>3</v>
      </c>
      <c r="E150" s="109" t="s">
        <v>3</v>
      </c>
      <c r="F150" s="110">
        <f>F151+F154+F157</f>
        <v>7025364.949999999</v>
      </c>
      <c r="G150" s="110"/>
      <c r="I150" s="125">
        <v>7075865.27</v>
      </c>
      <c r="L150" s="125">
        <f t="shared" si="9"/>
        <v>50500.3200000003</v>
      </c>
      <c r="M150" s="125">
        <f t="shared" si="10"/>
        <v>0</v>
      </c>
    </row>
    <row r="151" spans="1:13" ht="63" outlineLevel="3">
      <c r="A151" s="108" t="s">
        <v>434</v>
      </c>
      <c r="B151" s="109" t="s">
        <v>35</v>
      </c>
      <c r="C151" s="109" t="s">
        <v>1</v>
      </c>
      <c r="D151" s="109" t="s">
        <v>3</v>
      </c>
      <c r="E151" s="109" t="s">
        <v>3</v>
      </c>
      <c r="F151" s="110">
        <f>F152</f>
        <v>6922132.949999999</v>
      </c>
      <c r="G151" s="110"/>
      <c r="I151" s="125">
        <v>7012233.27</v>
      </c>
      <c r="L151" s="125">
        <f t="shared" si="9"/>
        <v>90100.3200000003</v>
      </c>
      <c r="M151" s="125">
        <f t="shared" si="10"/>
        <v>0</v>
      </c>
    </row>
    <row r="152" spans="1:13" ht="141.75" outlineLevel="4">
      <c r="A152" s="108" t="s">
        <v>1202</v>
      </c>
      <c r="B152" s="109" t="s">
        <v>35</v>
      </c>
      <c r="C152" s="109" t="s">
        <v>10</v>
      </c>
      <c r="D152" s="109" t="s">
        <v>3</v>
      </c>
      <c r="E152" s="109" t="s">
        <v>3</v>
      </c>
      <c r="F152" s="110">
        <f>F153</f>
        <v>6922132.949999999</v>
      </c>
      <c r="G152" s="110"/>
      <c r="I152" s="125">
        <v>7012233.27</v>
      </c>
      <c r="L152" s="125">
        <f t="shared" si="9"/>
        <v>90100.3200000003</v>
      </c>
      <c r="M152" s="125">
        <f t="shared" si="10"/>
        <v>0</v>
      </c>
    </row>
    <row r="153" spans="1:13" ht="126" outlineLevel="5">
      <c r="A153" s="108" t="s">
        <v>665</v>
      </c>
      <c r="B153" s="109" t="s">
        <v>35</v>
      </c>
      <c r="C153" s="109" t="s">
        <v>10</v>
      </c>
      <c r="D153" s="109" t="s">
        <v>2</v>
      </c>
      <c r="E153" s="109" t="s">
        <v>22</v>
      </c>
      <c r="F153" s="110">
        <f>Приложение_6!F69</f>
        <v>6922132.949999999</v>
      </c>
      <c r="G153" s="110"/>
      <c r="I153" s="125">
        <v>7012233.27</v>
      </c>
      <c r="L153" s="125">
        <f t="shared" si="9"/>
        <v>90100.3200000003</v>
      </c>
      <c r="M153" s="125">
        <f t="shared" si="10"/>
        <v>0</v>
      </c>
    </row>
    <row r="154" spans="1:13" ht="47.25" outlineLevel="3">
      <c r="A154" s="108" t="s">
        <v>430</v>
      </c>
      <c r="B154" s="109" t="s">
        <v>36</v>
      </c>
      <c r="C154" s="109" t="s">
        <v>1</v>
      </c>
      <c r="D154" s="109" t="s">
        <v>3</v>
      </c>
      <c r="E154" s="109" t="s">
        <v>3</v>
      </c>
      <c r="F154" s="110">
        <f>F155</f>
        <v>2250</v>
      </c>
      <c r="G154" s="110"/>
      <c r="I154" s="125">
        <v>2250</v>
      </c>
      <c r="L154" s="125">
        <f t="shared" si="9"/>
        <v>0</v>
      </c>
      <c r="M154" s="125">
        <f t="shared" si="10"/>
        <v>0</v>
      </c>
    </row>
    <row r="155" spans="1:13" ht="141.75" outlineLevel="4">
      <c r="A155" s="108" t="s">
        <v>1202</v>
      </c>
      <c r="B155" s="109" t="s">
        <v>36</v>
      </c>
      <c r="C155" s="109" t="s">
        <v>10</v>
      </c>
      <c r="D155" s="109" t="s">
        <v>3</v>
      </c>
      <c r="E155" s="109" t="s">
        <v>3</v>
      </c>
      <c r="F155" s="110">
        <f>F156</f>
        <v>2250</v>
      </c>
      <c r="G155" s="110"/>
      <c r="I155" s="125">
        <v>2250</v>
      </c>
      <c r="L155" s="125">
        <f t="shared" si="9"/>
        <v>0</v>
      </c>
      <c r="M155" s="125">
        <f t="shared" si="10"/>
        <v>0</v>
      </c>
    </row>
    <row r="156" spans="1:13" ht="126" outlineLevel="5">
      <c r="A156" s="108" t="s">
        <v>665</v>
      </c>
      <c r="B156" s="109" t="s">
        <v>36</v>
      </c>
      <c r="C156" s="109" t="s">
        <v>10</v>
      </c>
      <c r="D156" s="109" t="s">
        <v>2</v>
      </c>
      <c r="E156" s="109" t="s">
        <v>22</v>
      </c>
      <c r="F156" s="110">
        <f>Приложение_6!F71</f>
        <v>2250</v>
      </c>
      <c r="G156" s="110"/>
      <c r="I156" s="125">
        <v>2250</v>
      </c>
      <c r="L156" s="125">
        <f t="shared" si="9"/>
        <v>0</v>
      </c>
      <c r="M156" s="125">
        <f t="shared" si="10"/>
        <v>0</v>
      </c>
    </row>
    <row r="157" spans="1:13" ht="126" outlineLevel="3">
      <c r="A157" s="108" t="s">
        <v>432</v>
      </c>
      <c r="B157" s="109" t="s">
        <v>37</v>
      </c>
      <c r="C157" s="109" t="s">
        <v>1</v>
      </c>
      <c r="D157" s="109" t="s">
        <v>3</v>
      </c>
      <c r="E157" s="109" t="s">
        <v>3</v>
      </c>
      <c r="F157" s="110">
        <f>F158</f>
        <v>100982</v>
      </c>
      <c r="G157" s="110"/>
      <c r="I157" s="125">
        <v>61382</v>
      </c>
      <c r="L157" s="125">
        <f t="shared" si="9"/>
        <v>-39600</v>
      </c>
      <c r="M157" s="125">
        <f t="shared" si="10"/>
        <v>0</v>
      </c>
    </row>
    <row r="158" spans="1:13" ht="141.75" outlineLevel="4">
      <c r="A158" s="108" t="s">
        <v>1202</v>
      </c>
      <c r="B158" s="109" t="s">
        <v>37</v>
      </c>
      <c r="C158" s="109" t="s">
        <v>10</v>
      </c>
      <c r="D158" s="109" t="s">
        <v>3</v>
      </c>
      <c r="E158" s="109" t="s">
        <v>3</v>
      </c>
      <c r="F158" s="110">
        <f>F159</f>
        <v>100982</v>
      </c>
      <c r="G158" s="110"/>
      <c r="I158" s="125">
        <v>61382</v>
      </c>
      <c r="L158" s="125">
        <f t="shared" si="9"/>
        <v>-39600</v>
      </c>
      <c r="M158" s="125">
        <f t="shared" si="10"/>
        <v>0</v>
      </c>
    </row>
    <row r="159" spans="1:13" ht="126" outlineLevel="5">
      <c r="A159" s="108" t="s">
        <v>665</v>
      </c>
      <c r="B159" s="109" t="s">
        <v>37</v>
      </c>
      <c r="C159" s="109" t="s">
        <v>10</v>
      </c>
      <c r="D159" s="109" t="s">
        <v>2</v>
      </c>
      <c r="E159" s="109" t="s">
        <v>22</v>
      </c>
      <c r="F159" s="110">
        <f>Приложение_6!F73</f>
        <v>100982</v>
      </c>
      <c r="G159" s="110"/>
      <c r="I159" s="125">
        <v>61382</v>
      </c>
      <c r="L159" s="125">
        <f t="shared" si="9"/>
        <v>-39600</v>
      </c>
      <c r="M159" s="125">
        <f t="shared" si="10"/>
        <v>0</v>
      </c>
    </row>
    <row r="160" spans="1:13" ht="126" outlineLevel="1">
      <c r="A160" s="115" t="s">
        <v>647</v>
      </c>
      <c r="B160" s="116" t="s">
        <v>314</v>
      </c>
      <c r="C160" s="116" t="s">
        <v>1</v>
      </c>
      <c r="D160" s="116" t="s">
        <v>3</v>
      </c>
      <c r="E160" s="116" t="s">
        <v>3</v>
      </c>
      <c r="F160" s="117">
        <f>F161+F165</f>
        <v>21261253.48</v>
      </c>
      <c r="G160" s="117">
        <f>G161+G165</f>
        <v>0</v>
      </c>
      <c r="I160" s="125">
        <v>21261253.48</v>
      </c>
      <c r="L160" s="125">
        <f t="shared" si="9"/>
        <v>0</v>
      </c>
      <c r="M160" s="125">
        <f t="shared" si="10"/>
        <v>0</v>
      </c>
    </row>
    <row r="161" spans="1:13" ht="94.5" outlineLevel="2">
      <c r="A161" s="108" t="s">
        <v>582</v>
      </c>
      <c r="B161" s="109" t="s">
        <v>315</v>
      </c>
      <c r="C161" s="109" t="s">
        <v>1</v>
      </c>
      <c r="D161" s="109" t="s">
        <v>3</v>
      </c>
      <c r="E161" s="109" t="s">
        <v>3</v>
      </c>
      <c r="F161" s="110">
        <f>F162</f>
        <v>20966181</v>
      </c>
      <c r="G161" s="110"/>
      <c r="I161" s="125">
        <v>20966181</v>
      </c>
      <c r="L161" s="125">
        <f t="shared" si="9"/>
        <v>0</v>
      </c>
      <c r="M161" s="125">
        <f t="shared" si="10"/>
        <v>0</v>
      </c>
    </row>
    <row r="162" spans="1:13" ht="126" outlineLevel="3">
      <c r="A162" s="108" t="s">
        <v>443</v>
      </c>
      <c r="B162" s="109" t="s">
        <v>316</v>
      </c>
      <c r="C162" s="109" t="s">
        <v>1</v>
      </c>
      <c r="D162" s="109" t="s">
        <v>3</v>
      </c>
      <c r="E162" s="109" t="s">
        <v>3</v>
      </c>
      <c r="F162" s="110">
        <f>F163</f>
        <v>20966181</v>
      </c>
      <c r="G162" s="110"/>
      <c r="I162" s="125">
        <v>20966181</v>
      </c>
      <c r="L162" s="125">
        <f t="shared" si="9"/>
        <v>0</v>
      </c>
      <c r="M162" s="125">
        <f t="shared" si="10"/>
        <v>0</v>
      </c>
    </row>
    <row r="163" spans="1:13" ht="78.75" outlineLevel="4">
      <c r="A163" s="108" t="s">
        <v>696</v>
      </c>
      <c r="B163" s="109" t="s">
        <v>316</v>
      </c>
      <c r="C163" s="109" t="s">
        <v>70</v>
      </c>
      <c r="D163" s="109" t="s">
        <v>3</v>
      </c>
      <c r="E163" s="109" t="s">
        <v>3</v>
      </c>
      <c r="F163" s="110">
        <f>F164</f>
        <v>20966181</v>
      </c>
      <c r="G163" s="110"/>
      <c r="I163" s="125">
        <v>20966181</v>
      </c>
      <c r="L163" s="125">
        <f t="shared" si="9"/>
        <v>0</v>
      </c>
      <c r="M163" s="125">
        <f t="shared" si="10"/>
        <v>0</v>
      </c>
    </row>
    <row r="164" spans="1:13" ht="31.5" outlineLevel="5">
      <c r="A164" s="108" t="s">
        <v>684</v>
      </c>
      <c r="B164" s="109" t="s">
        <v>316</v>
      </c>
      <c r="C164" s="109" t="s">
        <v>70</v>
      </c>
      <c r="D164" s="109" t="s">
        <v>239</v>
      </c>
      <c r="E164" s="109" t="s">
        <v>146</v>
      </c>
      <c r="F164" s="110">
        <f>Приложение_6!F733</f>
        <v>20966181</v>
      </c>
      <c r="G164" s="110"/>
      <c r="I164" s="125">
        <v>20966181</v>
      </c>
      <c r="L164" s="125">
        <f t="shared" si="9"/>
        <v>0</v>
      </c>
      <c r="M164" s="125">
        <f t="shared" si="10"/>
        <v>0</v>
      </c>
    </row>
    <row r="165" spans="1:13" ht="31.5" outlineLevel="2">
      <c r="A165" s="108" t="s">
        <v>562</v>
      </c>
      <c r="B165" s="109" t="s">
        <v>317</v>
      </c>
      <c r="C165" s="109" t="s">
        <v>1</v>
      </c>
      <c r="D165" s="109" t="s">
        <v>3</v>
      </c>
      <c r="E165" s="109" t="s">
        <v>3</v>
      </c>
      <c r="F165" s="110">
        <f>F166</f>
        <v>295072.48</v>
      </c>
      <c r="G165" s="110"/>
      <c r="I165" s="125">
        <v>295072.48</v>
      </c>
      <c r="L165" s="125">
        <f t="shared" si="9"/>
        <v>0</v>
      </c>
      <c r="M165" s="125">
        <f t="shared" si="10"/>
        <v>0</v>
      </c>
    </row>
    <row r="166" spans="1:13" ht="126" outlineLevel="3">
      <c r="A166" s="108" t="s">
        <v>432</v>
      </c>
      <c r="B166" s="109" t="s">
        <v>318</v>
      </c>
      <c r="C166" s="109" t="s">
        <v>1</v>
      </c>
      <c r="D166" s="109" t="s">
        <v>3</v>
      </c>
      <c r="E166" s="109" t="s">
        <v>3</v>
      </c>
      <c r="F166" s="110">
        <f>F167</f>
        <v>295072.48</v>
      </c>
      <c r="G166" s="110"/>
      <c r="I166" s="125">
        <v>295072.48</v>
      </c>
      <c r="L166" s="125">
        <f t="shared" si="9"/>
        <v>0</v>
      </c>
      <c r="M166" s="125">
        <f t="shared" si="10"/>
        <v>0</v>
      </c>
    </row>
    <row r="167" spans="1:13" ht="78.75" outlineLevel="4">
      <c r="A167" s="108" t="s">
        <v>696</v>
      </c>
      <c r="B167" s="109" t="s">
        <v>318</v>
      </c>
      <c r="C167" s="109" t="s">
        <v>70</v>
      </c>
      <c r="D167" s="109" t="s">
        <v>3</v>
      </c>
      <c r="E167" s="109" t="s">
        <v>3</v>
      </c>
      <c r="F167" s="110">
        <f>F168</f>
        <v>295072.48</v>
      </c>
      <c r="G167" s="110"/>
      <c r="I167" s="125">
        <v>295072.48</v>
      </c>
      <c r="L167" s="125">
        <f t="shared" si="9"/>
        <v>0</v>
      </c>
      <c r="M167" s="125">
        <f t="shared" si="10"/>
        <v>0</v>
      </c>
    </row>
    <row r="168" spans="1:13" ht="31.5" outlineLevel="5">
      <c r="A168" s="108" t="s">
        <v>684</v>
      </c>
      <c r="B168" s="109" t="s">
        <v>318</v>
      </c>
      <c r="C168" s="109" t="s">
        <v>70</v>
      </c>
      <c r="D168" s="109" t="s">
        <v>239</v>
      </c>
      <c r="E168" s="109" t="s">
        <v>146</v>
      </c>
      <c r="F168" s="110">
        <f>Приложение_6!F736</f>
        <v>295072.48</v>
      </c>
      <c r="G168" s="110"/>
      <c r="I168" s="125">
        <v>295072.48</v>
      </c>
      <c r="L168" s="125">
        <f t="shared" si="9"/>
        <v>0</v>
      </c>
      <c r="M168" s="125">
        <f t="shared" si="10"/>
        <v>0</v>
      </c>
    </row>
    <row r="169" spans="1:13" ht="94.5" outlineLevel="1">
      <c r="A169" s="115" t="s">
        <v>648</v>
      </c>
      <c r="B169" s="116" t="s">
        <v>319</v>
      </c>
      <c r="C169" s="116" t="s">
        <v>1</v>
      </c>
      <c r="D169" s="116" t="s">
        <v>3</v>
      </c>
      <c r="E169" s="116" t="s">
        <v>3</v>
      </c>
      <c r="F169" s="117">
        <f>F170+F174</f>
        <v>28074972.76</v>
      </c>
      <c r="G169" s="117">
        <f>G170+G174</f>
        <v>0</v>
      </c>
      <c r="I169" s="125">
        <v>28074972.76</v>
      </c>
      <c r="L169" s="125">
        <f t="shared" si="9"/>
        <v>0</v>
      </c>
      <c r="M169" s="125">
        <f t="shared" si="10"/>
        <v>0</v>
      </c>
    </row>
    <row r="170" spans="1:13" ht="94.5" outlineLevel="2">
      <c r="A170" s="108" t="s">
        <v>583</v>
      </c>
      <c r="B170" s="109" t="s">
        <v>320</v>
      </c>
      <c r="C170" s="109" t="s">
        <v>1</v>
      </c>
      <c r="D170" s="109" t="s">
        <v>3</v>
      </c>
      <c r="E170" s="109" t="s">
        <v>3</v>
      </c>
      <c r="F170" s="110">
        <f>F171</f>
        <v>27779900</v>
      </c>
      <c r="G170" s="110"/>
      <c r="I170" s="125">
        <v>27779900</v>
      </c>
      <c r="L170" s="125">
        <f t="shared" si="9"/>
        <v>0</v>
      </c>
      <c r="M170" s="125">
        <f t="shared" si="10"/>
        <v>0</v>
      </c>
    </row>
    <row r="171" spans="1:13" ht="126" outlineLevel="3">
      <c r="A171" s="108" t="s">
        <v>443</v>
      </c>
      <c r="B171" s="109" t="s">
        <v>321</v>
      </c>
      <c r="C171" s="109" t="s">
        <v>1</v>
      </c>
      <c r="D171" s="109" t="s">
        <v>3</v>
      </c>
      <c r="E171" s="109" t="s">
        <v>3</v>
      </c>
      <c r="F171" s="110">
        <f>F172</f>
        <v>27779900</v>
      </c>
      <c r="G171" s="110"/>
      <c r="I171" s="125">
        <v>27779900</v>
      </c>
      <c r="L171" s="125">
        <f t="shared" si="9"/>
        <v>0</v>
      </c>
      <c r="M171" s="125">
        <f t="shared" si="10"/>
        <v>0</v>
      </c>
    </row>
    <row r="172" spans="1:13" ht="78.75" outlineLevel="4">
      <c r="A172" s="108" t="s">
        <v>696</v>
      </c>
      <c r="B172" s="109" t="s">
        <v>321</v>
      </c>
      <c r="C172" s="109" t="s">
        <v>70</v>
      </c>
      <c r="D172" s="109" t="s">
        <v>3</v>
      </c>
      <c r="E172" s="109" t="s">
        <v>3</v>
      </c>
      <c r="F172" s="110">
        <f>F173</f>
        <v>27779900</v>
      </c>
      <c r="G172" s="110"/>
      <c r="I172" s="125">
        <v>27779900</v>
      </c>
      <c r="L172" s="125">
        <f t="shared" si="9"/>
        <v>0</v>
      </c>
      <c r="M172" s="125">
        <f t="shared" si="10"/>
        <v>0</v>
      </c>
    </row>
    <row r="173" spans="1:13" ht="31.5" outlineLevel="5">
      <c r="A173" s="108" t="s">
        <v>684</v>
      </c>
      <c r="B173" s="109" t="s">
        <v>321</v>
      </c>
      <c r="C173" s="109" t="s">
        <v>70</v>
      </c>
      <c r="D173" s="109" t="s">
        <v>239</v>
      </c>
      <c r="E173" s="109" t="s">
        <v>146</v>
      </c>
      <c r="F173" s="110">
        <f>Приложение_6!F740</f>
        <v>27779900</v>
      </c>
      <c r="G173" s="110"/>
      <c r="I173" s="125">
        <v>27779900</v>
      </c>
      <c r="L173" s="125">
        <f t="shared" si="9"/>
        <v>0</v>
      </c>
      <c r="M173" s="125">
        <f t="shared" si="10"/>
        <v>0</v>
      </c>
    </row>
    <row r="174" spans="1:13" ht="31.5" outlineLevel="2">
      <c r="A174" s="108" t="s">
        <v>562</v>
      </c>
      <c r="B174" s="109" t="s">
        <v>322</v>
      </c>
      <c r="C174" s="109" t="s">
        <v>1</v>
      </c>
      <c r="D174" s="109" t="s">
        <v>3</v>
      </c>
      <c r="E174" s="109" t="s">
        <v>3</v>
      </c>
      <c r="F174" s="110">
        <f>F175</f>
        <v>295072.76</v>
      </c>
      <c r="G174" s="110"/>
      <c r="I174" s="125">
        <v>295072.76</v>
      </c>
      <c r="L174" s="125">
        <f t="shared" si="9"/>
        <v>0</v>
      </c>
      <c r="M174" s="125">
        <f t="shared" si="10"/>
        <v>0</v>
      </c>
    </row>
    <row r="175" spans="1:13" ht="126" outlineLevel="3">
      <c r="A175" s="108" t="s">
        <v>432</v>
      </c>
      <c r="B175" s="109" t="s">
        <v>323</v>
      </c>
      <c r="C175" s="109" t="s">
        <v>1</v>
      </c>
      <c r="D175" s="109" t="s">
        <v>3</v>
      </c>
      <c r="E175" s="109" t="s">
        <v>3</v>
      </c>
      <c r="F175" s="110">
        <f>F176</f>
        <v>295072.76</v>
      </c>
      <c r="G175" s="110"/>
      <c r="I175" s="125">
        <v>295072.76</v>
      </c>
      <c r="L175" s="125">
        <f t="shared" si="9"/>
        <v>0</v>
      </c>
      <c r="M175" s="125">
        <f t="shared" si="10"/>
        <v>0</v>
      </c>
    </row>
    <row r="176" spans="1:13" ht="78.75" outlineLevel="4">
      <c r="A176" s="108" t="s">
        <v>696</v>
      </c>
      <c r="B176" s="109" t="s">
        <v>323</v>
      </c>
      <c r="C176" s="109" t="s">
        <v>70</v>
      </c>
      <c r="D176" s="109" t="s">
        <v>3</v>
      </c>
      <c r="E176" s="109" t="s">
        <v>3</v>
      </c>
      <c r="F176" s="110">
        <f>F177</f>
        <v>295072.76</v>
      </c>
      <c r="G176" s="110"/>
      <c r="I176" s="125">
        <v>295072.76</v>
      </c>
      <c r="L176" s="125">
        <f t="shared" si="9"/>
        <v>0</v>
      </c>
      <c r="M176" s="125">
        <f t="shared" si="10"/>
        <v>0</v>
      </c>
    </row>
    <row r="177" spans="1:13" ht="31.5" outlineLevel="5">
      <c r="A177" s="108" t="s">
        <v>684</v>
      </c>
      <c r="B177" s="109" t="s">
        <v>323</v>
      </c>
      <c r="C177" s="109" t="s">
        <v>70</v>
      </c>
      <c r="D177" s="109" t="s">
        <v>239</v>
      </c>
      <c r="E177" s="109" t="s">
        <v>146</v>
      </c>
      <c r="F177" s="110">
        <f>Приложение_6!F743</f>
        <v>295072.76</v>
      </c>
      <c r="G177" s="110"/>
      <c r="I177" s="125">
        <v>295072.76</v>
      </c>
      <c r="L177" s="125">
        <f t="shared" si="9"/>
        <v>0</v>
      </c>
      <c r="M177" s="125">
        <f t="shared" si="10"/>
        <v>0</v>
      </c>
    </row>
    <row r="178" spans="1:13" ht="31.5" customHeight="1" outlineLevel="1">
      <c r="A178" s="115" t="s">
        <v>649</v>
      </c>
      <c r="B178" s="116" t="s">
        <v>324</v>
      </c>
      <c r="C178" s="116" t="s">
        <v>1</v>
      </c>
      <c r="D178" s="116" t="s">
        <v>3</v>
      </c>
      <c r="E178" s="116" t="s">
        <v>3</v>
      </c>
      <c r="F178" s="117">
        <f>F179+F186+F190</f>
        <v>21174817.76</v>
      </c>
      <c r="G178" s="117">
        <f>G179+G186+G190</f>
        <v>15095800</v>
      </c>
      <c r="I178" s="125">
        <v>21174817.76</v>
      </c>
      <c r="J178" s="125">
        <f>J179+J186+J190</f>
        <v>15095800</v>
      </c>
      <c r="L178" s="125">
        <f t="shared" si="9"/>
        <v>0</v>
      </c>
      <c r="M178" s="125">
        <f t="shared" si="10"/>
        <v>0</v>
      </c>
    </row>
    <row r="179" spans="1:13" ht="47.25" outlineLevel="2">
      <c r="A179" s="108" t="s">
        <v>584</v>
      </c>
      <c r="B179" s="109" t="s">
        <v>325</v>
      </c>
      <c r="C179" s="109" t="s">
        <v>1</v>
      </c>
      <c r="D179" s="109" t="s">
        <v>3</v>
      </c>
      <c r="E179" s="109" t="s">
        <v>3</v>
      </c>
      <c r="F179" s="110">
        <f>F180+F183</f>
        <v>7385545</v>
      </c>
      <c r="G179" s="110">
        <f>G180+G183</f>
        <v>1601600</v>
      </c>
      <c r="I179" s="125">
        <v>7385545</v>
      </c>
      <c r="J179" s="125">
        <v>1601600</v>
      </c>
      <c r="L179" s="125">
        <f t="shared" si="9"/>
        <v>0</v>
      </c>
      <c r="M179" s="125">
        <f t="shared" si="10"/>
        <v>0</v>
      </c>
    </row>
    <row r="180" spans="1:13" ht="141.75" outlineLevel="3">
      <c r="A180" s="108" t="s">
        <v>470</v>
      </c>
      <c r="B180" s="109" t="s">
        <v>326</v>
      </c>
      <c r="C180" s="109" t="s">
        <v>1</v>
      </c>
      <c r="D180" s="109" t="s">
        <v>3</v>
      </c>
      <c r="E180" s="109" t="s">
        <v>3</v>
      </c>
      <c r="F180" s="110">
        <f>F181</f>
        <v>1601600</v>
      </c>
      <c r="G180" s="110">
        <f>G181</f>
        <v>1601600</v>
      </c>
      <c r="I180" s="125">
        <v>1601600</v>
      </c>
      <c r="J180" s="125">
        <v>1601600</v>
      </c>
      <c r="L180" s="125">
        <f t="shared" si="9"/>
        <v>0</v>
      </c>
      <c r="M180" s="125">
        <f t="shared" si="10"/>
        <v>0</v>
      </c>
    </row>
    <row r="181" spans="1:13" ht="78.75" outlineLevel="4">
      <c r="A181" s="108" t="s">
        <v>696</v>
      </c>
      <c r="B181" s="109" t="s">
        <v>326</v>
      </c>
      <c r="C181" s="109" t="s">
        <v>70</v>
      </c>
      <c r="D181" s="109" t="s">
        <v>3</v>
      </c>
      <c r="E181" s="109" t="s">
        <v>3</v>
      </c>
      <c r="F181" s="110">
        <f>F182</f>
        <v>1601600</v>
      </c>
      <c r="G181" s="110">
        <f>G182</f>
        <v>1601600</v>
      </c>
      <c r="I181" s="125">
        <v>1601600</v>
      </c>
      <c r="J181" s="125">
        <v>1601600</v>
      </c>
      <c r="L181" s="125">
        <f t="shared" si="9"/>
        <v>0</v>
      </c>
      <c r="M181" s="125">
        <f t="shared" si="10"/>
        <v>0</v>
      </c>
    </row>
    <row r="182" spans="1:13" ht="31.5" outlineLevel="5">
      <c r="A182" s="108" t="s">
        <v>684</v>
      </c>
      <c r="B182" s="109" t="s">
        <v>326</v>
      </c>
      <c r="C182" s="109" t="s">
        <v>70</v>
      </c>
      <c r="D182" s="109" t="s">
        <v>239</v>
      </c>
      <c r="E182" s="109" t="s">
        <v>146</v>
      </c>
      <c r="F182" s="110">
        <f>Приложение_6!F747</f>
        <v>1601600</v>
      </c>
      <c r="G182" s="110">
        <f>F182</f>
        <v>1601600</v>
      </c>
      <c r="I182" s="125">
        <v>1601600</v>
      </c>
      <c r="J182" s="125">
        <v>1601600</v>
      </c>
      <c r="L182" s="125">
        <f t="shared" si="9"/>
        <v>0</v>
      </c>
      <c r="M182" s="125">
        <f t="shared" si="10"/>
        <v>0</v>
      </c>
    </row>
    <row r="183" spans="1:13" ht="141.75" outlineLevel="3">
      <c r="A183" s="108" t="s">
        <v>470</v>
      </c>
      <c r="B183" s="109" t="s">
        <v>327</v>
      </c>
      <c r="C183" s="109" t="s">
        <v>1</v>
      </c>
      <c r="D183" s="109" t="s">
        <v>3</v>
      </c>
      <c r="E183" s="109" t="s">
        <v>3</v>
      </c>
      <c r="F183" s="110">
        <f>F184</f>
        <v>5783945</v>
      </c>
      <c r="G183" s="110"/>
      <c r="I183" s="125">
        <v>5783945</v>
      </c>
      <c r="L183" s="125">
        <f t="shared" si="9"/>
        <v>0</v>
      </c>
      <c r="M183" s="125">
        <f t="shared" si="10"/>
        <v>0</v>
      </c>
    </row>
    <row r="184" spans="1:13" ht="78.75" outlineLevel="4">
      <c r="A184" s="108" t="s">
        <v>696</v>
      </c>
      <c r="B184" s="109" t="s">
        <v>327</v>
      </c>
      <c r="C184" s="109" t="s">
        <v>70</v>
      </c>
      <c r="D184" s="109" t="s">
        <v>3</v>
      </c>
      <c r="E184" s="109" t="s">
        <v>3</v>
      </c>
      <c r="F184" s="110">
        <f>F185</f>
        <v>5783945</v>
      </c>
      <c r="G184" s="110"/>
      <c r="I184" s="125">
        <v>5783945</v>
      </c>
      <c r="L184" s="125">
        <f t="shared" si="9"/>
        <v>0</v>
      </c>
      <c r="M184" s="125">
        <f t="shared" si="10"/>
        <v>0</v>
      </c>
    </row>
    <row r="185" spans="1:13" ht="31.5" outlineLevel="5">
      <c r="A185" s="108" t="s">
        <v>684</v>
      </c>
      <c r="B185" s="109" t="s">
        <v>327</v>
      </c>
      <c r="C185" s="109" t="s">
        <v>70</v>
      </c>
      <c r="D185" s="109" t="s">
        <v>239</v>
      </c>
      <c r="E185" s="109" t="s">
        <v>146</v>
      </c>
      <c r="F185" s="110">
        <f>Приложение_6!F749</f>
        <v>5783945</v>
      </c>
      <c r="G185" s="110"/>
      <c r="I185" s="125">
        <v>5783945</v>
      </c>
      <c r="L185" s="125">
        <f t="shared" si="9"/>
        <v>0</v>
      </c>
      <c r="M185" s="125">
        <f t="shared" si="10"/>
        <v>0</v>
      </c>
    </row>
    <row r="186" spans="1:13" ht="63" outlineLevel="2">
      <c r="A186" s="108" t="s">
        <v>585</v>
      </c>
      <c r="B186" s="109" t="s">
        <v>328</v>
      </c>
      <c r="C186" s="109" t="s">
        <v>1</v>
      </c>
      <c r="D186" s="109" t="s">
        <v>3</v>
      </c>
      <c r="E186" s="109" t="s">
        <v>3</v>
      </c>
      <c r="F186" s="110">
        <f aca="true" t="shared" si="11" ref="F186:G188">F187</f>
        <v>13494200</v>
      </c>
      <c r="G186" s="110">
        <f t="shared" si="11"/>
        <v>13494200</v>
      </c>
      <c r="I186" s="125">
        <v>13494200</v>
      </c>
      <c r="J186" s="125">
        <v>13494200</v>
      </c>
      <c r="L186" s="125">
        <f t="shared" si="9"/>
        <v>0</v>
      </c>
      <c r="M186" s="125">
        <f t="shared" si="10"/>
        <v>0</v>
      </c>
    </row>
    <row r="187" spans="1:13" ht="63" outlineLevel="3">
      <c r="A187" s="108" t="s">
        <v>471</v>
      </c>
      <c r="B187" s="109" t="s">
        <v>329</v>
      </c>
      <c r="C187" s="109" t="s">
        <v>1</v>
      </c>
      <c r="D187" s="109" t="s">
        <v>3</v>
      </c>
      <c r="E187" s="109" t="s">
        <v>3</v>
      </c>
      <c r="F187" s="110">
        <f t="shared" si="11"/>
        <v>13494200</v>
      </c>
      <c r="G187" s="110">
        <f t="shared" si="11"/>
        <v>13494200</v>
      </c>
      <c r="I187" s="125">
        <v>13494200</v>
      </c>
      <c r="J187" s="125">
        <v>13494200</v>
      </c>
      <c r="L187" s="125">
        <f t="shared" si="9"/>
        <v>0</v>
      </c>
      <c r="M187" s="125">
        <f t="shared" si="10"/>
        <v>0</v>
      </c>
    </row>
    <row r="188" spans="1:13" ht="78.75" outlineLevel="4">
      <c r="A188" s="108" t="s">
        <v>696</v>
      </c>
      <c r="B188" s="109" t="s">
        <v>329</v>
      </c>
      <c r="C188" s="109" t="s">
        <v>70</v>
      </c>
      <c r="D188" s="109" t="s">
        <v>3</v>
      </c>
      <c r="E188" s="109" t="s">
        <v>3</v>
      </c>
      <c r="F188" s="110">
        <f t="shared" si="11"/>
        <v>13494200</v>
      </c>
      <c r="G188" s="110">
        <f t="shared" si="11"/>
        <v>13494200</v>
      </c>
      <c r="I188" s="125">
        <v>13494200</v>
      </c>
      <c r="J188" s="125">
        <v>13494200</v>
      </c>
      <c r="L188" s="125">
        <f t="shared" si="9"/>
        <v>0</v>
      </c>
      <c r="M188" s="125">
        <f t="shared" si="10"/>
        <v>0</v>
      </c>
    </row>
    <row r="189" spans="1:13" ht="31.5" outlineLevel="5">
      <c r="A189" s="108" t="s">
        <v>684</v>
      </c>
      <c r="B189" s="109" t="s">
        <v>329</v>
      </c>
      <c r="C189" s="109" t="s">
        <v>70</v>
      </c>
      <c r="D189" s="109" t="s">
        <v>239</v>
      </c>
      <c r="E189" s="109" t="s">
        <v>146</v>
      </c>
      <c r="F189" s="110">
        <f>Приложение_6!F752</f>
        <v>13494200</v>
      </c>
      <c r="G189" s="110">
        <f>F189</f>
        <v>13494200</v>
      </c>
      <c r="I189" s="125">
        <v>13494200</v>
      </c>
      <c r="J189" s="125">
        <v>13494200</v>
      </c>
      <c r="L189" s="125">
        <f t="shared" si="9"/>
        <v>0</v>
      </c>
      <c r="M189" s="125">
        <f t="shared" si="10"/>
        <v>0</v>
      </c>
    </row>
    <row r="190" spans="1:13" ht="47.25" outlineLevel="2">
      <c r="A190" s="108" t="s">
        <v>586</v>
      </c>
      <c r="B190" s="109" t="s">
        <v>330</v>
      </c>
      <c r="C190" s="109" t="s">
        <v>1</v>
      </c>
      <c r="D190" s="109" t="s">
        <v>3</v>
      </c>
      <c r="E190" s="109" t="s">
        <v>3</v>
      </c>
      <c r="F190" s="110">
        <f>F191</f>
        <v>295072.76</v>
      </c>
      <c r="G190" s="110"/>
      <c r="I190" s="125">
        <v>295072.76</v>
      </c>
      <c r="L190" s="125">
        <f t="shared" si="9"/>
        <v>0</v>
      </c>
      <c r="M190" s="125">
        <f t="shared" si="10"/>
        <v>0</v>
      </c>
    </row>
    <row r="191" spans="1:13" ht="126" outlineLevel="3">
      <c r="A191" s="108" t="s">
        <v>432</v>
      </c>
      <c r="B191" s="109" t="s">
        <v>331</v>
      </c>
      <c r="C191" s="109" t="s">
        <v>1</v>
      </c>
      <c r="D191" s="109" t="s">
        <v>3</v>
      </c>
      <c r="E191" s="109" t="s">
        <v>3</v>
      </c>
      <c r="F191" s="110">
        <f>F192</f>
        <v>295072.76</v>
      </c>
      <c r="G191" s="110"/>
      <c r="I191" s="125">
        <v>295072.76</v>
      </c>
      <c r="L191" s="125">
        <f t="shared" si="9"/>
        <v>0</v>
      </c>
      <c r="M191" s="125">
        <f t="shared" si="10"/>
        <v>0</v>
      </c>
    </row>
    <row r="192" spans="1:13" ht="78.75" outlineLevel="4">
      <c r="A192" s="108" t="s">
        <v>696</v>
      </c>
      <c r="B192" s="109" t="s">
        <v>331</v>
      </c>
      <c r="C192" s="109" t="s">
        <v>70</v>
      </c>
      <c r="D192" s="109" t="s">
        <v>3</v>
      </c>
      <c r="E192" s="109" t="s">
        <v>3</v>
      </c>
      <c r="F192" s="110">
        <f>F193</f>
        <v>295072.76</v>
      </c>
      <c r="G192" s="110"/>
      <c r="I192" s="125">
        <v>295072.76</v>
      </c>
      <c r="L192" s="125">
        <f t="shared" si="9"/>
        <v>0</v>
      </c>
      <c r="M192" s="125">
        <f t="shared" si="10"/>
        <v>0</v>
      </c>
    </row>
    <row r="193" spans="1:13" ht="31.5" outlineLevel="5">
      <c r="A193" s="108" t="s">
        <v>684</v>
      </c>
      <c r="B193" s="109" t="s">
        <v>331</v>
      </c>
      <c r="C193" s="109" t="s">
        <v>70</v>
      </c>
      <c r="D193" s="109" t="s">
        <v>239</v>
      </c>
      <c r="E193" s="109" t="s">
        <v>146</v>
      </c>
      <c r="F193" s="110">
        <f>Приложение_6!F755</f>
        <v>295072.76</v>
      </c>
      <c r="G193" s="110"/>
      <c r="I193" s="125">
        <v>295072.76</v>
      </c>
      <c r="L193" s="125">
        <f t="shared" si="9"/>
        <v>0</v>
      </c>
      <c r="M193" s="125">
        <f t="shared" si="10"/>
        <v>0</v>
      </c>
    </row>
    <row r="194" spans="1:13" ht="78.75" outlineLevel="1">
      <c r="A194" s="115" t="s">
        <v>644</v>
      </c>
      <c r="B194" s="116" t="s">
        <v>291</v>
      </c>
      <c r="C194" s="116" t="s">
        <v>1</v>
      </c>
      <c r="D194" s="116" t="s">
        <v>3</v>
      </c>
      <c r="E194" s="116" t="s">
        <v>3</v>
      </c>
      <c r="F194" s="117">
        <f>F195+F205</f>
        <v>12712790</v>
      </c>
      <c r="G194" s="117">
        <f>G195+G205</f>
        <v>3866700</v>
      </c>
      <c r="I194" s="125">
        <v>12712790</v>
      </c>
      <c r="J194" s="125">
        <v>3866700</v>
      </c>
      <c r="L194" s="125">
        <f t="shared" si="9"/>
        <v>0</v>
      </c>
      <c r="M194" s="125">
        <f t="shared" si="10"/>
        <v>0</v>
      </c>
    </row>
    <row r="195" spans="1:13" ht="47.25" outlineLevel="2">
      <c r="A195" s="108" t="s">
        <v>574</v>
      </c>
      <c r="B195" s="109" t="s">
        <v>292</v>
      </c>
      <c r="C195" s="109" t="s">
        <v>1</v>
      </c>
      <c r="D195" s="109" t="s">
        <v>3</v>
      </c>
      <c r="E195" s="109" t="s">
        <v>3</v>
      </c>
      <c r="F195" s="110">
        <f>F196+F199+F202</f>
        <v>7574557.2</v>
      </c>
      <c r="G195" s="110">
        <f>G196+G199+G202</f>
        <v>752400</v>
      </c>
      <c r="I195" s="125">
        <v>6822157.2</v>
      </c>
      <c r="L195" s="125">
        <f t="shared" si="9"/>
        <v>-752400</v>
      </c>
      <c r="M195" s="125">
        <f t="shared" si="10"/>
        <v>-752400</v>
      </c>
    </row>
    <row r="196" spans="1:13" ht="31.5" customHeight="1" outlineLevel="3">
      <c r="A196" s="108" t="s">
        <v>441</v>
      </c>
      <c r="B196" s="109" t="s">
        <v>293</v>
      </c>
      <c r="C196" s="109" t="s">
        <v>1</v>
      </c>
      <c r="D196" s="109" t="s">
        <v>3</v>
      </c>
      <c r="E196" s="109" t="s">
        <v>3</v>
      </c>
      <c r="F196" s="110">
        <f>F197</f>
        <v>6782557.2</v>
      </c>
      <c r="G196" s="110"/>
      <c r="I196" s="125">
        <v>6822157.2</v>
      </c>
      <c r="L196" s="125">
        <f t="shared" si="9"/>
        <v>39600</v>
      </c>
      <c r="M196" s="125">
        <f t="shared" si="10"/>
        <v>0</v>
      </c>
    </row>
    <row r="197" spans="1:13" ht="78.75" outlineLevel="4">
      <c r="A197" s="108" t="s">
        <v>696</v>
      </c>
      <c r="B197" s="109" t="s">
        <v>293</v>
      </c>
      <c r="C197" s="109" t="s">
        <v>70</v>
      </c>
      <c r="D197" s="109" t="s">
        <v>3</v>
      </c>
      <c r="E197" s="109" t="s">
        <v>3</v>
      </c>
      <c r="F197" s="110">
        <f>F198</f>
        <v>6782557.2</v>
      </c>
      <c r="G197" s="110"/>
      <c r="I197" s="125">
        <v>6822157.2</v>
      </c>
      <c r="L197" s="125">
        <f t="shared" si="9"/>
        <v>39600</v>
      </c>
      <c r="M197" s="125">
        <f t="shared" si="10"/>
        <v>0</v>
      </c>
    </row>
    <row r="198" spans="1:13" ht="15.75" outlineLevel="5">
      <c r="A198" s="108" t="s">
        <v>683</v>
      </c>
      <c r="B198" s="109" t="s">
        <v>293</v>
      </c>
      <c r="C198" s="109" t="s">
        <v>70</v>
      </c>
      <c r="D198" s="109" t="s">
        <v>239</v>
      </c>
      <c r="E198" s="109" t="s">
        <v>239</v>
      </c>
      <c r="F198" s="110">
        <f>Приложение_6!F686</f>
        <v>6782557.2</v>
      </c>
      <c r="G198" s="110"/>
      <c r="I198" s="125">
        <v>6822157.2</v>
      </c>
      <c r="L198" s="125">
        <f t="shared" si="9"/>
        <v>39600</v>
      </c>
      <c r="M198" s="125">
        <f t="shared" si="10"/>
        <v>0</v>
      </c>
    </row>
    <row r="199" spans="1:13" ht="78.75" outlineLevel="5">
      <c r="A199" s="148" t="s">
        <v>1210</v>
      </c>
      <c r="B199" s="149" t="s">
        <v>1224</v>
      </c>
      <c r="C199" s="149" t="s">
        <v>1</v>
      </c>
      <c r="D199" s="109" t="s">
        <v>3</v>
      </c>
      <c r="E199" s="109" t="s">
        <v>3</v>
      </c>
      <c r="F199" s="110">
        <f>F200</f>
        <v>752400</v>
      </c>
      <c r="G199" s="110">
        <f>F199</f>
        <v>752400</v>
      </c>
      <c r="I199" s="125"/>
      <c r="L199" s="125"/>
      <c r="M199" s="125"/>
    </row>
    <row r="200" spans="1:13" ht="62.25" customHeight="1" outlineLevel="5">
      <c r="A200" s="148" t="s">
        <v>696</v>
      </c>
      <c r="B200" s="149" t="s">
        <v>1224</v>
      </c>
      <c r="C200" s="149" t="s">
        <v>70</v>
      </c>
      <c r="D200" s="109" t="s">
        <v>3</v>
      </c>
      <c r="E200" s="109" t="s">
        <v>3</v>
      </c>
      <c r="F200" s="110">
        <f>F201</f>
        <v>752400</v>
      </c>
      <c r="G200" s="110">
        <f>F200</f>
        <v>752400</v>
      </c>
      <c r="I200" s="125"/>
      <c r="L200" s="125"/>
      <c r="M200" s="125"/>
    </row>
    <row r="201" spans="1:13" ht="15.75" outlineLevel="5">
      <c r="A201" s="108" t="s">
        <v>683</v>
      </c>
      <c r="B201" s="149" t="s">
        <v>1224</v>
      </c>
      <c r="C201" s="109" t="s">
        <v>70</v>
      </c>
      <c r="D201" s="109" t="s">
        <v>239</v>
      </c>
      <c r="E201" s="109" t="s">
        <v>239</v>
      </c>
      <c r="F201" s="110">
        <f>Приложение_6!F688</f>
        <v>752400</v>
      </c>
      <c r="G201" s="110">
        <f>F201</f>
        <v>752400</v>
      </c>
      <c r="I201" s="125"/>
      <c r="L201" s="125"/>
      <c r="M201" s="125"/>
    </row>
    <row r="202" spans="1:13" ht="71.25" customHeight="1" outlineLevel="5">
      <c r="A202" s="148" t="s">
        <v>1210</v>
      </c>
      <c r="B202" s="149" t="s">
        <v>1223</v>
      </c>
      <c r="C202" s="149" t="s">
        <v>1</v>
      </c>
      <c r="D202" s="109" t="s">
        <v>3</v>
      </c>
      <c r="E202" s="109" t="s">
        <v>3</v>
      </c>
      <c r="F202" s="110">
        <f>F203</f>
        <v>39600</v>
      </c>
      <c r="G202" s="110"/>
      <c r="I202" s="125"/>
      <c r="L202" s="125"/>
      <c r="M202" s="125"/>
    </row>
    <row r="203" spans="1:13" ht="78.75" outlineLevel="5">
      <c r="A203" s="148" t="s">
        <v>696</v>
      </c>
      <c r="B203" s="149" t="s">
        <v>1223</v>
      </c>
      <c r="C203" s="149" t="s">
        <v>70</v>
      </c>
      <c r="D203" s="109" t="s">
        <v>3</v>
      </c>
      <c r="E203" s="109" t="s">
        <v>3</v>
      </c>
      <c r="F203" s="110">
        <f>F204</f>
        <v>39600</v>
      </c>
      <c r="G203" s="110"/>
      <c r="I203" s="125"/>
      <c r="L203" s="125"/>
      <c r="M203" s="125"/>
    </row>
    <row r="204" spans="1:13" ht="15.75" outlineLevel="5">
      <c r="A204" s="108" t="s">
        <v>683</v>
      </c>
      <c r="B204" s="149" t="s">
        <v>1223</v>
      </c>
      <c r="C204" s="109" t="s">
        <v>70</v>
      </c>
      <c r="D204" s="109" t="s">
        <v>239</v>
      </c>
      <c r="E204" s="109" t="s">
        <v>239</v>
      </c>
      <c r="F204" s="110">
        <f>Приложение_6!F690</f>
        <v>39600</v>
      </c>
      <c r="G204" s="110"/>
      <c r="I204" s="125"/>
      <c r="L204" s="125"/>
      <c r="M204" s="125"/>
    </row>
    <row r="205" spans="1:13" ht="63" outlineLevel="2">
      <c r="A205" s="108" t="s">
        <v>575</v>
      </c>
      <c r="B205" s="109" t="s">
        <v>294</v>
      </c>
      <c r="C205" s="109" t="s">
        <v>1</v>
      </c>
      <c r="D205" s="109" t="s">
        <v>3</v>
      </c>
      <c r="E205" s="109" t="s">
        <v>3</v>
      </c>
      <c r="F205" s="110">
        <f>F206+F209</f>
        <v>5138232.8</v>
      </c>
      <c r="G205" s="110">
        <f>G206+G209</f>
        <v>3114300</v>
      </c>
      <c r="I205" s="125">
        <v>5890632.8</v>
      </c>
      <c r="J205" s="125">
        <v>3866700</v>
      </c>
      <c r="L205" s="125">
        <f t="shared" si="9"/>
        <v>752400</v>
      </c>
      <c r="M205" s="125">
        <f t="shared" si="10"/>
        <v>752400</v>
      </c>
    </row>
    <row r="206" spans="1:13" ht="78.75" outlineLevel="3">
      <c r="A206" s="108" t="s">
        <v>1210</v>
      </c>
      <c r="B206" s="109" t="s">
        <v>295</v>
      </c>
      <c r="C206" s="109" t="s">
        <v>1</v>
      </c>
      <c r="D206" s="109" t="s">
        <v>3</v>
      </c>
      <c r="E206" s="109" t="s">
        <v>3</v>
      </c>
      <c r="F206" s="110">
        <f>F207</f>
        <v>3114300</v>
      </c>
      <c r="G206" s="110">
        <f>G207</f>
        <v>3114300</v>
      </c>
      <c r="I206" s="125">
        <v>3866700</v>
      </c>
      <c r="J206" s="125">
        <v>3866700</v>
      </c>
      <c r="L206" s="125">
        <f t="shared" si="9"/>
        <v>752400</v>
      </c>
      <c r="M206" s="125">
        <f t="shared" si="10"/>
        <v>752400</v>
      </c>
    </row>
    <row r="207" spans="1:13" ht="78.75" outlineLevel="4">
      <c r="A207" s="108" t="s">
        <v>696</v>
      </c>
      <c r="B207" s="109" t="s">
        <v>295</v>
      </c>
      <c r="C207" s="109" t="s">
        <v>70</v>
      </c>
      <c r="D207" s="109" t="s">
        <v>3</v>
      </c>
      <c r="E207" s="109" t="s">
        <v>3</v>
      </c>
      <c r="F207" s="110">
        <f>F208</f>
        <v>3114300</v>
      </c>
      <c r="G207" s="110">
        <f>G208</f>
        <v>3114300</v>
      </c>
      <c r="I207" s="125">
        <v>3866700</v>
      </c>
      <c r="J207" s="125">
        <v>3866700</v>
      </c>
      <c r="L207" s="125">
        <f t="shared" si="9"/>
        <v>752400</v>
      </c>
      <c r="M207" s="125">
        <f t="shared" si="10"/>
        <v>752400</v>
      </c>
    </row>
    <row r="208" spans="1:13" ht="15.75" outlineLevel="5">
      <c r="A208" s="108" t="s">
        <v>683</v>
      </c>
      <c r="B208" s="109" t="s">
        <v>295</v>
      </c>
      <c r="C208" s="109" t="s">
        <v>70</v>
      </c>
      <c r="D208" s="109" t="s">
        <v>239</v>
      </c>
      <c r="E208" s="109" t="s">
        <v>239</v>
      </c>
      <c r="F208" s="110">
        <f>Приложение_6!F693</f>
        <v>3114300</v>
      </c>
      <c r="G208" s="110">
        <f>F208</f>
        <v>3114300</v>
      </c>
      <c r="I208" s="125">
        <v>3866700</v>
      </c>
      <c r="J208" s="125">
        <v>3866700</v>
      </c>
      <c r="L208" s="125">
        <f t="shared" si="9"/>
        <v>752400</v>
      </c>
      <c r="M208" s="125">
        <f t="shared" si="10"/>
        <v>752400</v>
      </c>
    </row>
    <row r="209" spans="1:13" ht="63.75" customHeight="1" outlineLevel="3">
      <c r="A209" s="108" t="s">
        <v>1210</v>
      </c>
      <c r="B209" s="109" t="s">
        <v>296</v>
      </c>
      <c r="C209" s="109" t="s">
        <v>1</v>
      </c>
      <c r="D209" s="109" t="s">
        <v>3</v>
      </c>
      <c r="E209" s="109" t="s">
        <v>3</v>
      </c>
      <c r="F209" s="110">
        <f>F210</f>
        <v>2023932.8</v>
      </c>
      <c r="G209" s="110"/>
      <c r="I209" s="125">
        <v>2023932.8</v>
      </c>
      <c r="L209" s="125">
        <f aca="true" t="shared" si="12" ref="L209:L289">I209-F209</f>
        <v>0</v>
      </c>
      <c r="M209" s="125">
        <f aca="true" t="shared" si="13" ref="M209:M289">J209-G209</f>
        <v>0</v>
      </c>
    </row>
    <row r="210" spans="1:13" ht="72" customHeight="1" outlineLevel="4">
      <c r="A210" s="108" t="s">
        <v>696</v>
      </c>
      <c r="B210" s="109" t="s">
        <v>296</v>
      </c>
      <c r="C210" s="109" t="s">
        <v>70</v>
      </c>
      <c r="D210" s="109" t="s">
        <v>3</v>
      </c>
      <c r="E210" s="109" t="s">
        <v>3</v>
      </c>
      <c r="F210" s="110">
        <f>F211</f>
        <v>2023932.8</v>
      </c>
      <c r="G210" s="110"/>
      <c r="I210" s="125">
        <v>2023932.8</v>
      </c>
      <c r="L210" s="125">
        <f t="shared" si="12"/>
        <v>0</v>
      </c>
      <c r="M210" s="125">
        <f t="shared" si="13"/>
        <v>0</v>
      </c>
    </row>
    <row r="211" spans="1:13" ht="15.75" outlineLevel="5">
      <c r="A211" s="108" t="s">
        <v>683</v>
      </c>
      <c r="B211" s="109" t="s">
        <v>296</v>
      </c>
      <c r="C211" s="109" t="s">
        <v>70</v>
      </c>
      <c r="D211" s="109" t="s">
        <v>239</v>
      </c>
      <c r="E211" s="109" t="s">
        <v>239</v>
      </c>
      <c r="F211" s="110">
        <f>Приложение_6!F695</f>
        <v>2023932.8</v>
      </c>
      <c r="G211" s="110"/>
      <c r="I211" s="125">
        <v>2023932.8</v>
      </c>
      <c r="L211" s="125">
        <f t="shared" si="12"/>
        <v>0</v>
      </c>
      <c r="M211" s="125">
        <f t="shared" si="13"/>
        <v>0</v>
      </c>
    </row>
    <row r="212" spans="1:13" ht="89.25" customHeight="1" outlineLevel="1">
      <c r="A212" s="115" t="s">
        <v>641</v>
      </c>
      <c r="B212" s="116" t="s">
        <v>249</v>
      </c>
      <c r="C212" s="116" t="s">
        <v>1</v>
      </c>
      <c r="D212" s="116" t="s">
        <v>3</v>
      </c>
      <c r="E212" s="116" t="s">
        <v>3</v>
      </c>
      <c r="F212" s="117">
        <f>F213+F217+F234+F238+F222</f>
        <v>19417416.71</v>
      </c>
      <c r="G212" s="117">
        <f>G213+G217+G234+G238</f>
        <v>774513.73</v>
      </c>
      <c r="I212" s="125">
        <v>6693104.73</v>
      </c>
      <c r="J212" s="125">
        <v>774513.73</v>
      </c>
      <c r="L212" s="125">
        <f t="shared" si="12"/>
        <v>-12724311.98</v>
      </c>
      <c r="M212" s="125">
        <f t="shared" si="13"/>
        <v>0</v>
      </c>
    </row>
    <row r="213" spans="1:13" ht="31.5" outlineLevel="2">
      <c r="A213" s="108" t="s">
        <v>563</v>
      </c>
      <c r="B213" s="109" t="s">
        <v>250</v>
      </c>
      <c r="C213" s="109" t="s">
        <v>1</v>
      </c>
      <c r="D213" s="109" t="s">
        <v>3</v>
      </c>
      <c r="E213" s="109" t="s">
        <v>3</v>
      </c>
      <c r="F213" s="110">
        <f aca="true" t="shared" si="14" ref="F213:G215">F214</f>
        <v>774513.73</v>
      </c>
      <c r="G213" s="110">
        <f t="shared" si="14"/>
        <v>774513.73</v>
      </c>
      <c r="I213" s="125">
        <v>774513.73</v>
      </c>
      <c r="J213" s="125">
        <v>774513.73</v>
      </c>
      <c r="L213" s="125">
        <f t="shared" si="12"/>
        <v>0</v>
      </c>
      <c r="M213" s="125">
        <f t="shared" si="13"/>
        <v>0</v>
      </c>
    </row>
    <row r="214" spans="1:13" ht="94.5" outlineLevel="3">
      <c r="A214" s="108" t="s">
        <v>467</v>
      </c>
      <c r="B214" s="109" t="s">
        <v>251</v>
      </c>
      <c r="C214" s="109" t="s">
        <v>1</v>
      </c>
      <c r="D214" s="109" t="s">
        <v>3</v>
      </c>
      <c r="E214" s="109" t="s">
        <v>3</v>
      </c>
      <c r="F214" s="110">
        <f t="shared" si="14"/>
        <v>774513.73</v>
      </c>
      <c r="G214" s="110">
        <f t="shared" si="14"/>
        <v>774513.73</v>
      </c>
      <c r="I214" s="125">
        <v>774513.73</v>
      </c>
      <c r="J214" s="125">
        <v>774513.73</v>
      </c>
      <c r="L214" s="125">
        <f t="shared" si="12"/>
        <v>0</v>
      </c>
      <c r="M214" s="125">
        <f t="shared" si="13"/>
        <v>0</v>
      </c>
    </row>
    <row r="215" spans="1:13" ht="63" outlineLevel="4">
      <c r="A215" s="108" t="s">
        <v>1213</v>
      </c>
      <c r="B215" s="109" t="s">
        <v>251</v>
      </c>
      <c r="C215" s="109" t="s">
        <v>143</v>
      </c>
      <c r="D215" s="109" t="s">
        <v>3</v>
      </c>
      <c r="E215" s="109" t="s">
        <v>3</v>
      </c>
      <c r="F215" s="110">
        <f t="shared" si="14"/>
        <v>774513.73</v>
      </c>
      <c r="G215" s="110">
        <f t="shared" si="14"/>
        <v>774513.73</v>
      </c>
      <c r="I215" s="125">
        <v>774513.73</v>
      </c>
      <c r="J215" s="125">
        <v>774513.73</v>
      </c>
      <c r="L215" s="125">
        <f t="shared" si="12"/>
        <v>0</v>
      </c>
      <c r="M215" s="125">
        <f t="shared" si="13"/>
        <v>0</v>
      </c>
    </row>
    <row r="216" spans="1:13" ht="15.75" outlineLevel="5">
      <c r="A216" s="108" t="s">
        <v>680</v>
      </c>
      <c r="B216" s="109" t="s">
        <v>251</v>
      </c>
      <c r="C216" s="109" t="s">
        <v>143</v>
      </c>
      <c r="D216" s="109" t="s">
        <v>239</v>
      </c>
      <c r="E216" s="109" t="s">
        <v>2</v>
      </c>
      <c r="F216" s="110">
        <f>Приложение_6!F569</f>
        <v>774513.73</v>
      </c>
      <c r="G216" s="110">
        <f>F216</f>
        <v>774513.73</v>
      </c>
      <c r="I216" s="125">
        <v>774513.73</v>
      </c>
      <c r="J216" s="125">
        <v>774513.73</v>
      </c>
      <c r="L216" s="125">
        <f t="shared" si="12"/>
        <v>0</v>
      </c>
      <c r="M216" s="125">
        <f t="shared" si="13"/>
        <v>0</v>
      </c>
    </row>
    <row r="217" spans="1:13" ht="63" outlineLevel="2">
      <c r="A217" s="108" t="s">
        <v>564</v>
      </c>
      <c r="B217" s="109" t="s">
        <v>252</v>
      </c>
      <c r="C217" s="109" t="s">
        <v>1</v>
      </c>
      <c r="D217" s="109" t="s">
        <v>3</v>
      </c>
      <c r="E217" s="109" t="s">
        <v>3</v>
      </c>
      <c r="F217" s="110">
        <f>F218</f>
        <v>1651188</v>
      </c>
      <c r="G217" s="110"/>
      <c r="I217" s="125">
        <v>1651188</v>
      </c>
      <c r="L217" s="125">
        <f t="shared" si="12"/>
        <v>0</v>
      </c>
      <c r="M217" s="125">
        <f t="shared" si="13"/>
        <v>0</v>
      </c>
    </row>
    <row r="218" spans="1:13" ht="31.5" customHeight="1" outlineLevel="3">
      <c r="A218" s="108" t="s">
        <v>441</v>
      </c>
      <c r="B218" s="109" t="s">
        <v>253</v>
      </c>
      <c r="C218" s="109" t="s">
        <v>1</v>
      </c>
      <c r="D218" s="109" t="s">
        <v>3</v>
      </c>
      <c r="E218" s="109" t="s">
        <v>3</v>
      </c>
      <c r="F218" s="110">
        <f>F219</f>
        <v>1651188</v>
      </c>
      <c r="G218" s="110"/>
      <c r="I218" s="125">
        <v>1651188</v>
      </c>
      <c r="L218" s="125">
        <f t="shared" si="12"/>
        <v>0</v>
      </c>
      <c r="M218" s="125">
        <f t="shared" si="13"/>
        <v>0</v>
      </c>
    </row>
    <row r="219" spans="1:13" ht="78.75" outlineLevel="4">
      <c r="A219" s="108" t="s">
        <v>696</v>
      </c>
      <c r="B219" s="109" t="s">
        <v>253</v>
      </c>
      <c r="C219" s="109" t="s">
        <v>70</v>
      </c>
      <c r="D219" s="109" t="s">
        <v>3</v>
      </c>
      <c r="E219" s="109" t="s">
        <v>3</v>
      </c>
      <c r="F219" s="110">
        <f>F220+F221</f>
        <v>1651188</v>
      </c>
      <c r="G219" s="110"/>
      <c r="I219" s="125">
        <v>1651188</v>
      </c>
      <c r="L219" s="125">
        <f t="shared" si="12"/>
        <v>0</v>
      </c>
      <c r="M219" s="125">
        <f t="shared" si="13"/>
        <v>0</v>
      </c>
    </row>
    <row r="220" spans="1:13" ht="15.75" outlineLevel="5">
      <c r="A220" s="108" t="s">
        <v>680</v>
      </c>
      <c r="B220" s="109" t="s">
        <v>253</v>
      </c>
      <c r="C220" s="109" t="s">
        <v>70</v>
      </c>
      <c r="D220" s="109" t="s">
        <v>239</v>
      </c>
      <c r="E220" s="109" t="s">
        <v>2</v>
      </c>
      <c r="F220" s="110">
        <f>Приложение_6!F572</f>
        <v>1187188</v>
      </c>
      <c r="G220" s="110"/>
      <c r="I220" s="125">
        <v>1187188</v>
      </c>
      <c r="L220" s="125">
        <f t="shared" si="12"/>
        <v>0</v>
      </c>
      <c r="M220" s="125">
        <f t="shared" si="13"/>
        <v>0</v>
      </c>
    </row>
    <row r="221" spans="1:13" ht="31.5" outlineLevel="5">
      <c r="A221" s="108" t="s">
        <v>682</v>
      </c>
      <c r="B221" s="109" t="s">
        <v>253</v>
      </c>
      <c r="C221" s="109" t="s">
        <v>70</v>
      </c>
      <c r="D221" s="109" t="s">
        <v>239</v>
      </c>
      <c r="E221" s="109" t="s">
        <v>14</v>
      </c>
      <c r="F221" s="110">
        <f>Приложение_6!F650</f>
        <v>464000</v>
      </c>
      <c r="G221" s="110"/>
      <c r="I221" s="125"/>
      <c r="L221" s="125"/>
      <c r="M221" s="125"/>
    </row>
    <row r="222" spans="1:13" ht="78.75" outlineLevel="5">
      <c r="A222" s="76" t="s">
        <v>587</v>
      </c>
      <c r="B222" s="109" t="s">
        <v>415</v>
      </c>
      <c r="C222" s="109" t="s">
        <v>1</v>
      </c>
      <c r="D222" s="109" t="s">
        <v>3</v>
      </c>
      <c r="E222" s="109" t="s">
        <v>3</v>
      </c>
      <c r="F222" s="110">
        <f>F223+F229</f>
        <v>10993444.98</v>
      </c>
      <c r="G222" s="110"/>
      <c r="I222" s="125"/>
      <c r="L222" s="125"/>
      <c r="M222" s="125"/>
    </row>
    <row r="223" spans="1:13" ht="54.75" customHeight="1" outlineLevel="5">
      <c r="A223" s="76" t="s">
        <v>456</v>
      </c>
      <c r="B223" s="109" t="s">
        <v>1237</v>
      </c>
      <c r="C223" s="109" t="s">
        <v>1</v>
      </c>
      <c r="D223" s="109" t="s">
        <v>3</v>
      </c>
      <c r="E223" s="109" t="s">
        <v>3</v>
      </c>
      <c r="F223" s="110">
        <f>F226+F224</f>
        <v>9179105.98</v>
      </c>
      <c r="G223" s="110"/>
      <c r="I223" s="125"/>
      <c r="L223" s="125"/>
      <c r="M223" s="125"/>
    </row>
    <row r="224" spans="1:13" ht="64.5" customHeight="1" outlineLevel="5">
      <c r="A224" s="76" t="s">
        <v>693</v>
      </c>
      <c r="B224" s="109" t="s">
        <v>1237</v>
      </c>
      <c r="C224" s="109" t="s">
        <v>17</v>
      </c>
      <c r="D224" s="109" t="s">
        <v>3</v>
      </c>
      <c r="E224" s="109" t="s">
        <v>3</v>
      </c>
      <c r="F224" s="110">
        <f>F225</f>
        <v>262900</v>
      </c>
      <c r="G224" s="110"/>
      <c r="I224" s="125"/>
      <c r="L224" s="125"/>
      <c r="M224" s="125"/>
    </row>
    <row r="225" spans="1:13" ht="20.25" customHeight="1" outlineLevel="5">
      <c r="A225" s="108" t="s">
        <v>680</v>
      </c>
      <c r="B225" s="109" t="s">
        <v>1237</v>
      </c>
      <c r="C225" s="109" t="s">
        <v>17</v>
      </c>
      <c r="D225" s="109" t="s">
        <v>239</v>
      </c>
      <c r="E225" s="109" t="s">
        <v>2</v>
      </c>
      <c r="F225" s="110">
        <f>Приложение_6!F575</f>
        <v>262900</v>
      </c>
      <c r="G225" s="110"/>
      <c r="I225" s="125"/>
      <c r="L225" s="125"/>
      <c r="M225" s="125"/>
    </row>
    <row r="226" spans="1:13" ht="78.75" outlineLevel="5">
      <c r="A226" s="76" t="s">
        <v>696</v>
      </c>
      <c r="B226" s="109" t="s">
        <v>1237</v>
      </c>
      <c r="C226" s="109" t="s">
        <v>70</v>
      </c>
      <c r="D226" s="109" t="s">
        <v>3</v>
      </c>
      <c r="E226" s="109" t="s">
        <v>3</v>
      </c>
      <c r="F226" s="110">
        <f>F227+F228</f>
        <v>8916205.98</v>
      </c>
      <c r="G226" s="110"/>
      <c r="I226" s="125"/>
      <c r="L226" s="125"/>
      <c r="M226" s="125"/>
    </row>
    <row r="227" spans="1:13" ht="15.75" outlineLevel="5">
      <c r="A227" s="108" t="s">
        <v>680</v>
      </c>
      <c r="B227" s="109" t="s">
        <v>1237</v>
      </c>
      <c r="C227" s="109" t="s">
        <v>70</v>
      </c>
      <c r="D227" s="109" t="s">
        <v>239</v>
      </c>
      <c r="E227" s="109" t="s">
        <v>2</v>
      </c>
      <c r="F227" s="110">
        <f>Приложение_6!F576</f>
        <v>4673209.5</v>
      </c>
      <c r="G227" s="110"/>
      <c r="I227" s="125"/>
      <c r="L227" s="125"/>
      <c r="M227" s="125"/>
    </row>
    <row r="228" spans="1:13" ht="15.75" outlineLevel="5">
      <c r="A228" s="108" t="s">
        <v>681</v>
      </c>
      <c r="B228" s="109" t="s">
        <v>1237</v>
      </c>
      <c r="C228" s="109" t="s">
        <v>70</v>
      </c>
      <c r="D228" s="109" t="s">
        <v>239</v>
      </c>
      <c r="E228" s="109" t="s">
        <v>5</v>
      </c>
      <c r="F228" s="110">
        <f>Приложение_6!F618</f>
        <v>4242996.48</v>
      </c>
      <c r="G228" s="110"/>
      <c r="I228" s="125"/>
      <c r="L228" s="125"/>
      <c r="M228" s="125"/>
    </row>
    <row r="229" spans="1:13" ht="31.5" outlineLevel="5">
      <c r="A229" s="76" t="s">
        <v>441</v>
      </c>
      <c r="B229" s="109" t="s">
        <v>1326</v>
      </c>
      <c r="C229" s="109" t="s">
        <v>1</v>
      </c>
      <c r="D229" s="109" t="s">
        <v>3</v>
      </c>
      <c r="E229" s="109" t="s">
        <v>3</v>
      </c>
      <c r="F229" s="110">
        <f>F230</f>
        <v>1814339</v>
      </c>
      <c r="G229" s="110"/>
      <c r="I229" s="125"/>
      <c r="L229" s="125"/>
      <c r="M229" s="125"/>
    </row>
    <row r="230" spans="1:13" ht="78.75" outlineLevel="5">
      <c r="A230" s="76" t="s">
        <v>696</v>
      </c>
      <c r="B230" s="109" t="s">
        <v>1326</v>
      </c>
      <c r="C230" s="109" t="s">
        <v>70</v>
      </c>
      <c r="D230" s="109" t="s">
        <v>3</v>
      </c>
      <c r="E230" s="109" t="s">
        <v>3</v>
      </c>
      <c r="F230" s="110">
        <f>F231+F232+F233</f>
        <v>1814339</v>
      </c>
      <c r="G230" s="110"/>
      <c r="I230" s="125"/>
      <c r="L230" s="125"/>
      <c r="M230" s="125"/>
    </row>
    <row r="231" spans="1:13" ht="15.75" outlineLevel="5">
      <c r="A231" s="108" t="s">
        <v>680</v>
      </c>
      <c r="B231" s="109" t="s">
        <v>1326</v>
      </c>
      <c r="C231" s="109" t="s">
        <v>70</v>
      </c>
      <c r="D231" s="109" t="s">
        <v>239</v>
      </c>
      <c r="E231" s="109" t="s">
        <v>2</v>
      </c>
      <c r="F231" s="110">
        <f>Приложение_6!F578</f>
        <v>1555010</v>
      </c>
      <c r="G231" s="110"/>
      <c r="I231" s="125"/>
      <c r="L231" s="125"/>
      <c r="M231" s="125"/>
    </row>
    <row r="232" spans="1:13" ht="15.75" outlineLevel="5">
      <c r="A232" s="108" t="s">
        <v>681</v>
      </c>
      <c r="B232" s="109" t="s">
        <v>1326</v>
      </c>
      <c r="C232" s="109" t="s">
        <v>70</v>
      </c>
      <c r="D232" s="109" t="s">
        <v>239</v>
      </c>
      <c r="E232" s="109" t="s">
        <v>5</v>
      </c>
      <c r="F232" s="110">
        <f>Приложение_6!F620</f>
        <v>52204</v>
      </c>
      <c r="G232" s="110"/>
      <c r="I232" s="125"/>
      <c r="L232" s="125"/>
      <c r="M232" s="125"/>
    </row>
    <row r="233" spans="1:13" ht="31.5" outlineLevel="5">
      <c r="A233" s="108" t="s">
        <v>682</v>
      </c>
      <c r="B233" s="109" t="s">
        <v>1326</v>
      </c>
      <c r="C233" s="109" t="s">
        <v>70</v>
      </c>
      <c r="D233" s="109" t="s">
        <v>239</v>
      </c>
      <c r="E233" s="109" t="s">
        <v>14</v>
      </c>
      <c r="F233" s="110">
        <f>Приложение_6!F653</f>
        <v>207125</v>
      </c>
      <c r="G233" s="110"/>
      <c r="I233" s="125"/>
      <c r="L233" s="125"/>
      <c r="M233" s="125"/>
    </row>
    <row r="234" spans="1:13" ht="31.5" outlineLevel="2">
      <c r="A234" s="108" t="s">
        <v>570</v>
      </c>
      <c r="B234" s="109" t="s">
        <v>271</v>
      </c>
      <c r="C234" s="109" t="s">
        <v>1</v>
      </c>
      <c r="D234" s="109" t="s">
        <v>3</v>
      </c>
      <c r="E234" s="109" t="s">
        <v>3</v>
      </c>
      <c r="F234" s="110">
        <f>F235</f>
        <v>3617636</v>
      </c>
      <c r="G234" s="110"/>
      <c r="I234" s="125">
        <v>3617636</v>
      </c>
      <c r="L234" s="125">
        <f t="shared" si="12"/>
        <v>0</v>
      </c>
      <c r="M234" s="125">
        <f t="shared" si="13"/>
        <v>0</v>
      </c>
    </row>
    <row r="235" spans="1:13" ht="31.5" customHeight="1" outlineLevel="3">
      <c r="A235" s="108" t="s">
        <v>441</v>
      </c>
      <c r="B235" s="109" t="s">
        <v>272</v>
      </c>
      <c r="C235" s="109" t="s">
        <v>1</v>
      </c>
      <c r="D235" s="109" t="s">
        <v>3</v>
      </c>
      <c r="E235" s="109" t="s">
        <v>3</v>
      </c>
      <c r="F235" s="110">
        <f>F236</f>
        <v>3617636</v>
      </c>
      <c r="G235" s="110"/>
      <c r="I235" s="125">
        <v>3617636</v>
      </c>
      <c r="L235" s="125">
        <f t="shared" si="12"/>
        <v>0</v>
      </c>
      <c r="M235" s="125">
        <f t="shared" si="13"/>
        <v>0</v>
      </c>
    </row>
    <row r="236" spans="1:13" ht="78.75" outlineLevel="4">
      <c r="A236" s="108" t="s">
        <v>696</v>
      </c>
      <c r="B236" s="109" t="s">
        <v>272</v>
      </c>
      <c r="C236" s="109" t="s">
        <v>70</v>
      </c>
      <c r="D236" s="109" t="s">
        <v>3</v>
      </c>
      <c r="E236" s="109" t="s">
        <v>3</v>
      </c>
      <c r="F236" s="110">
        <f>F237</f>
        <v>3617636</v>
      </c>
      <c r="G236" s="110"/>
      <c r="I236" s="125">
        <v>3617636</v>
      </c>
      <c r="L236" s="125">
        <f t="shared" si="12"/>
        <v>0</v>
      </c>
      <c r="M236" s="125">
        <f t="shared" si="13"/>
        <v>0</v>
      </c>
    </row>
    <row r="237" spans="1:13" ht="15.75" outlineLevel="5">
      <c r="A237" s="108" t="s">
        <v>681</v>
      </c>
      <c r="B237" s="109" t="s">
        <v>272</v>
      </c>
      <c r="C237" s="109" t="s">
        <v>70</v>
      </c>
      <c r="D237" s="109" t="s">
        <v>239</v>
      </c>
      <c r="E237" s="109" t="s">
        <v>5</v>
      </c>
      <c r="F237" s="110">
        <f>Приложение_6!F623</f>
        <v>3617636</v>
      </c>
      <c r="G237" s="110"/>
      <c r="I237" s="125">
        <v>3617636</v>
      </c>
      <c r="L237" s="125">
        <f t="shared" si="12"/>
        <v>0</v>
      </c>
      <c r="M237" s="125">
        <f t="shared" si="13"/>
        <v>0</v>
      </c>
    </row>
    <row r="238" spans="1:13" ht="78.75" outlineLevel="2">
      <c r="A238" s="108" t="s">
        <v>565</v>
      </c>
      <c r="B238" s="109" t="s">
        <v>254</v>
      </c>
      <c r="C238" s="109" t="s">
        <v>1</v>
      </c>
      <c r="D238" s="109" t="s">
        <v>3</v>
      </c>
      <c r="E238" s="109" t="s">
        <v>3</v>
      </c>
      <c r="F238" s="110">
        <f>F243+F239</f>
        <v>2380634</v>
      </c>
      <c r="G238" s="110"/>
      <c r="I238" s="125">
        <v>649767</v>
      </c>
      <c r="L238" s="125">
        <f t="shared" si="12"/>
        <v>-1730867</v>
      </c>
      <c r="M238" s="125">
        <f t="shared" si="13"/>
        <v>0</v>
      </c>
    </row>
    <row r="239" spans="1:13" ht="63" outlineLevel="2">
      <c r="A239" s="76" t="s">
        <v>456</v>
      </c>
      <c r="B239" s="109" t="s">
        <v>416</v>
      </c>
      <c r="C239" s="109" t="s">
        <v>1</v>
      </c>
      <c r="D239" s="109" t="s">
        <v>3</v>
      </c>
      <c r="E239" s="109" t="s">
        <v>3</v>
      </c>
      <c r="F239" s="110">
        <f>F240</f>
        <v>1532569.82</v>
      </c>
      <c r="G239" s="110"/>
      <c r="I239" s="125"/>
      <c r="L239" s="125"/>
      <c r="M239" s="125"/>
    </row>
    <row r="240" spans="1:13" ht="78.75" outlineLevel="2">
      <c r="A240" s="76" t="s">
        <v>696</v>
      </c>
      <c r="B240" s="109" t="s">
        <v>416</v>
      </c>
      <c r="C240" s="109" t="s">
        <v>70</v>
      </c>
      <c r="D240" s="109" t="s">
        <v>3</v>
      </c>
      <c r="E240" s="109" t="s">
        <v>3</v>
      </c>
      <c r="F240" s="110">
        <f>F242+F241</f>
        <v>1532569.82</v>
      </c>
      <c r="G240" s="110"/>
      <c r="I240" s="125"/>
      <c r="L240" s="125"/>
      <c r="M240" s="125"/>
    </row>
    <row r="241" spans="1:13" ht="15.75" outlineLevel="2">
      <c r="A241" s="76" t="s">
        <v>680</v>
      </c>
      <c r="B241" s="109" t="s">
        <v>416</v>
      </c>
      <c r="C241" s="109" t="s">
        <v>70</v>
      </c>
      <c r="D241" s="109" t="s">
        <v>239</v>
      </c>
      <c r="E241" s="109" t="s">
        <v>2</v>
      </c>
      <c r="F241" s="110">
        <f>Приложение_6!F581</f>
        <v>887050</v>
      </c>
      <c r="G241" s="110"/>
      <c r="I241" s="125"/>
      <c r="L241" s="125"/>
      <c r="M241" s="125"/>
    </row>
    <row r="242" spans="1:13" ht="15.75" outlineLevel="2">
      <c r="A242" s="108" t="s">
        <v>681</v>
      </c>
      <c r="B242" s="109" t="s">
        <v>416</v>
      </c>
      <c r="C242" s="109" t="s">
        <v>70</v>
      </c>
      <c r="D242" s="109" t="s">
        <v>239</v>
      </c>
      <c r="E242" s="109" t="s">
        <v>5</v>
      </c>
      <c r="F242" s="110">
        <f>Приложение_6!F626</f>
        <v>645519.8200000001</v>
      </c>
      <c r="G242" s="110"/>
      <c r="I242" s="125"/>
      <c r="L242" s="125"/>
      <c r="M242" s="125"/>
    </row>
    <row r="243" spans="1:13" ht="31.5" customHeight="1" outlineLevel="3">
      <c r="A243" s="108" t="s">
        <v>441</v>
      </c>
      <c r="B243" s="109" t="s">
        <v>255</v>
      </c>
      <c r="C243" s="109" t="s">
        <v>1</v>
      </c>
      <c r="D243" s="109" t="s">
        <v>3</v>
      </c>
      <c r="E243" s="109" t="s">
        <v>3</v>
      </c>
      <c r="F243" s="110">
        <f>F244</f>
        <v>848064.1799999999</v>
      </c>
      <c r="G243" s="110"/>
      <c r="I243" s="125">
        <v>649767</v>
      </c>
      <c r="L243" s="125">
        <f t="shared" si="12"/>
        <v>-198297.17999999993</v>
      </c>
      <c r="M243" s="125">
        <f t="shared" si="13"/>
        <v>0</v>
      </c>
    </row>
    <row r="244" spans="1:13" ht="78.75" outlineLevel="4">
      <c r="A244" s="108" t="s">
        <v>696</v>
      </c>
      <c r="B244" s="109" t="s">
        <v>255</v>
      </c>
      <c r="C244" s="109" t="s">
        <v>70</v>
      </c>
      <c r="D244" s="109" t="s">
        <v>3</v>
      </c>
      <c r="E244" s="109" t="s">
        <v>3</v>
      </c>
      <c r="F244" s="110">
        <f>F247+F245+F246</f>
        <v>848064.1799999999</v>
      </c>
      <c r="G244" s="110"/>
      <c r="I244" s="125">
        <v>649767</v>
      </c>
      <c r="L244" s="125">
        <f t="shared" si="12"/>
        <v>-198297.17999999993</v>
      </c>
      <c r="M244" s="125">
        <f t="shared" si="13"/>
        <v>0</v>
      </c>
    </row>
    <row r="245" spans="1:13" ht="15.75" outlineLevel="5">
      <c r="A245" s="108" t="s">
        <v>680</v>
      </c>
      <c r="B245" s="109" t="s">
        <v>255</v>
      </c>
      <c r="C245" s="109" t="s">
        <v>70</v>
      </c>
      <c r="D245" s="109" t="s">
        <v>239</v>
      </c>
      <c r="E245" s="109" t="s">
        <v>2</v>
      </c>
      <c r="F245" s="110">
        <f>Приложение_6!F583</f>
        <v>149174</v>
      </c>
      <c r="G245" s="110"/>
      <c r="I245" s="125">
        <v>180030</v>
      </c>
      <c r="L245" s="125">
        <f t="shared" si="12"/>
        <v>30856</v>
      </c>
      <c r="M245" s="125">
        <f t="shared" si="13"/>
        <v>0</v>
      </c>
    </row>
    <row r="246" spans="1:13" ht="15.75" outlineLevel="5">
      <c r="A246" s="108" t="s">
        <v>681</v>
      </c>
      <c r="B246" s="109" t="s">
        <v>255</v>
      </c>
      <c r="C246" s="109" t="s">
        <v>70</v>
      </c>
      <c r="D246" s="109" t="s">
        <v>239</v>
      </c>
      <c r="E246" s="109" t="s">
        <v>5</v>
      </c>
      <c r="F246" s="110">
        <f>Приложение_6!F628</f>
        <v>102673.18</v>
      </c>
      <c r="G246" s="110"/>
      <c r="I246" s="125"/>
      <c r="L246" s="125"/>
      <c r="M246" s="125"/>
    </row>
    <row r="247" spans="1:13" ht="31.5" outlineLevel="5">
      <c r="A247" s="108" t="s">
        <v>682</v>
      </c>
      <c r="B247" s="109" t="s">
        <v>255</v>
      </c>
      <c r="C247" s="109" t="s">
        <v>70</v>
      </c>
      <c r="D247" s="109" t="s">
        <v>239</v>
      </c>
      <c r="E247" s="109" t="s">
        <v>14</v>
      </c>
      <c r="F247" s="110">
        <f>Приложение_6!F656</f>
        <v>596217</v>
      </c>
      <c r="G247" s="110"/>
      <c r="I247" s="125">
        <v>469737</v>
      </c>
      <c r="L247" s="125">
        <f t="shared" si="12"/>
        <v>-126480</v>
      </c>
      <c r="M247" s="125">
        <f t="shared" si="13"/>
        <v>0</v>
      </c>
    </row>
    <row r="248" spans="1:13" ht="94.5">
      <c r="A248" s="115" t="s">
        <v>1209</v>
      </c>
      <c r="B248" s="116" t="s">
        <v>67</v>
      </c>
      <c r="C248" s="116" t="s">
        <v>1</v>
      </c>
      <c r="D248" s="116" t="s">
        <v>3</v>
      </c>
      <c r="E248" s="116" t="s">
        <v>3</v>
      </c>
      <c r="F248" s="117">
        <f>F249+F256</f>
        <v>928720.79</v>
      </c>
      <c r="G248" s="117"/>
      <c r="I248" s="125">
        <v>928720.79</v>
      </c>
      <c r="L248" s="125">
        <f t="shared" si="12"/>
        <v>0</v>
      </c>
      <c r="M248" s="125">
        <f t="shared" si="13"/>
        <v>0</v>
      </c>
    </row>
    <row r="249" spans="1:13" ht="110.25" outlineLevel="2">
      <c r="A249" s="108" t="s">
        <v>588</v>
      </c>
      <c r="B249" s="109" t="s">
        <v>332</v>
      </c>
      <c r="C249" s="109" t="s">
        <v>1</v>
      </c>
      <c r="D249" s="109" t="s">
        <v>3</v>
      </c>
      <c r="E249" s="109" t="s">
        <v>3</v>
      </c>
      <c r="F249" s="110">
        <f>F250+F253</f>
        <v>609776.79</v>
      </c>
      <c r="G249" s="110"/>
      <c r="I249" s="125">
        <v>609776.79</v>
      </c>
      <c r="L249" s="125">
        <f t="shared" si="12"/>
        <v>0</v>
      </c>
      <c r="M249" s="125">
        <f t="shared" si="13"/>
        <v>0</v>
      </c>
    </row>
    <row r="250" spans="1:13" ht="63" outlineLevel="3">
      <c r="A250" s="108" t="s">
        <v>456</v>
      </c>
      <c r="B250" s="109" t="s">
        <v>333</v>
      </c>
      <c r="C250" s="109" t="s">
        <v>1</v>
      </c>
      <c r="D250" s="109" t="s">
        <v>3</v>
      </c>
      <c r="E250" s="109" t="s">
        <v>3</v>
      </c>
      <c r="F250" s="110">
        <f>F251</f>
        <v>491531.49</v>
      </c>
      <c r="G250" s="110"/>
      <c r="I250" s="125">
        <v>491531.49</v>
      </c>
      <c r="L250" s="125">
        <f t="shared" si="12"/>
        <v>0</v>
      </c>
      <c r="M250" s="125">
        <f t="shared" si="13"/>
        <v>0</v>
      </c>
    </row>
    <row r="251" spans="1:13" ht="78.75" outlineLevel="4">
      <c r="A251" s="108" t="s">
        <v>696</v>
      </c>
      <c r="B251" s="109" t="s">
        <v>333</v>
      </c>
      <c r="C251" s="109" t="s">
        <v>70</v>
      </c>
      <c r="D251" s="109" t="s">
        <v>3</v>
      </c>
      <c r="E251" s="109" t="s">
        <v>3</v>
      </c>
      <c r="F251" s="110">
        <f>F252</f>
        <v>491531.49</v>
      </c>
      <c r="G251" s="110"/>
      <c r="I251" s="125">
        <v>491531.49</v>
      </c>
      <c r="L251" s="125">
        <f t="shared" si="12"/>
        <v>0</v>
      </c>
      <c r="M251" s="125">
        <f t="shared" si="13"/>
        <v>0</v>
      </c>
    </row>
    <row r="252" spans="1:13" ht="15.75" outlineLevel="5">
      <c r="A252" s="108" t="s">
        <v>685</v>
      </c>
      <c r="B252" s="109" t="s">
        <v>333</v>
      </c>
      <c r="C252" s="109" t="s">
        <v>70</v>
      </c>
      <c r="D252" s="109" t="s">
        <v>165</v>
      </c>
      <c r="E252" s="109" t="s">
        <v>2</v>
      </c>
      <c r="F252" s="110">
        <f>Приложение_6!F766</f>
        <v>491531.49</v>
      </c>
      <c r="G252" s="110"/>
      <c r="I252" s="125">
        <v>491531.49</v>
      </c>
      <c r="L252" s="125">
        <f t="shared" si="12"/>
        <v>0</v>
      </c>
      <c r="M252" s="125">
        <f t="shared" si="13"/>
        <v>0</v>
      </c>
    </row>
    <row r="253" spans="1:13" ht="31.5" customHeight="1" outlineLevel="3">
      <c r="A253" s="108" t="s">
        <v>441</v>
      </c>
      <c r="B253" s="109" t="s">
        <v>334</v>
      </c>
      <c r="C253" s="109" t="s">
        <v>1</v>
      </c>
      <c r="D253" s="109" t="s">
        <v>3</v>
      </c>
      <c r="E253" s="109" t="s">
        <v>3</v>
      </c>
      <c r="F253" s="110">
        <f>F254</f>
        <v>118245.3</v>
      </c>
      <c r="G253" s="110"/>
      <c r="I253" s="125">
        <v>118245.3</v>
      </c>
      <c r="L253" s="125">
        <f t="shared" si="12"/>
        <v>0</v>
      </c>
      <c r="M253" s="125">
        <f t="shared" si="13"/>
        <v>0</v>
      </c>
    </row>
    <row r="254" spans="1:13" ht="78.75" outlineLevel="4">
      <c r="A254" s="108" t="s">
        <v>696</v>
      </c>
      <c r="B254" s="109" t="s">
        <v>334</v>
      </c>
      <c r="C254" s="109" t="s">
        <v>70</v>
      </c>
      <c r="D254" s="109" t="s">
        <v>3</v>
      </c>
      <c r="E254" s="109" t="s">
        <v>3</v>
      </c>
      <c r="F254" s="110">
        <f>F255</f>
        <v>118245.3</v>
      </c>
      <c r="G254" s="110"/>
      <c r="I254" s="125">
        <v>118245.3</v>
      </c>
      <c r="L254" s="125">
        <f t="shared" si="12"/>
        <v>0</v>
      </c>
      <c r="M254" s="125">
        <f t="shared" si="13"/>
        <v>0</v>
      </c>
    </row>
    <row r="255" spans="1:13" ht="15.75" outlineLevel="5">
      <c r="A255" s="108" t="s">
        <v>685</v>
      </c>
      <c r="B255" s="109" t="s">
        <v>334</v>
      </c>
      <c r="C255" s="109" t="s">
        <v>70</v>
      </c>
      <c r="D255" s="109" t="s">
        <v>165</v>
      </c>
      <c r="E255" s="109" t="s">
        <v>2</v>
      </c>
      <c r="F255" s="110">
        <f>Приложение_6!F768</f>
        <v>118245.3</v>
      </c>
      <c r="G255" s="110"/>
      <c r="I255" s="125">
        <v>118245.3</v>
      </c>
      <c r="L255" s="125">
        <f t="shared" si="12"/>
        <v>0</v>
      </c>
      <c r="M255" s="125">
        <f t="shared" si="13"/>
        <v>0</v>
      </c>
    </row>
    <row r="256" spans="1:13" ht="94.5" outlineLevel="2">
      <c r="A256" s="108" t="s">
        <v>499</v>
      </c>
      <c r="B256" s="109" t="s">
        <v>68</v>
      </c>
      <c r="C256" s="109" t="s">
        <v>1</v>
      </c>
      <c r="D256" s="109" t="s">
        <v>3</v>
      </c>
      <c r="E256" s="109" t="s">
        <v>3</v>
      </c>
      <c r="F256" s="110">
        <f>F257</f>
        <v>318944</v>
      </c>
      <c r="G256" s="110"/>
      <c r="I256" s="125">
        <v>318944</v>
      </c>
      <c r="L256" s="125">
        <f t="shared" si="12"/>
        <v>0</v>
      </c>
      <c r="M256" s="125">
        <f t="shared" si="13"/>
        <v>0</v>
      </c>
    </row>
    <row r="257" spans="1:13" ht="63" outlineLevel="3">
      <c r="A257" s="108" t="s">
        <v>439</v>
      </c>
      <c r="B257" s="109" t="s">
        <v>69</v>
      </c>
      <c r="C257" s="109" t="s">
        <v>1</v>
      </c>
      <c r="D257" s="109" t="s">
        <v>3</v>
      </c>
      <c r="E257" s="109" t="s">
        <v>3</v>
      </c>
      <c r="F257" s="110">
        <f>F258</f>
        <v>318944</v>
      </c>
      <c r="G257" s="110"/>
      <c r="I257" s="125">
        <v>318944</v>
      </c>
      <c r="L257" s="125">
        <f t="shared" si="12"/>
        <v>0</v>
      </c>
      <c r="M257" s="125">
        <f t="shared" si="13"/>
        <v>0</v>
      </c>
    </row>
    <row r="258" spans="1:13" ht="78.75" outlineLevel="4">
      <c r="A258" s="108" t="s">
        <v>696</v>
      </c>
      <c r="B258" s="109" t="s">
        <v>69</v>
      </c>
      <c r="C258" s="109" t="s">
        <v>70</v>
      </c>
      <c r="D258" s="109" t="s">
        <v>3</v>
      </c>
      <c r="E258" s="109" t="s">
        <v>3</v>
      </c>
      <c r="F258" s="110">
        <f>F259</f>
        <v>318944</v>
      </c>
      <c r="G258" s="110"/>
      <c r="I258" s="125">
        <v>318944</v>
      </c>
      <c r="L258" s="125">
        <f t="shared" si="12"/>
        <v>0</v>
      </c>
      <c r="M258" s="125">
        <f t="shared" si="13"/>
        <v>0</v>
      </c>
    </row>
    <row r="259" spans="1:13" ht="31.5" outlineLevel="5">
      <c r="A259" s="108" t="s">
        <v>668</v>
      </c>
      <c r="B259" s="109" t="s">
        <v>69</v>
      </c>
      <c r="C259" s="109" t="s">
        <v>70</v>
      </c>
      <c r="D259" s="109" t="s">
        <v>2</v>
      </c>
      <c r="E259" s="109" t="s">
        <v>66</v>
      </c>
      <c r="F259" s="110">
        <f>Приложение_6!F156</f>
        <v>318944</v>
      </c>
      <c r="G259" s="110"/>
      <c r="I259" s="125">
        <v>318944</v>
      </c>
      <c r="L259" s="125">
        <f t="shared" si="12"/>
        <v>0</v>
      </c>
      <c r="M259" s="125">
        <f t="shared" si="13"/>
        <v>0</v>
      </c>
    </row>
    <row r="260" spans="1:13" ht="110.25">
      <c r="A260" s="115" t="s">
        <v>1208</v>
      </c>
      <c r="B260" s="116" t="s">
        <v>297</v>
      </c>
      <c r="C260" s="116" t="s">
        <v>1</v>
      </c>
      <c r="D260" s="116" t="s">
        <v>3</v>
      </c>
      <c r="E260" s="116" t="s">
        <v>3</v>
      </c>
      <c r="F260" s="117">
        <f>F261+F274+F297</f>
        <v>21236122</v>
      </c>
      <c r="G260" s="117"/>
      <c r="I260" s="125">
        <v>21236122</v>
      </c>
      <c r="L260" s="125">
        <f t="shared" si="12"/>
        <v>0</v>
      </c>
      <c r="M260" s="125">
        <f t="shared" si="13"/>
        <v>0</v>
      </c>
    </row>
    <row r="261" spans="1:13" ht="47.25" outlineLevel="1">
      <c r="A261" s="115" t="s">
        <v>653</v>
      </c>
      <c r="B261" s="116" t="s">
        <v>402</v>
      </c>
      <c r="C261" s="116" t="s">
        <v>1</v>
      </c>
      <c r="D261" s="116" t="s">
        <v>3</v>
      </c>
      <c r="E261" s="116" t="s">
        <v>3</v>
      </c>
      <c r="F261" s="117">
        <f>F262+F268</f>
        <v>1400050</v>
      </c>
      <c r="G261" s="117"/>
      <c r="I261" s="125">
        <v>1400050</v>
      </c>
      <c r="L261" s="125">
        <f t="shared" si="12"/>
        <v>0</v>
      </c>
      <c r="M261" s="125">
        <f t="shared" si="13"/>
        <v>0</v>
      </c>
    </row>
    <row r="262" spans="1:13" ht="78.75" outlineLevel="2">
      <c r="A262" s="108" t="s">
        <v>609</v>
      </c>
      <c r="B262" s="109" t="s">
        <v>403</v>
      </c>
      <c r="C262" s="109" t="s">
        <v>1</v>
      </c>
      <c r="D262" s="109" t="s">
        <v>3</v>
      </c>
      <c r="E262" s="109" t="s">
        <v>3</v>
      </c>
      <c r="F262" s="110">
        <f>F263</f>
        <v>893050</v>
      </c>
      <c r="G262" s="110"/>
      <c r="I262" s="125">
        <v>880050</v>
      </c>
      <c r="L262" s="125">
        <f t="shared" si="12"/>
        <v>-13000</v>
      </c>
      <c r="M262" s="125">
        <f t="shared" si="13"/>
        <v>0</v>
      </c>
    </row>
    <row r="263" spans="1:13" ht="31.5" customHeight="1" outlineLevel="3">
      <c r="A263" s="108" t="s">
        <v>441</v>
      </c>
      <c r="B263" s="109" t="s">
        <v>404</v>
      </c>
      <c r="C263" s="109" t="s">
        <v>1</v>
      </c>
      <c r="D263" s="109" t="s">
        <v>3</v>
      </c>
      <c r="E263" s="109" t="s">
        <v>3</v>
      </c>
      <c r="F263" s="110">
        <f>F264+F266</f>
        <v>893050</v>
      </c>
      <c r="G263" s="110"/>
      <c r="I263" s="125">
        <v>880050</v>
      </c>
      <c r="L263" s="125">
        <f t="shared" si="12"/>
        <v>-13000</v>
      </c>
      <c r="M263" s="125">
        <f t="shared" si="13"/>
        <v>0</v>
      </c>
    </row>
    <row r="264" spans="1:13" ht="141.75" outlineLevel="4">
      <c r="A264" s="108" t="s">
        <v>1202</v>
      </c>
      <c r="B264" s="109" t="s">
        <v>404</v>
      </c>
      <c r="C264" s="109" t="s">
        <v>10</v>
      </c>
      <c r="D264" s="109" t="s">
        <v>3</v>
      </c>
      <c r="E264" s="109" t="s">
        <v>3</v>
      </c>
      <c r="F264" s="110">
        <f>F265</f>
        <v>240000</v>
      </c>
      <c r="G264" s="110"/>
      <c r="I264" s="125">
        <v>300000</v>
      </c>
      <c r="L264" s="125">
        <f t="shared" si="12"/>
        <v>60000</v>
      </c>
      <c r="M264" s="125">
        <f t="shared" si="13"/>
        <v>0</v>
      </c>
    </row>
    <row r="265" spans="1:13" ht="31.5" outlineLevel="5">
      <c r="A265" s="108" t="s">
        <v>689</v>
      </c>
      <c r="B265" s="109" t="s">
        <v>404</v>
      </c>
      <c r="C265" s="109" t="s">
        <v>10</v>
      </c>
      <c r="D265" s="109" t="s">
        <v>63</v>
      </c>
      <c r="E265" s="109" t="s">
        <v>2</v>
      </c>
      <c r="F265" s="110">
        <f>Приложение_6!F922</f>
        <v>240000</v>
      </c>
      <c r="G265" s="110"/>
      <c r="I265" s="125">
        <v>300000</v>
      </c>
      <c r="L265" s="125">
        <f t="shared" si="12"/>
        <v>60000</v>
      </c>
      <c r="M265" s="125">
        <f t="shared" si="13"/>
        <v>0</v>
      </c>
    </row>
    <row r="266" spans="1:13" ht="63" outlineLevel="4">
      <c r="A266" s="108" t="s">
        <v>693</v>
      </c>
      <c r="B266" s="109" t="s">
        <v>404</v>
      </c>
      <c r="C266" s="109" t="s">
        <v>17</v>
      </c>
      <c r="D266" s="109" t="s">
        <v>3</v>
      </c>
      <c r="E266" s="109" t="s">
        <v>3</v>
      </c>
      <c r="F266" s="110">
        <f>F267</f>
        <v>653050</v>
      </c>
      <c r="G266" s="110"/>
      <c r="I266" s="125">
        <v>580050</v>
      </c>
      <c r="L266" s="125">
        <f t="shared" si="12"/>
        <v>-73000</v>
      </c>
      <c r="M266" s="125">
        <f t="shared" si="13"/>
        <v>0</v>
      </c>
    </row>
    <row r="267" spans="1:13" ht="31.5" outlineLevel="5">
      <c r="A267" s="108" t="s">
        <v>689</v>
      </c>
      <c r="B267" s="109" t="s">
        <v>404</v>
      </c>
      <c r="C267" s="109" t="s">
        <v>17</v>
      </c>
      <c r="D267" s="109" t="s">
        <v>63</v>
      </c>
      <c r="E267" s="109" t="s">
        <v>2</v>
      </c>
      <c r="F267" s="110">
        <f>Приложение_6!F923</f>
        <v>653050</v>
      </c>
      <c r="G267" s="110"/>
      <c r="I267" s="125">
        <v>580050</v>
      </c>
      <c r="L267" s="125">
        <f t="shared" si="12"/>
        <v>-73000</v>
      </c>
      <c r="M267" s="125">
        <f t="shared" si="13"/>
        <v>0</v>
      </c>
    </row>
    <row r="268" spans="1:13" ht="110.25" outlineLevel="2">
      <c r="A268" s="108" t="s">
        <v>610</v>
      </c>
      <c r="B268" s="109" t="s">
        <v>405</v>
      </c>
      <c r="C268" s="109" t="s">
        <v>1</v>
      </c>
      <c r="D268" s="109" t="s">
        <v>3</v>
      </c>
      <c r="E268" s="109" t="s">
        <v>3</v>
      </c>
      <c r="F268" s="110">
        <f>F269</f>
        <v>507000</v>
      </c>
      <c r="G268" s="110"/>
      <c r="I268" s="125">
        <v>520000</v>
      </c>
      <c r="L268" s="125">
        <f t="shared" si="12"/>
        <v>13000</v>
      </c>
      <c r="M268" s="125">
        <f t="shared" si="13"/>
        <v>0</v>
      </c>
    </row>
    <row r="269" spans="1:13" ht="31.5" customHeight="1" outlineLevel="3">
      <c r="A269" s="108" t="s">
        <v>441</v>
      </c>
      <c r="B269" s="109" t="s">
        <v>406</v>
      </c>
      <c r="C269" s="109" t="s">
        <v>1</v>
      </c>
      <c r="D269" s="109" t="s">
        <v>3</v>
      </c>
      <c r="E269" s="109" t="s">
        <v>3</v>
      </c>
      <c r="F269" s="110">
        <f>F270+F272</f>
        <v>507000</v>
      </c>
      <c r="G269" s="110"/>
      <c r="I269" s="125">
        <v>520000</v>
      </c>
      <c r="L269" s="125">
        <f t="shared" si="12"/>
        <v>13000</v>
      </c>
      <c r="M269" s="125">
        <f t="shared" si="13"/>
        <v>0</v>
      </c>
    </row>
    <row r="270" spans="1:13" ht="141.75" outlineLevel="4">
      <c r="A270" s="108" t="s">
        <v>1202</v>
      </c>
      <c r="B270" s="109" t="s">
        <v>406</v>
      </c>
      <c r="C270" s="109" t="s">
        <v>10</v>
      </c>
      <c r="D270" s="109" t="s">
        <v>3</v>
      </c>
      <c r="E270" s="109" t="s">
        <v>3</v>
      </c>
      <c r="F270" s="110">
        <f>F271</f>
        <v>240000</v>
      </c>
      <c r="G270" s="110"/>
      <c r="I270" s="125">
        <v>240000</v>
      </c>
      <c r="L270" s="125">
        <f t="shared" si="12"/>
        <v>0</v>
      </c>
      <c r="M270" s="125">
        <f t="shared" si="13"/>
        <v>0</v>
      </c>
    </row>
    <row r="271" spans="1:13" ht="31.5" outlineLevel="5">
      <c r="A271" s="108" t="s">
        <v>689</v>
      </c>
      <c r="B271" s="109" t="s">
        <v>406</v>
      </c>
      <c r="C271" s="109" t="s">
        <v>10</v>
      </c>
      <c r="D271" s="109" t="s">
        <v>63</v>
      </c>
      <c r="E271" s="109" t="s">
        <v>2</v>
      </c>
      <c r="F271" s="110">
        <f>Приложение_6!F926</f>
        <v>240000</v>
      </c>
      <c r="G271" s="110"/>
      <c r="I271" s="125">
        <v>240000</v>
      </c>
      <c r="L271" s="125">
        <f t="shared" si="12"/>
        <v>0</v>
      </c>
      <c r="M271" s="125">
        <f t="shared" si="13"/>
        <v>0</v>
      </c>
    </row>
    <row r="272" spans="1:13" ht="63" outlineLevel="4">
      <c r="A272" s="108" t="s">
        <v>693</v>
      </c>
      <c r="B272" s="109" t="s">
        <v>406</v>
      </c>
      <c r="C272" s="109" t="s">
        <v>17</v>
      </c>
      <c r="D272" s="109" t="s">
        <v>3</v>
      </c>
      <c r="E272" s="109" t="s">
        <v>3</v>
      </c>
      <c r="F272" s="110">
        <f>F273</f>
        <v>267000</v>
      </c>
      <c r="G272" s="110"/>
      <c r="I272" s="125">
        <v>280000</v>
      </c>
      <c r="L272" s="125">
        <f t="shared" si="12"/>
        <v>13000</v>
      </c>
      <c r="M272" s="125">
        <f t="shared" si="13"/>
        <v>0</v>
      </c>
    </row>
    <row r="273" spans="1:13" ht="31.5" outlineLevel="5">
      <c r="A273" s="108" t="s">
        <v>689</v>
      </c>
      <c r="B273" s="109" t="s">
        <v>406</v>
      </c>
      <c r="C273" s="109" t="s">
        <v>17</v>
      </c>
      <c r="D273" s="109" t="s">
        <v>63</v>
      </c>
      <c r="E273" s="109" t="s">
        <v>2</v>
      </c>
      <c r="F273" s="110">
        <f>Приложение_6!F927</f>
        <v>267000</v>
      </c>
      <c r="G273" s="110"/>
      <c r="I273" s="125">
        <v>280000</v>
      </c>
      <c r="L273" s="125">
        <f t="shared" si="12"/>
        <v>13000</v>
      </c>
      <c r="M273" s="125">
        <f t="shared" si="13"/>
        <v>0</v>
      </c>
    </row>
    <row r="274" spans="1:13" ht="31.5" customHeight="1" outlineLevel="1">
      <c r="A274" s="115" t="s">
        <v>645</v>
      </c>
      <c r="B274" s="116" t="s">
        <v>298</v>
      </c>
      <c r="C274" s="116" t="s">
        <v>1</v>
      </c>
      <c r="D274" s="116" t="s">
        <v>3</v>
      </c>
      <c r="E274" s="116" t="s">
        <v>3</v>
      </c>
      <c r="F274" s="117">
        <f>F275+F281+F289+F293</f>
        <v>846250</v>
      </c>
      <c r="G274" s="117"/>
      <c r="I274" s="125">
        <v>846250</v>
      </c>
      <c r="L274" s="125">
        <f t="shared" si="12"/>
        <v>0</v>
      </c>
      <c r="M274" s="125">
        <f t="shared" si="13"/>
        <v>0</v>
      </c>
    </row>
    <row r="275" spans="1:13" ht="78.75" outlineLevel="2">
      <c r="A275" s="108" t="s">
        <v>576</v>
      </c>
      <c r="B275" s="109" t="s">
        <v>299</v>
      </c>
      <c r="C275" s="109" t="s">
        <v>1</v>
      </c>
      <c r="D275" s="109" t="s">
        <v>3</v>
      </c>
      <c r="E275" s="109" t="s">
        <v>3</v>
      </c>
      <c r="F275" s="110">
        <f>F276</f>
        <v>436250</v>
      </c>
      <c r="G275" s="110"/>
      <c r="I275" s="125">
        <v>436250</v>
      </c>
      <c r="L275" s="125">
        <f t="shared" si="12"/>
        <v>0</v>
      </c>
      <c r="M275" s="125">
        <f t="shared" si="13"/>
        <v>0</v>
      </c>
    </row>
    <row r="276" spans="1:13" ht="31.5" customHeight="1" outlineLevel="3">
      <c r="A276" s="108" t="s">
        <v>441</v>
      </c>
      <c r="B276" s="109" t="s">
        <v>300</v>
      </c>
      <c r="C276" s="109" t="s">
        <v>1</v>
      </c>
      <c r="D276" s="109" t="s">
        <v>3</v>
      </c>
      <c r="E276" s="109" t="s">
        <v>3</v>
      </c>
      <c r="F276" s="110">
        <f>F277+F279</f>
        <v>436250</v>
      </c>
      <c r="G276" s="110"/>
      <c r="I276" s="125">
        <v>436250</v>
      </c>
      <c r="L276" s="125">
        <f t="shared" si="12"/>
        <v>0</v>
      </c>
      <c r="M276" s="125">
        <f t="shared" si="13"/>
        <v>0</v>
      </c>
    </row>
    <row r="277" spans="1:13" ht="63" outlineLevel="4">
      <c r="A277" s="108" t="s">
        <v>693</v>
      </c>
      <c r="B277" s="109" t="s">
        <v>300</v>
      </c>
      <c r="C277" s="109" t="s">
        <v>17</v>
      </c>
      <c r="D277" s="109" t="s">
        <v>3</v>
      </c>
      <c r="E277" s="109" t="s">
        <v>3</v>
      </c>
      <c r="F277" s="110">
        <f>F278</f>
        <v>236250</v>
      </c>
      <c r="G277" s="110"/>
      <c r="I277" s="125">
        <v>236250</v>
      </c>
      <c r="L277" s="125">
        <f t="shared" si="12"/>
        <v>0</v>
      </c>
      <c r="M277" s="125">
        <f t="shared" si="13"/>
        <v>0</v>
      </c>
    </row>
    <row r="278" spans="1:13" ht="15.75" outlineLevel="5">
      <c r="A278" s="108" t="s">
        <v>683</v>
      </c>
      <c r="B278" s="109" t="s">
        <v>300</v>
      </c>
      <c r="C278" s="109" t="s">
        <v>17</v>
      </c>
      <c r="D278" s="109" t="s">
        <v>239</v>
      </c>
      <c r="E278" s="109" t="s">
        <v>239</v>
      </c>
      <c r="F278" s="110">
        <f>Приложение_6!F700</f>
        <v>236250</v>
      </c>
      <c r="G278" s="110"/>
      <c r="I278" s="125">
        <v>236250</v>
      </c>
      <c r="L278" s="125">
        <f t="shared" si="12"/>
        <v>0</v>
      </c>
      <c r="M278" s="125">
        <f t="shared" si="13"/>
        <v>0</v>
      </c>
    </row>
    <row r="279" spans="1:13" ht="78.75" outlineLevel="4">
      <c r="A279" s="108" t="s">
        <v>696</v>
      </c>
      <c r="B279" s="109" t="s">
        <v>300</v>
      </c>
      <c r="C279" s="109" t="s">
        <v>70</v>
      </c>
      <c r="D279" s="109" t="s">
        <v>3</v>
      </c>
      <c r="E279" s="109" t="s">
        <v>3</v>
      </c>
      <c r="F279" s="110">
        <f>F280</f>
        <v>200000</v>
      </c>
      <c r="G279" s="110"/>
      <c r="I279" s="125">
        <v>200000</v>
      </c>
      <c r="L279" s="125">
        <f t="shared" si="12"/>
        <v>0</v>
      </c>
      <c r="M279" s="125">
        <f t="shared" si="13"/>
        <v>0</v>
      </c>
    </row>
    <row r="280" spans="1:13" ht="15.75" outlineLevel="5">
      <c r="A280" s="108" t="s">
        <v>683</v>
      </c>
      <c r="B280" s="109" t="s">
        <v>300</v>
      </c>
      <c r="C280" s="109" t="s">
        <v>70</v>
      </c>
      <c r="D280" s="109" t="s">
        <v>239</v>
      </c>
      <c r="E280" s="109" t="s">
        <v>239</v>
      </c>
      <c r="F280" s="110">
        <f>Приложение_6!F701</f>
        <v>200000</v>
      </c>
      <c r="G280" s="110"/>
      <c r="I280" s="125">
        <v>200000</v>
      </c>
      <c r="L280" s="125">
        <f t="shared" si="12"/>
        <v>0</v>
      </c>
      <c r="M280" s="125">
        <f t="shared" si="13"/>
        <v>0</v>
      </c>
    </row>
    <row r="281" spans="1:13" ht="141.75" customHeight="1" outlineLevel="2">
      <c r="A281" s="108" t="s">
        <v>577</v>
      </c>
      <c r="B281" s="109" t="s">
        <v>301</v>
      </c>
      <c r="C281" s="109" t="s">
        <v>1</v>
      </c>
      <c r="D281" s="109" t="s">
        <v>3</v>
      </c>
      <c r="E281" s="109" t="s">
        <v>3</v>
      </c>
      <c r="F281" s="110">
        <f>F282</f>
        <v>105000</v>
      </c>
      <c r="G281" s="110"/>
      <c r="I281" s="125">
        <v>105000</v>
      </c>
      <c r="L281" s="125">
        <f t="shared" si="12"/>
        <v>0</v>
      </c>
      <c r="M281" s="125">
        <f t="shared" si="13"/>
        <v>0</v>
      </c>
    </row>
    <row r="282" spans="1:13" ht="31.5" customHeight="1" outlineLevel="3">
      <c r="A282" s="108" t="s">
        <v>441</v>
      </c>
      <c r="B282" s="109" t="s">
        <v>302</v>
      </c>
      <c r="C282" s="109" t="s">
        <v>1</v>
      </c>
      <c r="D282" s="109" t="s">
        <v>3</v>
      </c>
      <c r="E282" s="109" t="s">
        <v>3</v>
      </c>
      <c r="F282" s="110">
        <f>F283+F285+F287</f>
        <v>105000</v>
      </c>
      <c r="G282" s="110"/>
      <c r="I282" s="125">
        <v>105000</v>
      </c>
      <c r="L282" s="125">
        <f t="shared" si="12"/>
        <v>0</v>
      </c>
      <c r="M282" s="125">
        <f t="shared" si="13"/>
        <v>0</v>
      </c>
    </row>
    <row r="283" spans="1:13" ht="141.75" outlineLevel="4">
      <c r="A283" s="108" t="s">
        <v>1202</v>
      </c>
      <c r="B283" s="109" t="s">
        <v>302</v>
      </c>
      <c r="C283" s="109" t="s">
        <v>10</v>
      </c>
      <c r="D283" s="109" t="s">
        <v>3</v>
      </c>
      <c r="E283" s="109" t="s">
        <v>3</v>
      </c>
      <c r="F283" s="110">
        <f>F284</f>
        <v>30000</v>
      </c>
      <c r="G283" s="110"/>
      <c r="I283" s="125">
        <v>30000</v>
      </c>
      <c r="L283" s="125">
        <f t="shared" si="12"/>
        <v>0</v>
      </c>
      <c r="M283" s="125">
        <f t="shared" si="13"/>
        <v>0</v>
      </c>
    </row>
    <row r="284" spans="1:13" ht="15.75" outlineLevel="5">
      <c r="A284" s="108" t="s">
        <v>683</v>
      </c>
      <c r="B284" s="109" t="s">
        <v>302</v>
      </c>
      <c r="C284" s="109" t="s">
        <v>10</v>
      </c>
      <c r="D284" s="109" t="s">
        <v>239</v>
      </c>
      <c r="E284" s="109" t="s">
        <v>239</v>
      </c>
      <c r="F284" s="110">
        <f>Приложение_6!F704</f>
        <v>30000</v>
      </c>
      <c r="G284" s="110"/>
      <c r="I284" s="125">
        <v>30000</v>
      </c>
      <c r="L284" s="125">
        <f t="shared" si="12"/>
        <v>0</v>
      </c>
      <c r="M284" s="125">
        <f t="shared" si="13"/>
        <v>0</v>
      </c>
    </row>
    <row r="285" spans="1:13" ht="63" outlineLevel="4">
      <c r="A285" s="108" t="s">
        <v>693</v>
      </c>
      <c r="B285" s="109" t="s">
        <v>302</v>
      </c>
      <c r="C285" s="109" t="s">
        <v>17</v>
      </c>
      <c r="D285" s="109" t="s">
        <v>3</v>
      </c>
      <c r="E285" s="109" t="s">
        <v>3</v>
      </c>
      <c r="F285" s="110">
        <f>F286</f>
        <v>30000</v>
      </c>
      <c r="G285" s="110"/>
      <c r="I285" s="125">
        <v>30000</v>
      </c>
      <c r="L285" s="125">
        <f t="shared" si="12"/>
        <v>0</v>
      </c>
      <c r="M285" s="125">
        <f t="shared" si="13"/>
        <v>0</v>
      </c>
    </row>
    <row r="286" spans="1:13" ht="15.75" outlineLevel="5">
      <c r="A286" s="108" t="s">
        <v>683</v>
      </c>
      <c r="B286" s="109" t="s">
        <v>302</v>
      </c>
      <c r="C286" s="109" t="s">
        <v>17</v>
      </c>
      <c r="D286" s="109" t="s">
        <v>239</v>
      </c>
      <c r="E286" s="109" t="s">
        <v>239</v>
      </c>
      <c r="F286" s="110">
        <f>Приложение_6!F705</f>
        <v>30000</v>
      </c>
      <c r="G286" s="110"/>
      <c r="I286" s="125">
        <v>30000</v>
      </c>
      <c r="L286" s="125">
        <f t="shared" si="12"/>
        <v>0</v>
      </c>
      <c r="M286" s="125">
        <f t="shared" si="13"/>
        <v>0</v>
      </c>
    </row>
    <row r="287" spans="1:13" ht="78.75" outlineLevel="4">
      <c r="A287" s="108" t="s">
        <v>696</v>
      </c>
      <c r="B287" s="109" t="s">
        <v>302</v>
      </c>
      <c r="C287" s="109" t="s">
        <v>70</v>
      </c>
      <c r="D287" s="109" t="s">
        <v>3</v>
      </c>
      <c r="E287" s="109" t="s">
        <v>3</v>
      </c>
      <c r="F287" s="110">
        <f>F288</f>
        <v>45000</v>
      </c>
      <c r="G287" s="110"/>
      <c r="I287" s="125">
        <v>45000</v>
      </c>
      <c r="L287" s="125">
        <f t="shared" si="12"/>
        <v>0</v>
      </c>
      <c r="M287" s="125">
        <f t="shared" si="13"/>
        <v>0</v>
      </c>
    </row>
    <row r="288" spans="1:13" ht="15.75" outlineLevel="5">
      <c r="A288" s="108" t="s">
        <v>683</v>
      </c>
      <c r="B288" s="109" t="s">
        <v>302</v>
      </c>
      <c r="C288" s="109" t="s">
        <v>70</v>
      </c>
      <c r="D288" s="109" t="s">
        <v>239</v>
      </c>
      <c r="E288" s="109" t="s">
        <v>239</v>
      </c>
      <c r="F288" s="110">
        <f>Приложение_6!F706</f>
        <v>45000</v>
      </c>
      <c r="G288" s="110"/>
      <c r="I288" s="125">
        <v>45000</v>
      </c>
      <c r="L288" s="125">
        <f t="shared" si="12"/>
        <v>0</v>
      </c>
      <c r="M288" s="125">
        <f t="shared" si="13"/>
        <v>0</v>
      </c>
    </row>
    <row r="289" spans="1:13" ht="63" outlineLevel="2">
      <c r="A289" s="108" t="s">
        <v>578</v>
      </c>
      <c r="B289" s="109" t="s">
        <v>303</v>
      </c>
      <c r="C289" s="109" t="s">
        <v>1</v>
      </c>
      <c r="D289" s="109" t="s">
        <v>3</v>
      </c>
      <c r="E289" s="109" t="s">
        <v>3</v>
      </c>
      <c r="F289" s="110">
        <f>F290</f>
        <v>5000</v>
      </c>
      <c r="G289" s="110"/>
      <c r="I289" s="125">
        <v>5000</v>
      </c>
      <c r="L289" s="125">
        <f t="shared" si="12"/>
        <v>0</v>
      </c>
      <c r="M289" s="125">
        <f t="shared" si="13"/>
        <v>0</v>
      </c>
    </row>
    <row r="290" spans="1:13" ht="31.5" customHeight="1" outlineLevel="3">
      <c r="A290" s="108" t="s">
        <v>441</v>
      </c>
      <c r="B290" s="109" t="s">
        <v>304</v>
      </c>
      <c r="C290" s="109" t="s">
        <v>1</v>
      </c>
      <c r="D290" s="109" t="s">
        <v>3</v>
      </c>
      <c r="E290" s="109" t="s">
        <v>3</v>
      </c>
      <c r="F290" s="110">
        <f>F291</f>
        <v>5000</v>
      </c>
      <c r="G290" s="110"/>
      <c r="I290" s="125">
        <v>5000</v>
      </c>
      <c r="L290" s="125">
        <f aca="true" t="shared" si="15" ref="L290:L356">I290-F290</f>
        <v>0</v>
      </c>
      <c r="M290" s="125">
        <f aca="true" t="shared" si="16" ref="M290:M356">J290-G290</f>
        <v>0</v>
      </c>
    </row>
    <row r="291" spans="1:13" ht="63" outlineLevel="4">
      <c r="A291" s="108" t="s">
        <v>693</v>
      </c>
      <c r="B291" s="109" t="s">
        <v>304</v>
      </c>
      <c r="C291" s="109" t="s">
        <v>17</v>
      </c>
      <c r="D291" s="109" t="s">
        <v>3</v>
      </c>
      <c r="E291" s="109" t="s">
        <v>3</v>
      </c>
      <c r="F291" s="110">
        <f>F292</f>
        <v>5000</v>
      </c>
      <c r="G291" s="110"/>
      <c r="I291" s="125">
        <v>5000</v>
      </c>
      <c r="L291" s="125">
        <f t="shared" si="15"/>
        <v>0</v>
      </c>
      <c r="M291" s="125">
        <f t="shared" si="16"/>
        <v>0</v>
      </c>
    </row>
    <row r="292" spans="1:13" ht="15.75" outlineLevel="5">
      <c r="A292" s="108" t="s">
        <v>683</v>
      </c>
      <c r="B292" s="109" t="s">
        <v>304</v>
      </c>
      <c r="C292" s="109" t="s">
        <v>17</v>
      </c>
      <c r="D292" s="109" t="s">
        <v>239</v>
      </c>
      <c r="E292" s="109" t="s">
        <v>239</v>
      </c>
      <c r="F292" s="110">
        <f>Приложение_6!F709</f>
        <v>5000</v>
      </c>
      <c r="G292" s="110"/>
      <c r="I292" s="125">
        <v>5000</v>
      </c>
      <c r="L292" s="125">
        <f t="shared" si="15"/>
        <v>0</v>
      </c>
      <c r="M292" s="125">
        <f t="shared" si="16"/>
        <v>0</v>
      </c>
    </row>
    <row r="293" spans="1:13" ht="63" outlineLevel="2">
      <c r="A293" s="108" t="s">
        <v>579</v>
      </c>
      <c r="B293" s="109" t="s">
        <v>305</v>
      </c>
      <c r="C293" s="109" t="s">
        <v>1</v>
      </c>
      <c r="D293" s="109" t="s">
        <v>3</v>
      </c>
      <c r="E293" s="109" t="s">
        <v>3</v>
      </c>
      <c r="F293" s="110">
        <f>F294</f>
        <v>300000</v>
      </c>
      <c r="G293" s="110"/>
      <c r="I293" s="125">
        <v>300000</v>
      </c>
      <c r="L293" s="125">
        <f t="shared" si="15"/>
        <v>0</v>
      </c>
      <c r="M293" s="125">
        <f t="shared" si="16"/>
        <v>0</v>
      </c>
    </row>
    <row r="294" spans="1:13" ht="47.25" outlineLevel="3">
      <c r="A294" s="108" t="s">
        <v>469</v>
      </c>
      <c r="B294" s="109" t="s">
        <v>306</v>
      </c>
      <c r="C294" s="109" t="s">
        <v>1</v>
      </c>
      <c r="D294" s="109" t="s">
        <v>3</v>
      </c>
      <c r="E294" s="109" t="s">
        <v>3</v>
      </c>
      <c r="F294" s="110">
        <f>F295</f>
        <v>300000</v>
      </c>
      <c r="G294" s="110"/>
      <c r="I294" s="125">
        <v>300000</v>
      </c>
      <c r="L294" s="125">
        <f t="shared" si="15"/>
        <v>0</v>
      </c>
      <c r="M294" s="125">
        <f t="shared" si="16"/>
        <v>0</v>
      </c>
    </row>
    <row r="295" spans="1:13" ht="31.5" outlineLevel="4">
      <c r="A295" s="108" t="s">
        <v>694</v>
      </c>
      <c r="B295" s="109" t="s">
        <v>306</v>
      </c>
      <c r="C295" s="109" t="s">
        <v>47</v>
      </c>
      <c r="D295" s="109" t="s">
        <v>3</v>
      </c>
      <c r="E295" s="109" t="s">
        <v>3</v>
      </c>
      <c r="F295" s="110">
        <f>F296</f>
        <v>300000</v>
      </c>
      <c r="G295" s="110"/>
      <c r="I295" s="125">
        <v>300000</v>
      </c>
      <c r="L295" s="125">
        <f t="shared" si="15"/>
        <v>0</v>
      </c>
      <c r="M295" s="125">
        <f t="shared" si="16"/>
        <v>0</v>
      </c>
    </row>
    <row r="296" spans="1:13" ht="15.75" outlineLevel="5">
      <c r="A296" s="108" t="s">
        <v>683</v>
      </c>
      <c r="B296" s="109" t="s">
        <v>306</v>
      </c>
      <c r="C296" s="109" t="s">
        <v>47</v>
      </c>
      <c r="D296" s="109" t="s">
        <v>239</v>
      </c>
      <c r="E296" s="109" t="s">
        <v>239</v>
      </c>
      <c r="F296" s="110">
        <f>Приложение_6!F712</f>
        <v>300000</v>
      </c>
      <c r="G296" s="110"/>
      <c r="I296" s="125">
        <v>300000</v>
      </c>
      <c r="L296" s="125">
        <f t="shared" si="15"/>
        <v>0</v>
      </c>
      <c r="M296" s="125">
        <f t="shared" si="16"/>
        <v>0</v>
      </c>
    </row>
    <row r="297" spans="1:13" ht="47.25" outlineLevel="1">
      <c r="A297" s="115" t="s">
        <v>646</v>
      </c>
      <c r="B297" s="116" t="s">
        <v>307</v>
      </c>
      <c r="C297" s="116" t="s">
        <v>1</v>
      </c>
      <c r="D297" s="116" t="s">
        <v>3</v>
      </c>
      <c r="E297" s="116" t="s">
        <v>3</v>
      </c>
      <c r="F297" s="117">
        <f>F298+F302+F306</f>
        <v>18989822</v>
      </c>
      <c r="G297" s="117"/>
      <c r="I297" s="125">
        <v>18989822</v>
      </c>
      <c r="L297" s="125">
        <f t="shared" si="15"/>
        <v>0</v>
      </c>
      <c r="M297" s="125">
        <f t="shared" si="16"/>
        <v>0</v>
      </c>
    </row>
    <row r="298" spans="1:13" ht="157.5" customHeight="1" outlineLevel="2">
      <c r="A298" s="108" t="s">
        <v>580</v>
      </c>
      <c r="B298" s="109" t="s">
        <v>308</v>
      </c>
      <c r="C298" s="109" t="s">
        <v>1</v>
      </c>
      <c r="D298" s="109" t="s">
        <v>3</v>
      </c>
      <c r="E298" s="109" t="s">
        <v>3</v>
      </c>
      <c r="F298" s="110">
        <f>F299</f>
        <v>75972</v>
      </c>
      <c r="G298" s="110"/>
      <c r="I298" s="125">
        <v>75972</v>
      </c>
      <c r="L298" s="125">
        <f t="shared" si="15"/>
        <v>0</v>
      </c>
      <c r="M298" s="125">
        <f t="shared" si="16"/>
        <v>0</v>
      </c>
    </row>
    <row r="299" spans="1:13" ht="126" outlineLevel="3">
      <c r="A299" s="108" t="s">
        <v>443</v>
      </c>
      <c r="B299" s="109" t="s">
        <v>309</v>
      </c>
      <c r="C299" s="109" t="s">
        <v>1</v>
      </c>
      <c r="D299" s="109" t="s">
        <v>3</v>
      </c>
      <c r="E299" s="109" t="s">
        <v>3</v>
      </c>
      <c r="F299" s="110">
        <f>F300</f>
        <v>75972</v>
      </c>
      <c r="G299" s="110"/>
      <c r="I299" s="125">
        <v>75972</v>
      </c>
      <c r="L299" s="125">
        <f t="shared" si="15"/>
        <v>0</v>
      </c>
      <c r="M299" s="125">
        <f t="shared" si="16"/>
        <v>0</v>
      </c>
    </row>
    <row r="300" spans="1:13" ht="78.75" outlineLevel="4">
      <c r="A300" s="108" t="s">
        <v>696</v>
      </c>
      <c r="B300" s="109" t="s">
        <v>309</v>
      </c>
      <c r="C300" s="109" t="s">
        <v>70</v>
      </c>
      <c r="D300" s="109" t="s">
        <v>3</v>
      </c>
      <c r="E300" s="109" t="s">
        <v>3</v>
      </c>
      <c r="F300" s="110">
        <f>F301</f>
        <v>75972</v>
      </c>
      <c r="G300" s="110"/>
      <c r="I300" s="125">
        <v>75972</v>
      </c>
      <c r="L300" s="125">
        <f t="shared" si="15"/>
        <v>0</v>
      </c>
      <c r="M300" s="125">
        <f t="shared" si="16"/>
        <v>0</v>
      </c>
    </row>
    <row r="301" spans="1:13" ht="15.75" outlineLevel="5">
      <c r="A301" s="108" t="s">
        <v>683</v>
      </c>
      <c r="B301" s="109" t="s">
        <v>309</v>
      </c>
      <c r="C301" s="109" t="s">
        <v>70</v>
      </c>
      <c r="D301" s="109" t="s">
        <v>239</v>
      </c>
      <c r="E301" s="109" t="s">
        <v>239</v>
      </c>
      <c r="F301" s="110">
        <f>Приложение_6!F716</f>
        <v>75972</v>
      </c>
      <c r="G301" s="110"/>
      <c r="I301" s="125">
        <v>75972</v>
      </c>
      <c r="L301" s="125">
        <f t="shared" si="15"/>
        <v>0</v>
      </c>
      <c r="M301" s="125">
        <f t="shared" si="16"/>
        <v>0</v>
      </c>
    </row>
    <row r="302" spans="1:13" ht="220.5" outlineLevel="2">
      <c r="A302" s="108" t="s">
        <v>581</v>
      </c>
      <c r="B302" s="109" t="s">
        <v>310</v>
      </c>
      <c r="C302" s="109" t="s">
        <v>1</v>
      </c>
      <c r="D302" s="109" t="s">
        <v>3</v>
      </c>
      <c r="E302" s="109" t="s">
        <v>3</v>
      </c>
      <c r="F302" s="110">
        <f>F303</f>
        <v>18708017</v>
      </c>
      <c r="G302" s="110"/>
      <c r="I302" s="125">
        <v>18708017</v>
      </c>
      <c r="L302" s="125">
        <f t="shared" si="15"/>
        <v>0</v>
      </c>
      <c r="M302" s="125">
        <f t="shared" si="16"/>
        <v>0</v>
      </c>
    </row>
    <row r="303" spans="1:13" ht="126" outlineLevel="3">
      <c r="A303" s="108" t="s">
        <v>443</v>
      </c>
      <c r="B303" s="109" t="s">
        <v>311</v>
      </c>
      <c r="C303" s="109" t="s">
        <v>1</v>
      </c>
      <c r="D303" s="109" t="s">
        <v>3</v>
      </c>
      <c r="E303" s="109" t="s">
        <v>3</v>
      </c>
      <c r="F303" s="110">
        <f>F304</f>
        <v>18708017</v>
      </c>
      <c r="G303" s="110"/>
      <c r="I303" s="125">
        <v>18708017</v>
      </c>
      <c r="L303" s="125">
        <f t="shared" si="15"/>
        <v>0</v>
      </c>
      <c r="M303" s="125">
        <f t="shared" si="16"/>
        <v>0</v>
      </c>
    </row>
    <row r="304" spans="1:13" ht="78.75" outlineLevel="4">
      <c r="A304" s="108" t="s">
        <v>696</v>
      </c>
      <c r="B304" s="109" t="s">
        <v>311</v>
      </c>
      <c r="C304" s="109" t="s">
        <v>70</v>
      </c>
      <c r="D304" s="109" t="s">
        <v>3</v>
      </c>
      <c r="E304" s="109" t="s">
        <v>3</v>
      </c>
      <c r="F304" s="110">
        <f>F305</f>
        <v>18708017</v>
      </c>
      <c r="G304" s="110"/>
      <c r="I304" s="125">
        <v>18708017</v>
      </c>
      <c r="L304" s="125">
        <f t="shared" si="15"/>
        <v>0</v>
      </c>
      <c r="M304" s="125">
        <f t="shared" si="16"/>
        <v>0</v>
      </c>
    </row>
    <row r="305" spans="1:13" ht="15.75" outlineLevel="5">
      <c r="A305" s="108" t="s">
        <v>683</v>
      </c>
      <c r="B305" s="109" t="s">
        <v>311</v>
      </c>
      <c r="C305" s="109" t="s">
        <v>70</v>
      </c>
      <c r="D305" s="109" t="s">
        <v>239</v>
      </c>
      <c r="E305" s="109" t="s">
        <v>239</v>
      </c>
      <c r="F305" s="110">
        <f>Приложение_6!F719</f>
        <v>18708017</v>
      </c>
      <c r="G305" s="110"/>
      <c r="I305" s="125">
        <v>18708017</v>
      </c>
      <c r="L305" s="125">
        <f t="shared" si="15"/>
        <v>0</v>
      </c>
      <c r="M305" s="125">
        <f t="shared" si="16"/>
        <v>0</v>
      </c>
    </row>
    <row r="306" spans="1:13" ht="31.5" outlineLevel="2">
      <c r="A306" s="108" t="s">
        <v>562</v>
      </c>
      <c r="B306" s="109" t="s">
        <v>312</v>
      </c>
      <c r="C306" s="109" t="s">
        <v>1</v>
      </c>
      <c r="D306" s="109" t="s">
        <v>3</v>
      </c>
      <c r="E306" s="109" t="s">
        <v>3</v>
      </c>
      <c r="F306" s="110">
        <f>F307</f>
        <v>205833</v>
      </c>
      <c r="G306" s="110"/>
      <c r="I306" s="125">
        <v>205833</v>
      </c>
      <c r="L306" s="125">
        <f t="shared" si="15"/>
        <v>0</v>
      </c>
      <c r="M306" s="125">
        <f t="shared" si="16"/>
        <v>0</v>
      </c>
    </row>
    <row r="307" spans="1:13" ht="126" outlineLevel="3">
      <c r="A307" s="108" t="s">
        <v>432</v>
      </c>
      <c r="B307" s="109" t="s">
        <v>313</v>
      </c>
      <c r="C307" s="109" t="s">
        <v>1</v>
      </c>
      <c r="D307" s="109" t="s">
        <v>3</v>
      </c>
      <c r="E307" s="109" t="s">
        <v>3</v>
      </c>
      <c r="F307" s="110">
        <f>F308</f>
        <v>205833</v>
      </c>
      <c r="G307" s="110"/>
      <c r="I307" s="125">
        <v>205833</v>
      </c>
      <c r="L307" s="125">
        <f t="shared" si="15"/>
        <v>0</v>
      </c>
      <c r="M307" s="125">
        <f t="shared" si="16"/>
        <v>0</v>
      </c>
    </row>
    <row r="308" spans="1:13" ht="78.75" outlineLevel="4">
      <c r="A308" s="108" t="s">
        <v>696</v>
      </c>
      <c r="B308" s="109" t="s">
        <v>313</v>
      </c>
      <c r="C308" s="109" t="s">
        <v>70</v>
      </c>
      <c r="D308" s="109" t="s">
        <v>3</v>
      </c>
      <c r="E308" s="109" t="s">
        <v>3</v>
      </c>
      <c r="F308" s="110">
        <f>F309</f>
        <v>205833</v>
      </c>
      <c r="G308" s="110"/>
      <c r="I308" s="125">
        <v>205833</v>
      </c>
      <c r="L308" s="125">
        <f t="shared" si="15"/>
        <v>0</v>
      </c>
      <c r="M308" s="125">
        <f t="shared" si="16"/>
        <v>0</v>
      </c>
    </row>
    <row r="309" spans="1:13" ht="15.75" outlineLevel="5">
      <c r="A309" s="108" t="s">
        <v>683</v>
      </c>
      <c r="B309" s="109" t="s">
        <v>313</v>
      </c>
      <c r="C309" s="109" t="s">
        <v>70</v>
      </c>
      <c r="D309" s="109" t="s">
        <v>239</v>
      </c>
      <c r="E309" s="109" t="s">
        <v>239</v>
      </c>
      <c r="F309" s="110">
        <f>Приложение_6!F722</f>
        <v>205833</v>
      </c>
      <c r="G309" s="110"/>
      <c r="I309" s="125">
        <v>205833</v>
      </c>
      <c r="L309" s="125">
        <f t="shared" si="15"/>
        <v>0</v>
      </c>
      <c r="M309" s="125">
        <f t="shared" si="16"/>
        <v>0</v>
      </c>
    </row>
    <row r="310" spans="1:13" ht="94.5">
      <c r="A310" s="115" t="s">
        <v>1207</v>
      </c>
      <c r="B310" s="116" t="s">
        <v>279</v>
      </c>
      <c r="C310" s="116" t="s">
        <v>1</v>
      </c>
      <c r="D310" s="116" t="s">
        <v>3</v>
      </c>
      <c r="E310" s="116" t="s">
        <v>3</v>
      </c>
      <c r="F310" s="117">
        <f>F311+F365+F404+F433</f>
        <v>279421497.03000003</v>
      </c>
      <c r="G310" s="117">
        <f>G311+G365+G404+G433</f>
        <v>19482898.59</v>
      </c>
      <c r="I310" s="125">
        <v>260034795</v>
      </c>
      <c r="J310" s="125">
        <v>19398888.08</v>
      </c>
      <c r="L310" s="125">
        <f t="shared" si="15"/>
        <v>-19386702.03000003</v>
      </c>
      <c r="M310" s="125">
        <f t="shared" si="16"/>
        <v>-84010.51000000164</v>
      </c>
    </row>
    <row r="311" spans="1:13" ht="78.75" outlineLevel="1">
      <c r="A311" s="115" t="s">
        <v>643</v>
      </c>
      <c r="B311" s="116" t="s">
        <v>280</v>
      </c>
      <c r="C311" s="116" t="s">
        <v>1</v>
      </c>
      <c r="D311" s="116" t="s">
        <v>3</v>
      </c>
      <c r="E311" s="116" t="s">
        <v>3</v>
      </c>
      <c r="F311" s="117">
        <f>F312+F318+F328+F338+F342+F355</f>
        <v>187726145.84</v>
      </c>
      <c r="G311" s="117">
        <f>G312+G318+G328+G338+G342+G355</f>
        <v>12873941.08</v>
      </c>
      <c r="I311" s="125">
        <v>187676145.84</v>
      </c>
      <c r="J311" s="125">
        <v>12823941.08</v>
      </c>
      <c r="L311" s="125">
        <f t="shared" si="15"/>
        <v>-50000</v>
      </c>
      <c r="M311" s="125">
        <f t="shared" si="16"/>
        <v>-50000</v>
      </c>
    </row>
    <row r="312" spans="1:13" ht="63" outlineLevel="2">
      <c r="A312" s="108" t="s">
        <v>589</v>
      </c>
      <c r="B312" s="109" t="s">
        <v>335</v>
      </c>
      <c r="C312" s="109" t="s">
        <v>1</v>
      </c>
      <c r="D312" s="109" t="s">
        <v>3</v>
      </c>
      <c r="E312" s="109" t="s">
        <v>3</v>
      </c>
      <c r="F312" s="110">
        <f>F313</f>
        <v>4923720</v>
      </c>
      <c r="G312" s="110"/>
      <c r="I312" s="125">
        <v>4923720</v>
      </c>
      <c r="L312" s="125">
        <f t="shared" si="15"/>
        <v>0</v>
      </c>
      <c r="M312" s="125">
        <f t="shared" si="16"/>
        <v>0</v>
      </c>
    </row>
    <row r="313" spans="1:13" ht="31.5" customHeight="1" outlineLevel="3">
      <c r="A313" s="108" t="s">
        <v>441</v>
      </c>
      <c r="B313" s="109" t="s">
        <v>336</v>
      </c>
      <c r="C313" s="109" t="s">
        <v>1</v>
      </c>
      <c r="D313" s="109" t="s">
        <v>3</v>
      </c>
      <c r="E313" s="109" t="s">
        <v>3</v>
      </c>
      <c r="F313" s="110">
        <f>F314+F316</f>
        <v>4923720</v>
      </c>
      <c r="G313" s="110"/>
      <c r="I313" s="125">
        <v>4923720</v>
      </c>
      <c r="L313" s="125">
        <f t="shared" si="15"/>
        <v>0</v>
      </c>
      <c r="M313" s="125">
        <f t="shared" si="16"/>
        <v>0</v>
      </c>
    </row>
    <row r="314" spans="1:13" ht="63" outlineLevel="4">
      <c r="A314" s="108" t="s">
        <v>693</v>
      </c>
      <c r="B314" s="109" t="s">
        <v>336</v>
      </c>
      <c r="C314" s="109" t="s">
        <v>17</v>
      </c>
      <c r="D314" s="109" t="s">
        <v>3</v>
      </c>
      <c r="E314" s="109" t="s">
        <v>3</v>
      </c>
      <c r="F314" s="110">
        <f>F315</f>
        <v>1512720</v>
      </c>
      <c r="G314" s="110"/>
      <c r="I314" s="125">
        <v>2262720</v>
      </c>
      <c r="L314" s="125">
        <f t="shared" si="15"/>
        <v>750000</v>
      </c>
      <c r="M314" s="125">
        <f t="shared" si="16"/>
        <v>0</v>
      </c>
    </row>
    <row r="315" spans="1:13" ht="15.75" outlineLevel="5">
      <c r="A315" s="108" t="s">
        <v>685</v>
      </c>
      <c r="B315" s="109" t="s">
        <v>336</v>
      </c>
      <c r="C315" s="109" t="s">
        <v>17</v>
      </c>
      <c r="D315" s="109" t="s">
        <v>165</v>
      </c>
      <c r="E315" s="109" t="s">
        <v>2</v>
      </c>
      <c r="F315" s="110">
        <f>Приложение_6!F773</f>
        <v>1512720</v>
      </c>
      <c r="G315" s="110"/>
      <c r="I315" s="125">
        <v>2262720</v>
      </c>
      <c r="L315" s="125">
        <f t="shared" si="15"/>
        <v>750000</v>
      </c>
      <c r="M315" s="125">
        <f t="shared" si="16"/>
        <v>0</v>
      </c>
    </row>
    <row r="316" spans="1:13" ht="78.75" outlineLevel="4">
      <c r="A316" s="108" t="s">
        <v>696</v>
      </c>
      <c r="B316" s="109" t="s">
        <v>336</v>
      </c>
      <c r="C316" s="109" t="s">
        <v>70</v>
      </c>
      <c r="D316" s="109" t="s">
        <v>3</v>
      </c>
      <c r="E316" s="109" t="s">
        <v>3</v>
      </c>
      <c r="F316" s="110">
        <f>F317</f>
        <v>3411000</v>
      </c>
      <c r="G316" s="110"/>
      <c r="I316" s="125">
        <v>2661000</v>
      </c>
      <c r="L316" s="125">
        <f t="shared" si="15"/>
        <v>-750000</v>
      </c>
      <c r="M316" s="125">
        <f t="shared" si="16"/>
        <v>0</v>
      </c>
    </row>
    <row r="317" spans="1:13" ht="15.75" outlineLevel="5">
      <c r="A317" s="108" t="s">
        <v>685</v>
      </c>
      <c r="B317" s="109" t="s">
        <v>336</v>
      </c>
      <c r="C317" s="109" t="s">
        <v>70</v>
      </c>
      <c r="D317" s="109" t="s">
        <v>165</v>
      </c>
      <c r="E317" s="109" t="s">
        <v>2</v>
      </c>
      <c r="F317" s="110">
        <f>Приложение_6!F774</f>
        <v>3411000</v>
      </c>
      <c r="G317" s="110"/>
      <c r="I317" s="125">
        <v>2661000</v>
      </c>
      <c r="L317" s="125">
        <f t="shared" si="15"/>
        <v>-750000</v>
      </c>
      <c r="M317" s="125">
        <f t="shared" si="16"/>
        <v>0</v>
      </c>
    </row>
    <row r="318" spans="1:13" ht="31.5" outlineLevel="2">
      <c r="A318" s="108" t="s">
        <v>572</v>
      </c>
      <c r="B318" s="109" t="s">
        <v>281</v>
      </c>
      <c r="C318" s="109" t="s">
        <v>1</v>
      </c>
      <c r="D318" s="109" t="s">
        <v>3</v>
      </c>
      <c r="E318" s="109" t="s">
        <v>3</v>
      </c>
      <c r="F318" s="110">
        <f>F319+F322+F325</f>
        <v>43300440.22</v>
      </c>
      <c r="G318" s="110">
        <f>G324</f>
        <v>544827.14</v>
      </c>
      <c r="I318" s="125">
        <v>43300440.22</v>
      </c>
      <c r="J318" s="125">
        <v>544827.14</v>
      </c>
      <c r="L318" s="125">
        <f t="shared" si="15"/>
        <v>0</v>
      </c>
      <c r="M318" s="125">
        <f t="shared" si="16"/>
        <v>0</v>
      </c>
    </row>
    <row r="319" spans="1:13" ht="126" outlineLevel="3">
      <c r="A319" s="108" t="s">
        <v>443</v>
      </c>
      <c r="B319" s="109" t="s">
        <v>282</v>
      </c>
      <c r="C319" s="109" t="s">
        <v>1</v>
      </c>
      <c r="D319" s="109" t="s">
        <v>3</v>
      </c>
      <c r="E319" s="109" t="s">
        <v>3</v>
      </c>
      <c r="F319" s="110">
        <f>F320</f>
        <v>41030262.86</v>
      </c>
      <c r="G319" s="110"/>
      <c r="I319" s="125">
        <v>41030262.86</v>
      </c>
      <c r="L319" s="125">
        <f t="shared" si="15"/>
        <v>0</v>
      </c>
      <c r="M319" s="125">
        <f t="shared" si="16"/>
        <v>0</v>
      </c>
    </row>
    <row r="320" spans="1:13" ht="78.75" outlineLevel="4">
      <c r="A320" s="108" t="s">
        <v>696</v>
      </c>
      <c r="B320" s="109" t="s">
        <v>282</v>
      </c>
      <c r="C320" s="109" t="s">
        <v>70</v>
      </c>
      <c r="D320" s="109" t="s">
        <v>3</v>
      </c>
      <c r="E320" s="109" t="s">
        <v>3</v>
      </c>
      <c r="F320" s="110">
        <f>F321</f>
        <v>41030262.86</v>
      </c>
      <c r="G320" s="110"/>
      <c r="I320" s="125">
        <v>41030262.86</v>
      </c>
      <c r="L320" s="125">
        <f t="shared" si="15"/>
        <v>0</v>
      </c>
      <c r="M320" s="125">
        <f t="shared" si="16"/>
        <v>0</v>
      </c>
    </row>
    <row r="321" spans="1:13" ht="31.5" outlineLevel="5">
      <c r="A321" s="108" t="s">
        <v>682</v>
      </c>
      <c r="B321" s="109" t="s">
        <v>282</v>
      </c>
      <c r="C321" s="109" t="s">
        <v>70</v>
      </c>
      <c r="D321" s="109" t="s">
        <v>239</v>
      </c>
      <c r="E321" s="109" t="s">
        <v>14</v>
      </c>
      <c r="F321" s="110">
        <f>Приложение_6!F661</f>
        <v>41030262.86</v>
      </c>
      <c r="G321" s="110"/>
      <c r="I321" s="125">
        <v>41030262.86</v>
      </c>
      <c r="L321" s="125">
        <f t="shared" si="15"/>
        <v>0</v>
      </c>
      <c r="M321" s="125">
        <f t="shared" si="16"/>
        <v>0</v>
      </c>
    </row>
    <row r="322" spans="1:13" ht="126" outlineLevel="3">
      <c r="A322" s="108" t="s">
        <v>465</v>
      </c>
      <c r="B322" s="109" t="s">
        <v>283</v>
      </c>
      <c r="C322" s="109" t="s">
        <v>1</v>
      </c>
      <c r="D322" s="109" t="s">
        <v>3</v>
      </c>
      <c r="E322" s="109" t="s">
        <v>3</v>
      </c>
      <c r="F322" s="110">
        <f>F323</f>
        <v>544827.14</v>
      </c>
      <c r="G322" s="110">
        <v>544827.14</v>
      </c>
      <c r="I322" s="125">
        <v>544827.14</v>
      </c>
      <c r="J322" s="125">
        <v>544827.14</v>
      </c>
      <c r="L322" s="125">
        <f t="shared" si="15"/>
        <v>0</v>
      </c>
      <c r="M322" s="125">
        <f t="shared" si="16"/>
        <v>0</v>
      </c>
    </row>
    <row r="323" spans="1:13" ht="78.75" outlineLevel="4">
      <c r="A323" s="108" t="s">
        <v>696</v>
      </c>
      <c r="B323" s="109" t="s">
        <v>283</v>
      </c>
      <c r="C323" s="109" t="s">
        <v>70</v>
      </c>
      <c r="D323" s="109" t="s">
        <v>3</v>
      </c>
      <c r="E323" s="109" t="s">
        <v>3</v>
      </c>
      <c r="F323" s="110">
        <f>F324</f>
        <v>544827.14</v>
      </c>
      <c r="G323" s="110">
        <v>544827.14</v>
      </c>
      <c r="I323" s="125">
        <v>544827.14</v>
      </c>
      <c r="J323" s="125">
        <v>544827.14</v>
      </c>
      <c r="L323" s="125">
        <f t="shared" si="15"/>
        <v>0</v>
      </c>
      <c r="M323" s="125">
        <f t="shared" si="16"/>
        <v>0</v>
      </c>
    </row>
    <row r="324" spans="1:13" ht="31.5" outlineLevel="5">
      <c r="A324" s="108" t="s">
        <v>682</v>
      </c>
      <c r="B324" s="109" t="s">
        <v>283</v>
      </c>
      <c r="C324" s="109" t="s">
        <v>70</v>
      </c>
      <c r="D324" s="109" t="s">
        <v>239</v>
      </c>
      <c r="E324" s="109" t="s">
        <v>14</v>
      </c>
      <c r="F324" s="110">
        <f>Приложение_6!F663</f>
        <v>544827.14</v>
      </c>
      <c r="G324" s="110">
        <v>544827.14</v>
      </c>
      <c r="I324" s="125">
        <v>544827.14</v>
      </c>
      <c r="J324" s="125">
        <v>544827.14</v>
      </c>
      <c r="L324" s="125">
        <f t="shared" si="15"/>
        <v>0</v>
      </c>
      <c r="M324" s="125">
        <f t="shared" si="16"/>
        <v>0</v>
      </c>
    </row>
    <row r="325" spans="1:13" ht="126" outlineLevel="3">
      <c r="A325" s="108" t="s">
        <v>465</v>
      </c>
      <c r="B325" s="109" t="s">
        <v>284</v>
      </c>
      <c r="C325" s="109" t="s">
        <v>1</v>
      </c>
      <c r="D325" s="109" t="s">
        <v>3</v>
      </c>
      <c r="E325" s="109" t="s">
        <v>3</v>
      </c>
      <c r="F325" s="110">
        <f>F326</f>
        <v>1725350.22</v>
      </c>
      <c r="G325" s="110"/>
      <c r="I325" s="125">
        <v>1725350.22</v>
      </c>
      <c r="L325" s="125">
        <f t="shared" si="15"/>
        <v>0</v>
      </c>
      <c r="M325" s="125">
        <f t="shared" si="16"/>
        <v>0</v>
      </c>
    </row>
    <row r="326" spans="1:13" ht="78.75" outlineLevel="4">
      <c r="A326" s="108" t="s">
        <v>696</v>
      </c>
      <c r="B326" s="109" t="s">
        <v>284</v>
      </c>
      <c r="C326" s="109" t="s">
        <v>70</v>
      </c>
      <c r="D326" s="109" t="s">
        <v>3</v>
      </c>
      <c r="E326" s="109" t="s">
        <v>3</v>
      </c>
      <c r="F326" s="110">
        <f>F327</f>
        <v>1725350.22</v>
      </c>
      <c r="G326" s="110"/>
      <c r="I326" s="125">
        <v>1725350.22</v>
      </c>
      <c r="L326" s="125">
        <f t="shared" si="15"/>
        <v>0</v>
      </c>
      <c r="M326" s="125">
        <f t="shared" si="16"/>
        <v>0</v>
      </c>
    </row>
    <row r="327" spans="1:13" ht="31.5" outlineLevel="5">
      <c r="A327" s="108" t="s">
        <v>682</v>
      </c>
      <c r="B327" s="109" t="s">
        <v>284</v>
      </c>
      <c r="C327" s="109" t="s">
        <v>70</v>
      </c>
      <c r="D327" s="109" t="s">
        <v>239</v>
      </c>
      <c r="E327" s="109" t="s">
        <v>14</v>
      </c>
      <c r="F327" s="110">
        <f>Приложение_6!F665</f>
        <v>1725350.22</v>
      </c>
      <c r="G327" s="110"/>
      <c r="I327" s="125">
        <v>1725350.22</v>
      </c>
      <c r="L327" s="125">
        <f t="shared" si="15"/>
        <v>0</v>
      </c>
      <c r="M327" s="125">
        <f t="shared" si="16"/>
        <v>0</v>
      </c>
    </row>
    <row r="328" spans="1:13" ht="63" outlineLevel="2">
      <c r="A328" s="108" t="s">
        <v>573</v>
      </c>
      <c r="B328" s="109" t="s">
        <v>285</v>
      </c>
      <c r="C328" s="109" t="s">
        <v>1</v>
      </c>
      <c r="D328" s="109" t="s">
        <v>3</v>
      </c>
      <c r="E328" s="109" t="s">
        <v>3</v>
      </c>
      <c r="F328" s="110">
        <f>F329+F332+F335</f>
        <v>20043383.910000004</v>
      </c>
      <c r="G328" s="110">
        <f>G334</f>
        <v>244777.42</v>
      </c>
      <c r="I328" s="125">
        <v>20043383.91</v>
      </c>
      <c r="J328" s="125">
        <v>244777.42</v>
      </c>
      <c r="L328" s="125">
        <f t="shared" si="15"/>
        <v>0</v>
      </c>
      <c r="M328" s="125">
        <f t="shared" si="16"/>
        <v>0</v>
      </c>
    </row>
    <row r="329" spans="1:13" ht="126" outlineLevel="3">
      <c r="A329" s="108" t="s">
        <v>443</v>
      </c>
      <c r="B329" s="109" t="s">
        <v>286</v>
      </c>
      <c r="C329" s="109" t="s">
        <v>1</v>
      </c>
      <c r="D329" s="109" t="s">
        <v>3</v>
      </c>
      <c r="E329" s="109" t="s">
        <v>3</v>
      </c>
      <c r="F329" s="110">
        <f>F330</f>
        <v>19023449.14</v>
      </c>
      <c r="G329" s="110"/>
      <c r="I329" s="125">
        <v>19023449.14</v>
      </c>
      <c r="L329" s="125">
        <f t="shared" si="15"/>
        <v>0</v>
      </c>
      <c r="M329" s="125">
        <f t="shared" si="16"/>
        <v>0</v>
      </c>
    </row>
    <row r="330" spans="1:13" ht="78.75" outlineLevel="4">
      <c r="A330" s="108" t="s">
        <v>696</v>
      </c>
      <c r="B330" s="109" t="s">
        <v>286</v>
      </c>
      <c r="C330" s="109" t="s">
        <v>70</v>
      </c>
      <c r="D330" s="109" t="s">
        <v>3</v>
      </c>
      <c r="E330" s="109" t="s">
        <v>3</v>
      </c>
      <c r="F330" s="110">
        <f>F331</f>
        <v>19023449.14</v>
      </c>
      <c r="G330" s="110"/>
      <c r="I330" s="125">
        <v>19023449.14</v>
      </c>
      <c r="L330" s="125">
        <f t="shared" si="15"/>
        <v>0</v>
      </c>
      <c r="M330" s="125">
        <f t="shared" si="16"/>
        <v>0</v>
      </c>
    </row>
    <row r="331" spans="1:13" ht="31.5" outlineLevel="5">
      <c r="A331" s="108" t="s">
        <v>682</v>
      </c>
      <c r="B331" s="109" t="s">
        <v>286</v>
      </c>
      <c r="C331" s="109" t="s">
        <v>70</v>
      </c>
      <c r="D331" s="109" t="s">
        <v>239</v>
      </c>
      <c r="E331" s="109" t="s">
        <v>14</v>
      </c>
      <c r="F331" s="110">
        <f>Приложение_6!F668</f>
        <v>19023449.14</v>
      </c>
      <c r="G331" s="110"/>
      <c r="I331" s="125">
        <v>19023449.14</v>
      </c>
      <c r="L331" s="125">
        <f t="shared" si="15"/>
        <v>0</v>
      </c>
      <c r="M331" s="125">
        <f t="shared" si="16"/>
        <v>0</v>
      </c>
    </row>
    <row r="332" spans="1:13" ht="126" outlineLevel="3">
      <c r="A332" s="108" t="s">
        <v>465</v>
      </c>
      <c r="B332" s="109" t="s">
        <v>287</v>
      </c>
      <c r="C332" s="109" t="s">
        <v>1</v>
      </c>
      <c r="D332" s="109" t="s">
        <v>3</v>
      </c>
      <c r="E332" s="109" t="s">
        <v>3</v>
      </c>
      <c r="F332" s="110">
        <f>F333</f>
        <v>244777.42</v>
      </c>
      <c r="G332" s="110">
        <f>G333</f>
        <v>244777.42</v>
      </c>
      <c r="I332" s="125">
        <v>244777.42</v>
      </c>
      <c r="J332" s="125">
        <v>244777.42</v>
      </c>
      <c r="L332" s="125">
        <f t="shared" si="15"/>
        <v>0</v>
      </c>
      <c r="M332" s="125">
        <f t="shared" si="16"/>
        <v>0</v>
      </c>
    </row>
    <row r="333" spans="1:13" ht="78.75" outlineLevel="4">
      <c r="A333" s="108" t="s">
        <v>696</v>
      </c>
      <c r="B333" s="109" t="s">
        <v>287</v>
      </c>
      <c r="C333" s="109" t="s">
        <v>70</v>
      </c>
      <c r="D333" s="109" t="s">
        <v>3</v>
      </c>
      <c r="E333" s="109" t="s">
        <v>3</v>
      </c>
      <c r="F333" s="110">
        <f>F334</f>
        <v>244777.42</v>
      </c>
      <c r="G333" s="110">
        <f>G334</f>
        <v>244777.42</v>
      </c>
      <c r="I333" s="125">
        <v>244777.42</v>
      </c>
      <c r="J333" s="125">
        <v>244777.42</v>
      </c>
      <c r="L333" s="125">
        <f t="shared" si="15"/>
        <v>0</v>
      </c>
      <c r="M333" s="125">
        <f t="shared" si="16"/>
        <v>0</v>
      </c>
    </row>
    <row r="334" spans="1:13" ht="31.5" outlineLevel="5">
      <c r="A334" s="108" t="s">
        <v>682</v>
      </c>
      <c r="B334" s="109" t="s">
        <v>287</v>
      </c>
      <c r="C334" s="109" t="s">
        <v>70</v>
      </c>
      <c r="D334" s="109" t="s">
        <v>239</v>
      </c>
      <c r="E334" s="109" t="s">
        <v>14</v>
      </c>
      <c r="F334" s="110">
        <f>Приложение_6!F670</f>
        <v>244777.42</v>
      </c>
      <c r="G334" s="110">
        <f>F334</f>
        <v>244777.42</v>
      </c>
      <c r="I334" s="125">
        <v>244777.42</v>
      </c>
      <c r="J334" s="125">
        <v>244777.42</v>
      </c>
      <c r="L334" s="125">
        <f t="shared" si="15"/>
        <v>0</v>
      </c>
      <c r="M334" s="125">
        <f t="shared" si="16"/>
        <v>0</v>
      </c>
    </row>
    <row r="335" spans="1:13" ht="126" outlineLevel="3">
      <c r="A335" s="108" t="s">
        <v>465</v>
      </c>
      <c r="B335" s="109" t="s">
        <v>288</v>
      </c>
      <c r="C335" s="109" t="s">
        <v>1</v>
      </c>
      <c r="D335" s="109" t="s">
        <v>3</v>
      </c>
      <c r="E335" s="109" t="s">
        <v>3</v>
      </c>
      <c r="F335" s="110">
        <f>F336</f>
        <v>775157.35</v>
      </c>
      <c r="G335" s="110"/>
      <c r="I335" s="125">
        <v>775157.35</v>
      </c>
      <c r="L335" s="125">
        <f t="shared" si="15"/>
        <v>0</v>
      </c>
      <c r="M335" s="125">
        <f t="shared" si="16"/>
        <v>0</v>
      </c>
    </row>
    <row r="336" spans="1:13" ht="78.75" outlineLevel="4">
      <c r="A336" s="108" t="s">
        <v>696</v>
      </c>
      <c r="B336" s="109" t="s">
        <v>288</v>
      </c>
      <c r="C336" s="109" t="s">
        <v>70</v>
      </c>
      <c r="D336" s="109" t="s">
        <v>3</v>
      </c>
      <c r="E336" s="109" t="s">
        <v>3</v>
      </c>
      <c r="F336" s="110">
        <f>F337</f>
        <v>775157.35</v>
      </c>
      <c r="G336" s="110"/>
      <c r="I336" s="125">
        <v>775157.35</v>
      </c>
      <c r="L336" s="125">
        <f t="shared" si="15"/>
        <v>0</v>
      </c>
      <c r="M336" s="125">
        <f t="shared" si="16"/>
        <v>0</v>
      </c>
    </row>
    <row r="337" spans="1:13" ht="31.5" outlineLevel="5">
      <c r="A337" s="108" t="s">
        <v>682</v>
      </c>
      <c r="B337" s="109" t="s">
        <v>288</v>
      </c>
      <c r="C337" s="109" t="s">
        <v>70</v>
      </c>
      <c r="D337" s="109" t="s">
        <v>239</v>
      </c>
      <c r="E337" s="109" t="s">
        <v>14</v>
      </c>
      <c r="F337" s="110">
        <f>Приложение_6!F672</f>
        <v>775157.35</v>
      </c>
      <c r="G337" s="110"/>
      <c r="I337" s="125">
        <v>775157.35</v>
      </c>
      <c r="L337" s="125">
        <f t="shared" si="15"/>
        <v>0</v>
      </c>
      <c r="M337" s="125">
        <f t="shared" si="16"/>
        <v>0</v>
      </c>
    </row>
    <row r="338" spans="1:13" ht="31.5" outlineLevel="2">
      <c r="A338" s="108" t="s">
        <v>562</v>
      </c>
      <c r="B338" s="109" t="s">
        <v>289</v>
      </c>
      <c r="C338" s="109" t="s">
        <v>1</v>
      </c>
      <c r="D338" s="109" t="s">
        <v>3</v>
      </c>
      <c r="E338" s="109" t="s">
        <v>3</v>
      </c>
      <c r="F338" s="110">
        <f>F339</f>
        <v>1032524</v>
      </c>
      <c r="G338" s="110"/>
      <c r="I338" s="125">
        <v>1032524</v>
      </c>
      <c r="L338" s="125">
        <f t="shared" si="15"/>
        <v>0</v>
      </c>
      <c r="M338" s="125">
        <f t="shared" si="16"/>
        <v>0</v>
      </c>
    </row>
    <row r="339" spans="1:13" ht="126" outlineLevel="3">
      <c r="A339" s="108" t="s">
        <v>432</v>
      </c>
      <c r="B339" s="109" t="s">
        <v>290</v>
      </c>
      <c r="C339" s="109" t="s">
        <v>1</v>
      </c>
      <c r="D339" s="109" t="s">
        <v>3</v>
      </c>
      <c r="E339" s="109" t="s">
        <v>3</v>
      </c>
      <c r="F339" s="110">
        <f>F340</f>
        <v>1032524</v>
      </c>
      <c r="G339" s="110"/>
      <c r="I339" s="125">
        <v>1032524</v>
      </c>
      <c r="L339" s="125">
        <f t="shared" si="15"/>
        <v>0</v>
      </c>
      <c r="M339" s="125">
        <f t="shared" si="16"/>
        <v>0</v>
      </c>
    </row>
    <row r="340" spans="1:13" ht="78.75" outlineLevel="4">
      <c r="A340" s="108" t="s">
        <v>696</v>
      </c>
      <c r="B340" s="109" t="s">
        <v>290</v>
      </c>
      <c r="C340" s="109" t="s">
        <v>70</v>
      </c>
      <c r="D340" s="109" t="s">
        <v>3</v>
      </c>
      <c r="E340" s="109" t="s">
        <v>3</v>
      </c>
      <c r="F340" s="110">
        <f>F341</f>
        <v>1032524</v>
      </c>
      <c r="G340" s="110"/>
      <c r="I340" s="125">
        <v>1032524</v>
      </c>
      <c r="L340" s="125">
        <f t="shared" si="15"/>
        <v>0</v>
      </c>
      <c r="M340" s="125">
        <f t="shared" si="16"/>
        <v>0</v>
      </c>
    </row>
    <row r="341" spans="1:13" ht="31.5" outlineLevel="5">
      <c r="A341" s="108" t="s">
        <v>682</v>
      </c>
      <c r="B341" s="109" t="s">
        <v>290</v>
      </c>
      <c r="C341" s="109" t="s">
        <v>70</v>
      </c>
      <c r="D341" s="109" t="s">
        <v>239</v>
      </c>
      <c r="E341" s="109" t="s">
        <v>14</v>
      </c>
      <c r="F341" s="110">
        <f>Приложение_6!F675</f>
        <v>1032524</v>
      </c>
      <c r="G341" s="110"/>
      <c r="I341" s="125">
        <v>1032524</v>
      </c>
      <c r="L341" s="125">
        <f t="shared" si="15"/>
        <v>0</v>
      </c>
      <c r="M341" s="125">
        <f t="shared" si="16"/>
        <v>0</v>
      </c>
    </row>
    <row r="342" spans="1:13" ht="78.75" outlineLevel="2">
      <c r="A342" s="108" t="s">
        <v>590</v>
      </c>
      <c r="B342" s="109" t="s">
        <v>337</v>
      </c>
      <c r="C342" s="109" t="s">
        <v>1</v>
      </c>
      <c r="D342" s="109" t="s">
        <v>3</v>
      </c>
      <c r="E342" s="109" t="s">
        <v>3</v>
      </c>
      <c r="F342" s="110">
        <f>F343+F346+F349+F352</f>
        <v>116681059.71000001</v>
      </c>
      <c r="G342" s="110">
        <f>G343+G346+G349+G352</f>
        <v>11590400.52</v>
      </c>
      <c r="I342" s="125">
        <v>116631059.71</v>
      </c>
      <c r="J342" s="125">
        <v>11540400.52</v>
      </c>
      <c r="L342" s="125">
        <f>I342-F342</f>
        <v>-50000.0000000149</v>
      </c>
      <c r="M342" s="125">
        <f t="shared" si="16"/>
        <v>-50000</v>
      </c>
    </row>
    <row r="343" spans="1:13" ht="126" outlineLevel="3">
      <c r="A343" s="108" t="s">
        <v>443</v>
      </c>
      <c r="B343" s="109" t="s">
        <v>338</v>
      </c>
      <c r="C343" s="109" t="s">
        <v>1</v>
      </c>
      <c r="D343" s="109" t="s">
        <v>3</v>
      </c>
      <c r="E343" s="109" t="s">
        <v>3</v>
      </c>
      <c r="F343" s="110">
        <f>F344</f>
        <v>98897170.43</v>
      </c>
      <c r="G343" s="110"/>
      <c r="I343" s="125">
        <v>98897170.43</v>
      </c>
      <c r="L343" s="125">
        <f t="shared" si="15"/>
        <v>0</v>
      </c>
      <c r="M343" s="125">
        <f>J343-G343</f>
        <v>0</v>
      </c>
    </row>
    <row r="344" spans="1:13" ht="78.75" outlineLevel="4">
      <c r="A344" s="108" t="s">
        <v>696</v>
      </c>
      <c r="B344" s="109" t="s">
        <v>338</v>
      </c>
      <c r="C344" s="109" t="s">
        <v>70</v>
      </c>
      <c r="D344" s="109" t="s">
        <v>3</v>
      </c>
      <c r="E344" s="109" t="s">
        <v>3</v>
      </c>
      <c r="F344" s="110">
        <f>F345</f>
        <v>98897170.43</v>
      </c>
      <c r="G344" s="110"/>
      <c r="I344" s="125">
        <v>98897170.43</v>
      </c>
      <c r="L344" s="125">
        <f t="shared" si="15"/>
        <v>0</v>
      </c>
      <c r="M344" s="125">
        <f t="shared" si="16"/>
        <v>0</v>
      </c>
    </row>
    <row r="345" spans="1:13" ht="15.75" outlineLevel="5">
      <c r="A345" s="108" t="s">
        <v>685</v>
      </c>
      <c r="B345" s="109" t="s">
        <v>338</v>
      </c>
      <c r="C345" s="109" t="s">
        <v>70</v>
      </c>
      <c r="D345" s="109" t="s">
        <v>165</v>
      </c>
      <c r="E345" s="109" t="s">
        <v>2</v>
      </c>
      <c r="F345" s="110">
        <f>Приложение_6!F777</f>
        <v>98897170.43</v>
      </c>
      <c r="G345" s="110"/>
      <c r="I345" s="125">
        <v>98897170.43</v>
      </c>
      <c r="L345" s="125">
        <f t="shared" si="15"/>
        <v>0</v>
      </c>
      <c r="M345" s="125">
        <f t="shared" si="16"/>
        <v>0</v>
      </c>
    </row>
    <row r="346" spans="1:13" ht="126" outlineLevel="3">
      <c r="A346" s="108" t="s">
        <v>465</v>
      </c>
      <c r="B346" s="109" t="s">
        <v>339</v>
      </c>
      <c r="C346" s="109" t="s">
        <v>1</v>
      </c>
      <c r="D346" s="109" t="s">
        <v>3</v>
      </c>
      <c r="E346" s="109" t="s">
        <v>3</v>
      </c>
      <c r="F346" s="110">
        <f>F347</f>
        <v>11540400.52</v>
      </c>
      <c r="G346" s="110">
        <f>G347</f>
        <v>11540400.52</v>
      </c>
      <c r="I346" s="125">
        <v>11540400.52</v>
      </c>
      <c r="J346" s="125">
        <v>11540400.52</v>
      </c>
      <c r="L346" s="125">
        <f t="shared" si="15"/>
        <v>0</v>
      </c>
      <c r="M346" s="125">
        <f t="shared" si="16"/>
        <v>0</v>
      </c>
    </row>
    <row r="347" spans="1:13" ht="78.75" outlineLevel="4">
      <c r="A347" s="108" t="s">
        <v>696</v>
      </c>
      <c r="B347" s="109" t="s">
        <v>339</v>
      </c>
      <c r="C347" s="109" t="s">
        <v>70</v>
      </c>
      <c r="D347" s="109" t="s">
        <v>3</v>
      </c>
      <c r="E347" s="109" t="s">
        <v>3</v>
      </c>
      <c r="F347" s="110">
        <f>F348</f>
        <v>11540400.52</v>
      </c>
      <c r="G347" s="110">
        <f>G348</f>
        <v>11540400.52</v>
      </c>
      <c r="I347" s="125">
        <v>11540400.52</v>
      </c>
      <c r="J347" s="125">
        <v>11540400.52</v>
      </c>
      <c r="L347" s="125">
        <f t="shared" si="15"/>
        <v>0</v>
      </c>
      <c r="M347" s="125">
        <f t="shared" si="16"/>
        <v>0</v>
      </c>
    </row>
    <row r="348" spans="1:13" ht="15.75" outlineLevel="5">
      <c r="A348" s="108" t="s">
        <v>685</v>
      </c>
      <c r="B348" s="109" t="s">
        <v>339</v>
      </c>
      <c r="C348" s="109" t="s">
        <v>70</v>
      </c>
      <c r="D348" s="109" t="s">
        <v>165</v>
      </c>
      <c r="E348" s="109" t="s">
        <v>2</v>
      </c>
      <c r="F348" s="110">
        <f>Приложение_6!F779</f>
        <v>11540400.52</v>
      </c>
      <c r="G348" s="110">
        <f>F348</f>
        <v>11540400.52</v>
      </c>
      <c r="I348" s="125">
        <v>11540400.52</v>
      </c>
      <c r="J348" s="125">
        <v>11540400.52</v>
      </c>
      <c r="L348" s="125">
        <f t="shared" si="15"/>
        <v>0</v>
      </c>
      <c r="M348" s="125">
        <f t="shared" si="16"/>
        <v>0</v>
      </c>
    </row>
    <row r="349" spans="1:13" ht="126" outlineLevel="3">
      <c r="A349" s="108" t="s">
        <v>465</v>
      </c>
      <c r="B349" s="109" t="s">
        <v>340</v>
      </c>
      <c r="C349" s="109" t="s">
        <v>1</v>
      </c>
      <c r="D349" s="109" t="s">
        <v>3</v>
      </c>
      <c r="E349" s="109" t="s">
        <v>3</v>
      </c>
      <c r="F349" s="110">
        <f>F350</f>
        <v>6193488.76</v>
      </c>
      <c r="G349" s="110"/>
      <c r="I349" s="125">
        <v>6193488.76</v>
      </c>
      <c r="L349" s="125">
        <f t="shared" si="15"/>
        <v>0</v>
      </c>
      <c r="M349" s="125">
        <f t="shared" si="16"/>
        <v>0</v>
      </c>
    </row>
    <row r="350" spans="1:13" ht="78.75" outlineLevel="4">
      <c r="A350" s="108" t="s">
        <v>696</v>
      </c>
      <c r="B350" s="109" t="s">
        <v>340</v>
      </c>
      <c r="C350" s="109" t="s">
        <v>70</v>
      </c>
      <c r="D350" s="109" t="s">
        <v>3</v>
      </c>
      <c r="E350" s="109" t="s">
        <v>3</v>
      </c>
      <c r="F350" s="110">
        <f>F351</f>
        <v>6193488.76</v>
      </c>
      <c r="G350" s="110"/>
      <c r="I350" s="125">
        <v>6193488.76</v>
      </c>
      <c r="L350" s="125">
        <f t="shared" si="15"/>
        <v>0</v>
      </c>
      <c r="M350" s="125">
        <f t="shared" si="16"/>
        <v>0</v>
      </c>
    </row>
    <row r="351" spans="1:13" ht="15.75" outlineLevel="5">
      <c r="A351" s="108" t="s">
        <v>685</v>
      </c>
      <c r="B351" s="109" t="s">
        <v>340</v>
      </c>
      <c r="C351" s="109" t="s">
        <v>70</v>
      </c>
      <c r="D351" s="109" t="s">
        <v>165</v>
      </c>
      <c r="E351" s="109" t="s">
        <v>2</v>
      </c>
      <c r="F351" s="110">
        <f>Приложение_6!F781</f>
        <v>6193488.76</v>
      </c>
      <c r="G351" s="110"/>
      <c r="I351" s="125">
        <v>6193488.76</v>
      </c>
      <c r="L351" s="125">
        <f t="shared" si="15"/>
        <v>0</v>
      </c>
      <c r="M351" s="125">
        <f t="shared" si="16"/>
        <v>0</v>
      </c>
    </row>
    <row r="352" spans="1:13" ht="126" outlineLevel="5">
      <c r="A352" s="108" t="s">
        <v>1302</v>
      </c>
      <c r="B352" s="109" t="s">
        <v>1303</v>
      </c>
      <c r="C352" s="109" t="s">
        <v>1</v>
      </c>
      <c r="D352" s="109" t="s">
        <v>3</v>
      </c>
      <c r="E352" s="109" t="s">
        <v>3</v>
      </c>
      <c r="F352" s="110">
        <f>F353</f>
        <v>50000</v>
      </c>
      <c r="G352" s="110">
        <f>F352</f>
        <v>50000</v>
      </c>
      <c r="I352" s="125"/>
      <c r="L352" s="125"/>
      <c r="M352" s="125"/>
    </row>
    <row r="353" spans="1:13" ht="78.75" outlineLevel="5">
      <c r="A353" s="108" t="s">
        <v>696</v>
      </c>
      <c r="B353" s="109" t="s">
        <v>1303</v>
      </c>
      <c r="C353" s="109" t="s">
        <v>70</v>
      </c>
      <c r="D353" s="109" t="s">
        <v>3</v>
      </c>
      <c r="E353" s="109" t="s">
        <v>3</v>
      </c>
      <c r="F353" s="110">
        <f>F354</f>
        <v>50000</v>
      </c>
      <c r="G353" s="110">
        <f>F353</f>
        <v>50000</v>
      </c>
      <c r="I353" s="125"/>
      <c r="L353" s="125"/>
      <c r="M353" s="125"/>
    </row>
    <row r="354" spans="1:13" ht="15.75" outlineLevel="5">
      <c r="A354" s="108" t="s">
        <v>685</v>
      </c>
      <c r="B354" s="109" t="s">
        <v>1303</v>
      </c>
      <c r="C354" s="109" t="s">
        <v>70</v>
      </c>
      <c r="D354" s="109" t="s">
        <v>165</v>
      </c>
      <c r="E354" s="109" t="s">
        <v>2</v>
      </c>
      <c r="F354" s="110">
        <f>Приложение_6!F783</f>
        <v>50000</v>
      </c>
      <c r="G354" s="110">
        <f>F354</f>
        <v>50000</v>
      </c>
      <c r="I354" s="125"/>
      <c r="L354" s="125"/>
      <c r="M354" s="125"/>
    </row>
    <row r="355" spans="1:13" ht="31.5" outlineLevel="2">
      <c r="A355" s="108" t="s">
        <v>562</v>
      </c>
      <c r="B355" s="109" t="s">
        <v>341</v>
      </c>
      <c r="C355" s="109" t="s">
        <v>1</v>
      </c>
      <c r="D355" s="109" t="s">
        <v>3</v>
      </c>
      <c r="E355" s="109" t="s">
        <v>3</v>
      </c>
      <c r="F355" s="110">
        <f>F356+F359+F362</f>
        <v>1745018</v>
      </c>
      <c r="G355" s="110">
        <f>G361+G364</f>
        <v>493936</v>
      </c>
      <c r="I355" s="125">
        <v>1745018</v>
      </c>
      <c r="J355" s="125">
        <v>493936</v>
      </c>
      <c r="L355" s="125">
        <f t="shared" si="15"/>
        <v>0</v>
      </c>
      <c r="M355" s="125">
        <f t="shared" si="16"/>
        <v>0</v>
      </c>
    </row>
    <row r="356" spans="1:13" ht="126" outlineLevel="3">
      <c r="A356" s="108" t="s">
        <v>432</v>
      </c>
      <c r="B356" s="109" t="s">
        <v>342</v>
      </c>
      <c r="C356" s="109" t="s">
        <v>1</v>
      </c>
      <c r="D356" s="109" t="s">
        <v>3</v>
      </c>
      <c r="E356" s="109" t="s">
        <v>3</v>
      </c>
      <c r="F356" s="110">
        <f>F357</f>
        <v>1251082</v>
      </c>
      <c r="G356" s="110"/>
      <c r="I356" s="125">
        <v>1251082</v>
      </c>
      <c r="L356" s="125">
        <f t="shared" si="15"/>
        <v>0</v>
      </c>
      <c r="M356" s="125">
        <f t="shared" si="16"/>
        <v>0</v>
      </c>
    </row>
    <row r="357" spans="1:13" ht="78.75" outlineLevel="4">
      <c r="A357" s="108" t="s">
        <v>696</v>
      </c>
      <c r="B357" s="109" t="s">
        <v>342</v>
      </c>
      <c r="C357" s="109" t="s">
        <v>70</v>
      </c>
      <c r="D357" s="109" t="s">
        <v>3</v>
      </c>
      <c r="E357" s="109" t="s">
        <v>3</v>
      </c>
      <c r="F357" s="110">
        <f>F358</f>
        <v>1251082</v>
      </c>
      <c r="G357" s="110"/>
      <c r="I357" s="125">
        <v>1251082</v>
      </c>
      <c r="L357" s="125">
        <f aca="true" t="shared" si="17" ref="L357:L426">I357-F357</f>
        <v>0</v>
      </c>
      <c r="M357" s="125">
        <f aca="true" t="shared" si="18" ref="M357:M426">J357-G357</f>
        <v>0</v>
      </c>
    </row>
    <row r="358" spans="1:13" ht="15.75" outlineLevel="5">
      <c r="A358" s="108" t="s">
        <v>685</v>
      </c>
      <c r="B358" s="109" t="s">
        <v>342</v>
      </c>
      <c r="C358" s="109" t="s">
        <v>70</v>
      </c>
      <c r="D358" s="109" t="s">
        <v>165</v>
      </c>
      <c r="E358" s="109" t="s">
        <v>2</v>
      </c>
      <c r="F358" s="110">
        <f>Приложение_6!F786</f>
        <v>1251082</v>
      </c>
      <c r="G358" s="110"/>
      <c r="I358" s="125">
        <v>1251082</v>
      </c>
      <c r="L358" s="125">
        <f t="shared" si="17"/>
        <v>0</v>
      </c>
      <c r="M358" s="125">
        <f t="shared" si="18"/>
        <v>0</v>
      </c>
    </row>
    <row r="359" spans="1:13" ht="157.5" outlineLevel="3">
      <c r="A359" s="108" t="s">
        <v>473</v>
      </c>
      <c r="B359" s="109" t="s">
        <v>384</v>
      </c>
      <c r="C359" s="109" t="s">
        <v>1</v>
      </c>
      <c r="D359" s="109" t="s">
        <v>3</v>
      </c>
      <c r="E359" s="109" t="s">
        <v>3</v>
      </c>
      <c r="F359" s="110">
        <f>F360</f>
        <v>5536</v>
      </c>
      <c r="G359" s="110">
        <f>G360</f>
        <v>5536</v>
      </c>
      <c r="I359" s="125">
        <v>5536</v>
      </c>
      <c r="J359" s="125">
        <v>5536</v>
      </c>
      <c r="L359" s="125">
        <f t="shared" si="17"/>
        <v>0</v>
      </c>
      <c r="M359" s="125">
        <f t="shared" si="18"/>
        <v>0</v>
      </c>
    </row>
    <row r="360" spans="1:13" ht="78.75" outlineLevel="4">
      <c r="A360" s="108" t="s">
        <v>696</v>
      </c>
      <c r="B360" s="109" t="s">
        <v>384</v>
      </c>
      <c r="C360" s="109" t="s">
        <v>70</v>
      </c>
      <c r="D360" s="109" t="s">
        <v>3</v>
      </c>
      <c r="E360" s="109" t="s">
        <v>3</v>
      </c>
      <c r="F360" s="110">
        <f>F361</f>
        <v>5536</v>
      </c>
      <c r="G360" s="110">
        <f>G361</f>
        <v>5536</v>
      </c>
      <c r="I360" s="125">
        <v>5536</v>
      </c>
      <c r="J360" s="125">
        <v>5536</v>
      </c>
      <c r="L360" s="125">
        <f t="shared" si="17"/>
        <v>0</v>
      </c>
      <c r="M360" s="125">
        <f t="shared" si="18"/>
        <v>0</v>
      </c>
    </row>
    <row r="361" spans="1:13" ht="31.5" outlineLevel="5">
      <c r="A361" s="108" t="s">
        <v>687</v>
      </c>
      <c r="B361" s="109" t="s">
        <v>384</v>
      </c>
      <c r="C361" s="109" t="s">
        <v>70</v>
      </c>
      <c r="D361" s="109" t="s">
        <v>187</v>
      </c>
      <c r="E361" s="109" t="s">
        <v>14</v>
      </c>
      <c r="F361" s="110">
        <f>Приложение_6!F876</f>
        <v>5536</v>
      </c>
      <c r="G361" s="110">
        <f>F361</f>
        <v>5536</v>
      </c>
      <c r="I361" s="125">
        <v>5536</v>
      </c>
      <c r="J361" s="125">
        <v>5536</v>
      </c>
      <c r="L361" s="125">
        <f t="shared" si="17"/>
        <v>0</v>
      </c>
      <c r="M361" s="125">
        <f t="shared" si="18"/>
        <v>0</v>
      </c>
    </row>
    <row r="362" spans="1:13" ht="141.75" customHeight="1" outlineLevel="3">
      <c r="A362" s="108" t="s">
        <v>474</v>
      </c>
      <c r="B362" s="109" t="s">
        <v>385</v>
      </c>
      <c r="C362" s="109" t="s">
        <v>1</v>
      </c>
      <c r="D362" s="109" t="s">
        <v>3</v>
      </c>
      <c r="E362" s="109" t="s">
        <v>3</v>
      </c>
      <c r="F362" s="110">
        <f>F363</f>
        <v>488400</v>
      </c>
      <c r="G362" s="110">
        <f>G363</f>
        <v>488400</v>
      </c>
      <c r="I362" s="125">
        <v>488400</v>
      </c>
      <c r="J362" s="125">
        <v>488400</v>
      </c>
      <c r="L362" s="125">
        <f t="shared" si="17"/>
        <v>0</v>
      </c>
      <c r="M362" s="125">
        <f t="shared" si="18"/>
        <v>0</v>
      </c>
    </row>
    <row r="363" spans="1:13" ht="78.75" outlineLevel="4">
      <c r="A363" s="108" t="s">
        <v>696</v>
      </c>
      <c r="B363" s="109" t="s">
        <v>385</v>
      </c>
      <c r="C363" s="109" t="s">
        <v>70</v>
      </c>
      <c r="D363" s="109" t="s">
        <v>3</v>
      </c>
      <c r="E363" s="109" t="s">
        <v>3</v>
      </c>
      <c r="F363" s="110">
        <f>F364</f>
        <v>488400</v>
      </c>
      <c r="G363" s="110">
        <f>G364</f>
        <v>488400</v>
      </c>
      <c r="I363" s="125">
        <v>488400</v>
      </c>
      <c r="J363" s="125">
        <v>488400</v>
      </c>
      <c r="L363" s="125">
        <f t="shared" si="17"/>
        <v>0</v>
      </c>
      <c r="M363" s="125">
        <f t="shared" si="18"/>
        <v>0</v>
      </c>
    </row>
    <row r="364" spans="1:13" ht="31.5" outlineLevel="5">
      <c r="A364" s="108" t="s">
        <v>687</v>
      </c>
      <c r="B364" s="109" t="s">
        <v>385</v>
      </c>
      <c r="C364" s="109" t="s">
        <v>70</v>
      </c>
      <c r="D364" s="109" t="s">
        <v>187</v>
      </c>
      <c r="E364" s="109" t="s">
        <v>14</v>
      </c>
      <c r="F364" s="110">
        <f>Приложение_6!F878</f>
        <v>488400</v>
      </c>
      <c r="G364" s="110">
        <f>F364</f>
        <v>488400</v>
      </c>
      <c r="I364" s="125">
        <v>488400</v>
      </c>
      <c r="J364" s="125">
        <v>488400</v>
      </c>
      <c r="L364" s="125">
        <f t="shared" si="17"/>
        <v>0</v>
      </c>
      <c r="M364" s="125">
        <f t="shared" si="18"/>
        <v>0</v>
      </c>
    </row>
    <row r="365" spans="1:13" ht="47.25" outlineLevel="1">
      <c r="A365" s="115" t="s">
        <v>650</v>
      </c>
      <c r="B365" s="116" t="s">
        <v>343</v>
      </c>
      <c r="C365" s="116" t="s">
        <v>1</v>
      </c>
      <c r="D365" s="116" t="s">
        <v>3</v>
      </c>
      <c r="E365" s="116" t="s">
        <v>3</v>
      </c>
      <c r="F365" s="117">
        <f>F366+F376+F386+F396+F400</f>
        <v>55167758.94</v>
      </c>
      <c r="G365" s="117">
        <f>G366+G376+G386+G396+G400</f>
        <v>5292011.29</v>
      </c>
      <c r="I365" s="125">
        <v>55133748.43</v>
      </c>
      <c r="L365" s="125">
        <f t="shared" si="17"/>
        <v>-34010.509999997914</v>
      </c>
      <c r="M365" s="125">
        <f t="shared" si="18"/>
        <v>-5292011.29</v>
      </c>
    </row>
    <row r="366" spans="1:13" ht="78.75" outlineLevel="2">
      <c r="A366" s="108" t="s">
        <v>591</v>
      </c>
      <c r="B366" s="109" t="s">
        <v>344</v>
      </c>
      <c r="C366" s="109" t="s">
        <v>1</v>
      </c>
      <c r="D366" s="109" t="s">
        <v>3</v>
      </c>
      <c r="E366" s="109" t="s">
        <v>3</v>
      </c>
      <c r="F366" s="110">
        <f>F367+F370+F373</f>
        <v>44562339.87</v>
      </c>
      <c r="G366" s="110">
        <f>G372</f>
        <v>5135772.78</v>
      </c>
      <c r="I366" s="125">
        <v>44562339.87</v>
      </c>
      <c r="J366" s="125">
        <v>5135772.78</v>
      </c>
      <c r="L366" s="125">
        <f t="shared" si="17"/>
        <v>0</v>
      </c>
      <c r="M366" s="125">
        <f t="shared" si="18"/>
        <v>0</v>
      </c>
    </row>
    <row r="367" spans="1:13" ht="126" outlineLevel="3">
      <c r="A367" s="108" t="s">
        <v>443</v>
      </c>
      <c r="B367" s="109" t="s">
        <v>345</v>
      </c>
      <c r="C367" s="109" t="s">
        <v>1</v>
      </c>
      <c r="D367" s="109" t="s">
        <v>3</v>
      </c>
      <c r="E367" s="109" t="s">
        <v>3</v>
      </c>
      <c r="F367" s="110">
        <f>F368</f>
        <v>37937563.69</v>
      </c>
      <c r="G367" s="110"/>
      <c r="I367" s="125">
        <v>37937563.69</v>
      </c>
      <c r="L367" s="125">
        <f t="shared" si="17"/>
        <v>0</v>
      </c>
      <c r="M367" s="125">
        <f t="shared" si="18"/>
        <v>0</v>
      </c>
    </row>
    <row r="368" spans="1:13" ht="78.75" outlineLevel="4">
      <c r="A368" s="108" t="s">
        <v>696</v>
      </c>
      <c r="B368" s="109" t="s">
        <v>345</v>
      </c>
      <c r="C368" s="109" t="s">
        <v>70</v>
      </c>
      <c r="D368" s="109" t="s">
        <v>3</v>
      </c>
      <c r="E368" s="109" t="s">
        <v>3</v>
      </c>
      <c r="F368" s="110">
        <f>F369</f>
        <v>37937563.69</v>
      </c>
      <c r="G368" s="110"/>
      <c r="I368" s="125">
        <v>37937563.69</v>
      </c>
      <c r="L368" s="125">
        <f t="shared" si="17"/>
        <v>0</v>
      </c>
      <c r="M368" s="125">
        <f t="shared" si="18"/>
        <v>0</v>
      </c>
    </row>
    <row r="369" spans="1:13" ht="15.75" outlineLevel="5">
      <c r="A369" s="108" t="s">
        <v>685</v>
      </c>
      <c r="B369" s="109" t="s">
        <v>345</v>
      </c>
      <c r="C369" s="109" t="s">
        <v>70</v>
      </c>
      <c r="D369" s="109" t="s">
        <v>165</v>
      </c>
      <c r="E369" s="109" t="s">
        <v>2</v>
      </c>
      <c r="F369" s="110">
        <f>Приложение_6!F790</f>
        <v>37937563.69</v>
      </c>
      <c r="G369" s="110"/>
      <c r="I369" s="125">
        <v>37937563.69</v>
      </c>
      <c r="L369" s="125">
        <f t="shared" si="17"/>
        <v>0</v>
      </c>
      <c r="M369" s="125">
        <f t="shared" si="18"/>
        <v>0</v>
      </c>
    </row>
    <row r="370" spans="1:13" ht="126" outlineLevel="3">
      <c r="A370" s="108" t="s">
        <v>465</v>
      </c>
      <c r="B370" s="109" t="s">
        <v>346</v>
      </c>
      <c r="C370" s="109" t="s">
        <v>1</v>
      </c>
      <c r="D370" s="109" t="s">
        <v>3</v>
      </c>
      <c r="E370" s="109" t="s">
        <v>3</v>
      </c>
      <c r="F370" s="110">
        <f>F371</f>
        <v>5135772.78</v>
      </c>
      <c r="G370" s="110">
        <f>G371</f>
        <v>5135772.78</v>
      </c>
      <c r="I370" s="125">
        <v>5135772.78</v>
      </c>
      <c r="J370" s="125">
        <v>5135772.78</v>
      </c>
      <c r="L370" s="125">
        <f t="shared" si="17"/>
        <v>0</v>
      </c>
      <c r="M370" s="125">
        <f t="shared" si="18"/>
        <v>0</v>
      </c>
    </row>
    <row r="371" spans="1:13" ht="78.75" outlineLevel="4">
      <c r="A371" s="108" t="s">
        <v>696</v>
      </c>
      <c r="B371" s="109" t="s">
        <v>346</v>
      </c>
      <c r="C371" s="109" t="s">
        <v>70</v>
      </c>
      <c r="D371" s="109" t="s">
        <v>3</v>
      </c>
      <c r="E371" s="109" t="s">
        <v>3</v>
      </c>
      <c r="F371" s="110">
        <f>F372</f>
        <v>5135772.78</v>
      </c>
      <c r="G371" s="110">
        <f>G372</f>
        <v>5135772.78</v>
      </c>
      <c r="I371" s="125">
        <v>5135772.78</v>
      </c>
      <c r="J371" s="125">
        <v>5135772.78</v>
      </c>
      <c r="L371" s="125">
        <f t="shared" si="17"/>
        <v>0</v>
      </c>
      <c r="M371" s="125">
        <f t="shared" si="18"/>
        <v>0</v>
      </c>
    </row>
    <row r="372" spans="1:13" ht="15.75" outlineLevel="5">
      <c r="A372" s="108" t="s">
        <v>685</v>
      </c>
      <c r="B372" s="109" t="s">
        <v>346</v>
      </c>
      <c r="C372" s="109" t="s">
        <v>70</v>
      </c>
      <c r="D372" s="109" t="s">
        <v>165</v>
      </c>
      <c r="E372" s="109" t="s">
        <v>2</v>
      </c>
      <c r="F372" s="110">
        <f>Приложение_6!F792</f>
        <v>5135772.78</v>
      </c>
      <c r="G372" s="110">
        <f>F372</f>
        <v>5135772.78</v>
      </c>
      <c r="I372" s="125">
        <v>5135772.78</v>
      </c>
      <c r="J372" s="125">
        <v>5135772.78</v>
      </c>
      <c r="L372" s="125">
        <f t="shared" si="17"/>
        <v>0</v>
      </c>
      <c r="M372" s="125">
        <f t="shared" si="18"/>
        <v>0</v>
      </c>
    </row>
    <row r="373" spans="1:13" ht="126" outlineLevel="3">
      <c r="A373" s="108" t="s">
        <v>465</v>
      </c>
      <c r="B373" s="109" t="s">
        <v>347</v>
      </c>
      <c r="C373" s="109" t="s">
        <v>1</v>
      </c>
      <c r="D373" s="109" t="s">
        <v>3</v>
      </c>
      <c r="E373" s="109" t="s">
        <v>3</v>
      </c>
      <c r="F373" s="110">
        <f>F374</f>
        <v>1489003.4</v>
      </c>
      <c r="G373" s="110"/>
      <c r="I373" s="125">
        <v>1489003.4</v>
      </c>
      <c r="L373" s="125">
        <f t="shared" si="17"/>
        <v>0</v>
      </c>
      <c r="M373" s="125">
        <f t="shared" si="18"/>
        <v>0</v>
      </c>
    </row>
    <row r="374" spans="1:13" ht="78.75" outlineLevel="4">
      <c r="A374" s="108" t="s">
        <v>696</v>
      </c>
      <c r="B374" s="109" t="s">
        <v>347</v>
      </c>
      <c r="C374" s="109" t="s">
        <v>70</v>
      </c>
      <c r="D374" s="109" t="s">
        <v>3</v>
      </c>
      <c r="E374" s="109" t="s">
        <v>3</v>
      </c>
      <c r="F374" s="110">
        <f>F375</f>
        <v>1489003.4</v>
      </c>
      <c r="G374" s="110"/>
      <c r="I374" s="125">
        <v>1489003.4</v>
      </c>
      <c r="L374" s="125">
        <f t="shared" si="17"/>
        <v>0</v>
      </c>
      <c r="M374" s="125">
        <f t="shared" si="18"/>
        <v>0</v>
      </c>
    </row>
    <row r="375" spans="1:13" ht="15.75" outlineLevel="5">
      <c r="A375" s="108" t="s">
        <v>685</v>
      </c>
      <c r="B375" s="109" t="s">
        <v>347</v>
      </c>
      <c r="C375" s="109" t="s">
        <v>70</v>
      </c>
      <c r="D375" s="109" t="s">
        <v>165</v>
      </c>
      <c r="E375" s="109" t="s">
        <v>2</v>
      </c>
      <c r="F375" s="110">
        <f>Приложение_6!F794</f>
        <v>1489003.4</v>
      </c>
      <c r="G375" s="110"/>
      <c r="I375" s="125">
        <v>1489003.4</v>
      </c>
      <c r="L375" s="125">
        <f t="shared" si="17"/>
        <v>0</v>
      </c>
      <c r="M375" s="125">
        <f t="shared" si="18"/>
        <v>0</v>
      </c>
    </row>
    <row r="376" spans="1:13" ht="31.5" outlineLevel="2">
      <c r="A376" s="108" t="s">
        <v>562</v>
      </c>
      <c r="B376" s="109" t="s">
        <v>348</v>
      </c>
      <c r="C376" s="109" t="s">
        <v>1</v>
      </c>
      <c r="D376" s="109" t="s">
        <v>3</v>
      </c>
      <c r="E376" s="109" t="s">
        <v>3</v>
      </c>
      <c r="F376" s="110">
        <f>F377+F380+F383</f>
        <v>1071390</v>
      </c>
      <c r="G376" s="110">
        <f>G382+G385</f>
        <v>122228</v>
      </c>
      <c r="I376" s="125">
        <v>1071390</v>
      </c>
      <c r="J376" s="125">
        <v>122228</v>
      </c>
      <c r="L376" s="125">
        <f t="shared" si="17"/>
        <v>0</v>
      </c>
      <c r="M376" s="125">
        <f t="shared" si="18"/>
        <v>0</v>
      </c>
    </row>
    <row r="377" spans="1:13" ht="126" outlineLevel="3">
      <c r="A377" s="108" t="s">
        <v>432</v>
      </c>
      <c r="B377" s="109" t="s">
        <v>349</v>
      </c>
      <c r="C377" s="109" t="s">
        <v>1</v>
      </c>
      <c r="D377" s="109" t="s">
        <v>3</v>
      </c>
      <c r="E377" s="109" t="s">
        <v>3</v>
      </c>
      <c r="F377" s="110">
        <f>F378</f>
        <v>949162</v>
      </c>
      <c r="G377" s="110"/>
      <c r="I377" s="125">
        <v>949162</v>
      </c>
      <c r="L377" s="125">
        <f t="shared" si="17"/>
        <v>0</v>
      </c>
      <c r="M377" s="125">
        <f t="shared" si="18"/>
        <v>0</v>
      </c>
    </row>
    <row r="378" spans="1:13" ht="78.75" outlineLevel="4">
      <c r="A378" s="108" t="s">
        <v>696</v>
      </c>
      <c r="B378" s="109" t="s">
        <v>349</v>
      </c>
      <c r="C378" s="109" t="s">
        <v>70</v>
      </c>
      <c r="D378" s="109" t="s">
        <v>3</v>
      </c>
      <c r="E378" s="109" t="s">
        <v>3</v>
      </c>
      <c r="F378" s="110">
        <f>F379</f>
        <v>949162</v>
      </c>
      <c r="G378" s="110"/>
      <c r="I378" s="125">
        <v>949162</v>
      </c>
      <c r="L378" s="125">
        <f t="shared" si="17"/>
        <v>0</v>
      </c>
      <c r="M378" s="125">
        <f t="shared" si="18"/>
        <v>0</v>
      </c>
    </row>
    <row r="379" spans="1:13" ht="15.75" outlineLevel="5">
      <c r="A379" s="108" t="s">
        <v>685</v>
      </c>
      <c r="B379" s="109" t="s">
        <v>349</v>
      </c>
      <c r="C379" s="109" t="s">
        <v>70</v>
      </c>
      <c r="D379" s="109" t="s">
        <v>165</v>
      </c>
      <c r="E379" s="109" t="s">
        <v>2</v>
      </c>
      <c r="F379" s="110">
        <f>Приложение_6!F797</f>
        <v>949162</v>
      </c>
      <c r="G379" s="110"/>
      <c r="I379" s="125">
        <v>949162</v>
      </c>
      <c r="L379" s="125">
        <f t="shared" si="17"/>
        <v>0</v>
      </c>
      <c r="M379" s="125">
        <f t="shared" si="18"/>
        <v>0</v>
      </c>
    </row>
    <row r="380" spans="1:13" ht="157.5" outlineLevel="3">
      <c r="A380" s="108" t="s">
        <v>473</v>
      </c>
      <c r="B380" s="109" t="s">
        <v>386</v>
      </c>
      <c r="C380" s="109" t="s">
        <v>1</v>
      </c>
      <c r="D380" s="109" t="s">
        <v>3</v>
      </c>
      <c r="E380" s="109" t="s">
        <v>3</v>
      </c>
      <c r="F380" s="110">
        <f>F381</f>
        <v>2228</v>
      </c>
      <c r="G380" s="110">
        <f>G381</f>
        <v>2228</v>
      </c>
      <c r="I380" s="125">
        <v>2228</v>
      </c>
      <c r="J380" s="125">
        <v>2228</v>
      </c>
      <c r="L380" s="125">
        <f t="shared" si="17"/>
        <v>0</v>
      </c>
      <c r="M380" s="125">
        <f t="shared" si="18"/>
        <v>0</v>
      </c>
    </row>
    <row r="381" spans="1:13" ht="78.75" outlineLevel="4">
      <c r="A381" s="108" t="s">
        <v>696</v>
      </c>
      <c r="B381" s="109" t="s">
        <v>386</v>
      </c>
      <c r="C381" s="109" t="s">
        <v>70</v>
      </c>
      <c r="D381" s="109" t="s">
        <v>3</v>
      </c>
      <c r="E381" s="109" t="s">
        <v>3</v>
      </c>
      <c r="F381" s="110">
        <f>F382</f>
        <v>2228</v>
      </c>
      <c r="G381" s="110">
        <f>G382</f>
        <v>2228</v>
      </c>
      <c r="I381" s="125">
        <v>2228</v>
      </c>
      <c r="J381" s="125">
        <v>2228</v>
      </c>
      <c r="L381" s="125">
        <f t="shared" si="17"/>
        <v>0</v>
      </c>
      <c r="M381" s="125">
        <f t="shared" si="18"/>
        <v>0</v>
      </c>
    </row>
    <row r="382" spans="1:13" ht="31.5" outlineLevel="5">
      <c r="A382" s="108" t="s">
        <v>687</v>
      </c>
      <c r="B382" s="109" t="s">
        <v>386</v>
      </c>
      <c r="C382" s="109" t="s">
        <v>70</v>
      </c>
      <c r="D382" s="109" t="s">
        <v>187</v>
      </c>
      <c r="E382" s="109" t="s">
        <v>14</v>
      </c>
      <c r="F382" s="110">
        <f>Приложение_6!F882</f>
        <v>2228</v>
      </c>
      <c r="G382" s="110">
        <f>F382</f>
        <v>2228</v>
      </c>
      <c r="I382" s="125">
        <v>2228</v>
      </c>
      <c r="J382" s="125">
        <v>2228</v>
      </c>
      <c r="L382" s="125">
        <f t="shared" si="17"/>
        <v>0</v>
      </c>
      <c r="M382" s="125">
        <f t="shared" si="18"/>
        <v>0</v>
      </c>
    </row>
    <row r="383" spans="1:13" ht="141.75" customHeight="1" outlineLevel="3">
      <c r="A383" s="108" t="s">
        <v>474</v>
      </c>
      <c r="B383" s="109" t="s">
        <v>387</v>
      </c>
      <c r="C383" s="109" t="s">
        <v>1</v>
      </c>
      <c r="D383" s="109" t="s">
        <v>3</v>
      </c>
      <c r="E383" s="109" t="s">
        <v>3</v>
      </c>
      <c r="F383" s="110">
        <f>F384</f>
        <v>120000</v>
      </c>
      <c r="G383" s="110">
        <f>G384</f>
        <v>120000</v>
      </c>
      <c r="I383" s="125">
        <v>120000</v>
      </c>
      <c r="J383" s="125">
        <v>120000</v>
      </c>
      <c r="L383" s="125">
        <f t="shared" si="17"/>
        <v>0</v>
      </c>
      <c r="M383" s="125">
        <f t="shared" si="18"/>
        <v>0</v>
      </c>
    </row>
    <row r="384" spans="1:13" ht="78.75" outlineLevel="4">
      <c r="A384" s="108" t="s">
        <v>696</v>
      </c>
      <c r="B384" s="109" t="s">
        <v>387</v>
      </c>
      <c r="C384" s="109" t="s">
        <v>70</v>
      </c>
      <c r="D384" s="109" t="s">
        <v>3</v>
      </c>
      <c r="E384" s="109" t="s">
        <v>3</v>
      </c>
      <c r="F384" s="110">
        <f>F385</f>
        <v>120000</v>
      </c>
      <c r="G384" s="110">
        <f>G385</f>
        <v>120000</v>
      </c>
      <c r="I384" s="125">
        <v>120000</v>
      </c>
      <c r="J384" s="125">
        <v>120000</v>
      </c>
      <c r="L384" s="125">
        <f t="shared" si="17"/>
        <v>0</v>
      </c>
      <c r="M384" s="125">
        <f t="shared" si="18"/>
        <v>0</v>
      </c>
    </row>
    <row r="385" spans="1:13" ht="31.5" outlineLevel="5">
      <c r="A385" s="108" t="s">
        <v>687</v>
      </c>
      <c r="B385" s="109" t="s">
        <v>387</v>
      </c>
      <c r="C385" s="109" t="s">
        <v>70</v>
      </c>
      <c r="D385" s="109" t="s">
        <v>187</v>
      </c>
      <c r="E385" s="109" t="s">
        <v>14</v>
      </c>
      <c r="F385" s="110">
        <f>Приложение_6!F884</f>
        <v>120000</v>
      </c>
      <c r="G385" s="110">
        <f>F385</f>
        <v>120000</v>
      </c>
      <c r="I385" s="125">
        <v>120000</v>
      </c>
      <c r="J385" s="125">
        <v>120000</v>
      </c>
      <c r="L385" s="125">
        <f t="shared" si="17"/>
        <v>0</v>
      </c>
      <c r="M385" s="125">
        <f t="shared" si="18"/>
        <v>0</v>
      </c>
    </row>
    <row r="386" spans="1:13" ht="94.5" outlineLevel="2">
      <c r="A386" s="108" t="s">
        <v>592</v>
      </c>
      <c r="B386" s="109" t="s">
        <v>350</v>
      </c>
      <c r="C386" s="109" t="s">
        <v>1</v>
      </c>
      <c r="D386" s="109" t="s">
        <v>3</v>
      </c>
      <c r="E386" s="109" t="s">
        <v>3</v>
      </c>
      <c r="F386" s="110">
        <f>F387+F390+F393</f>
        <v>5282577.76</v>
      </c>
      <c r="G386" s="110">
        <f>G387+G390+G393</f>
        <v>34010.51</v>
      </c>
      <c r="I386" s="125">
        <v>5248567.25</v>
      </c>
      <c r="L386" s="125">
        <f t="shared" si="17"/>
        <v>-34010.50999999978</v>
      </c>
      <c r="M386" s="125">
        <f t="shared" si="18"/>
        <v>-34010.51</v>
      </c>
    </row>
    <row r="387" spans="1:13" ht="126" outlineLevel="3">
      <c r="A387" s="108" t="s">
        <v>443</v>
      </c>
      <c r="B387" s="109" t="s">
        <v>351</v>
      </c>
      <c r="C387" s="109" t="s">
        <v>1</v>
      </c>
      <c r="D387" s="109" t="s">
        <v>3</v>
      </c>
      <c r="E387" s="109" t="s">
        <v>3</v>
      </c>
      <c r="F387" s="110">
        <f>F388</f>
        <v>4804616.25</v>
      </c>
      <c r="G387" s="110"/>
      <c r="I387" s="125">
        <v>5248567.25</v>
      </c>
      <c r="L387" s="125">
        <f t="shared" si="17"/>
        <v>443951</v>
      </c>
      <c r="M387" s="125">
        <f t="shared" si="18"/>
        <v>0</v>
      </c>
    </row>
    <row r="388" spans="1:13" ht="78.75" outlineLevel="4">
      <c r="A388" s="108" t="s">
        <v>696</v>
      </c>
      <c r="B388" s="109" t="s">
        <v>351</v>
      </c>
      <c r="C388" s="109" t="s">
        <v>70</v>
      </c>
      <c r="D388" s="109" t="s">
        <v>3</v>
      </c>
      <c r="E388" s="109" t="s">
        <v>3</v>
      </c>
      <c r="F388" s="110">
        <f>F389</f>
        <v>4804616.25</v>
      </c>
      <c r="G388" s="110"/>
      <c r="I388" s="125">
        <v>5248567.25</v>
      </c>
      <c r="L388" s="125">
        <f t="shared" si="17"/>
        <v>443951</v>
      </c>
      <c r="M388" s="125">
        <f t="shared" si="18"/>
        <v>0</v>
      </c>
    </row>
    <row r="389" spans="1:13" ht="15.75" outlineLevel="5">
      <c r="A389" s="108" t="s">
        <v>685</v>
      </c>
      <c r="B389" s="109" t="s">
        <v>351</v>
      </c>
      <c r="C389" s="109" t="s">
        <v>70</v>
      </c>
      <c r="D389" s="109" t="s">
        <v>165</v>
      </c>
      <c r="E389" s="109" t="s">
        <v>2</v>
      </c>
      <c r="F389" s="110">
        <f>Приложение_6!F800</f>
        <v>4804616.25</v>
      </c>
      <c r="G389" s="110"/>
      <c r="I389" s="125">
        <v>5248567.25</v>
      </c>
      <c r="L389" s="125">
        <f t="shared" si="17"/>
        <v>443951</v>
      </c>
      <c r="M389" s="125">
        <f t="shared" si="18"/>
        <v>0</v>
      </c>
    </row>
    <row r="390" spans="1:13" ht="141.75" outlineLevel="5">
      <c r="A390" s="108" t="s">
        <v>1256</v>
      </c>
      <c r="B390" s="109" t="s">
        <v>1257</v>
      </c>
      <c r="C390" s="109" t="s">
        <v>1</v>
      </c>
      <c r="D390" s="109" t="s">
        <v>3</v>
      </c>
      <c r="E390" s="109" t="s">
        <v>3</v>
      </c>
      <c r="F390" s="110">
        <f>F391</f>
        <v>443951</v>
      </c>
      <c r="G390" s="110"/>
      <c r="I390" s="125"/>
      <c r="L390" s="125"/>
      <c r="M390" s="125"/>
    </row>
    <row r="391" spans="1:13" ht="78.75" outlineLevel="5">
      <c r="A391" s="108" t="s">
        <v>696</v>
      </c>
      <c r="B391" s="109" t="s">
        <v>1257</v>
      </c>
      <c r="C391" s="109" t="s">
        <v>70</v>
      </c>
      <c r="D391" s="109" t="s">
        <v>3</v>
      </c>
      <c r="E391" s="109" t="s">
        <v>3</v>
      </c>
      <c r="F391" s="110">
        <f>F392</f>
        <v>443951</v>
      </c>
      <c r="G391" s="110"/>
      <c r="I391" s="125"/>
      <c r="L391" s="125"/>
      <c r="M391" s="125"/>
    </row>
    <row r="392" spans="1:13" ht="15.75" outlineLevel="5">
      <c r="A392" s="108" t="s">
        <v>685</v>
      </c>
      <c r="B392" s="109" t="s">
        <v>1257</v>
      </c>
      <c r="C392" s="109" t="s">
        <v>70</v>
      </c>
      <c r="D392" s="109" t="s">
        <v>165</v>
      </c>
      <c r="E392" s="109" t="s">
        <v>2</v>
      </c>
      <c r="F392" s="110">
        <f>Приложение_6!F802</f>
        <v>443951</v>
      </c>
      <c r="G392" s="110"/>
      <c r="I392" s="125"/>
      <c r="L392" s="125"/>
      <c r="M392" s="125"/>
    </row>
    <row r="393" spans="1:13" ht="132" customHeight="1" outlineLevel="5">
      <c r="A393" s="108" t="s">
        <v>1256</v>
      </c>
      <c r="B393" s="77" t="s">
        <v>1258</v>
      </c>
      <c r="C393" s="109" t="s">
        <v>1</v>
      </c>
      <c r="D393" s="109" t="s">
        <v>3</v>
      </c>
      <c r="E393" s="109" t="s">
        <v>3</v>
      </c>
      <c r="F393" s="110">
        <f>F394</f>
        <v>34010.51</v>
      </c>
      <c r="G393" s="110">
        <f>G394</f>
        <v>34010.51</v>
      </c>
      <c r="I393" s="125"/>
      <c r="L393" s="125"/>
      <c r="M393" s="125"/>
    </row>
    <row r="394" spans="1:13" ht="78.75" outlineLevel="5">
      <c r="A394" s="108" t="s">
        <v>696</v>
      </c>
      <c r="B394" s="77" t="s">
        <v>1258</v>
      </c>
      <c r="C394" s="109" t="s">
        <v>70</v>
      </c>
      <c r="D394" s="109" t="s">
        <v>3</v>
      </c>
      <c r="E394" s="109" t="s">
        <v>3</v>
      </c>
      <c r="F394" s="110">
        <f>F395</f>
        <v>34010.51</v>
      </c>
      <c r="G394" s="110">
        <f>F394</f>
        <v>34010.51</v>
      </c>
      <c r="I394" s="125"/>
      <c r="L394" s="125"/>
      <c r="M394" s="125"/>
    </row>
    <row r="395" spans="1:13" ht="15.75" outlineLevel="5">
      <c r="A395" s="108" t="s">
        <v>685</v>
      </c>
      <c r="B395" s="77" t="s">
        <v>1258</v>
      </c>
      <c r="C395" s="109" t="s">
        <v>70</v>
      </c>
      <c r="D395" s="109" t="s">
        <v>165</v>
      </c>
      <c r="E395" s="109" t="s">
        <v>2</v>
      </c>
      <c r="F395" s="110">
        <f>Приложение_6!F804</f>
        <v>34010.51</v>
      </c>
      <c r="G395" s="110"/>
      <c r="I395" s="125"/>
      <c r="L395" s="125"/>
      <c r="M395" s="125"/>
    </row>
    <row r="396" spans="1:13" ht="47.25" outlineLevel="2">
      <c r="A396" s="108" t="s">
        <v>593</v>
      </c>
      <c r="B396" s="109" t="s">
        <v>352</v>
      </c>
      <c r="C396" s="109" t="s">
        <v>1</v>
      </c>
      <c r="D396" s="109" t="s">
        <v>3</v>
      </c>
      <c r="E396" s="109" t="s">
        <v>3</v>
      </c>
      <c r="F396" s="110">
        <f>F397</f>
        <v>4142944.31</v>
      </c>
      <c r="G396" s="110"/>
      <c r="I396" s="125">
        <v>4142944.31</v>
      </c>
      <c r="L396" s="125">
        <f t="shared" si="17"/>
        <v>0</v>
      </c>
      <c r="M396" s="125">
        <f t="shared" si="18"/>
        <v>0</v>
      </c>
    </row>
    <row r="397" spans="1:13" ht="126" outlineLevel="3">
      <c r="A397" s="108" t="s">
        <v>443</v>
      </c>
      <c r="B397" s="109" t="s">
        <v>353</v>
      </c>
      <c r="C397" s="109" t="s">
        <v>1</v>
      </c>
      <c r="D397" s="109" t="s">
        <v>3</v>
      </c>
      <c r="E397" s="109" t="s">
        <v>3</v>
      </c>
      <c r="F397" s="110">
        <f>F398</f>
        <v>4142944.31</v>
      </c>
      <c r="G397" s="110"/>
      <c r="I397" s="125">
        <v>4142944.31</v>
      </c>
      <c r="L397" s="125">
        <f t="shared" si="17"/>
        <v>0</v>
      </c>
      <c r="M397" s="125">
        <f t="shared" si="18"/>
        <v>0</v>
      </c>
    </row>
    <row r="398" spans="1:13" ht="78.75" outlineLevel="4">
      <c r="A398" s="108" t="s">
        <v>696</v>
      </c>
      <c r="B398" s="109" t="s">
        <v>353</v>
      </c>
      <c r="C398" s="109" t="s">
        <v>70</v>
      </c>
      <c r="D398" s="109" t="s">
        <v>3</v>
      </c>
      <c r="E398" s="109" t="s">
        <v>3</v>
      </c>
      <c r="F398" s="110">
        <f>F399</f>
        <v>4142944.31</v>
      </c>
      <c r="G398" s="110"/>
      <c r="I398" s="125">
        <v>4142944.31</v>
      </c>
      <c r="L398" s="125">
        <f t="shared" si="17"/>
        <v>0</v>
      </c>
      <c r="M398" s="125">
        <f t="shared" si="18"/>
        <v>0</v>
      </c>
    </row>
    <row r="399" spans="1:13" ht="15.75" outlineLevel="5">
      <c r="A399" s="108" t="s">
        <v>685</v>
      </c>
      <c r="B399" s="109" t="s">
        <v>353</v>
      </c>
      <c r="C399" s="109" t="s">
        <v>70</v>
      </c>
      <c r="D399" s="109" t="s">
        <v>165</v>
      </c>
      <c r="E399" s="109" t="s">
        <v>2</v>
      </c>
      <c r="F399" s="110">
        <f>Приложение_6!F807</f>
        <v>4142944.31</v>
      </c>
      <c r="G399" s="110"/>
      <c r="I399" s="125">
        <v>4142944.31</v>
      </c>
      <c r="L399" s="125">
        <f t="shared" si="17"/>
        <v>0</v>
      </c>
      <c r="M399" s="125">
        <f t="shared" si="18"/>
        <v>0</v>
      </c>
    </row>
    <row r="400" spans="1:13" ht="47.25" outlineLevel="2">
      <c r="A400" s="108" t="s">
        <v>594</v>
      </c>
      <c r="B400" s="109" t="s">
        <v>354</v>
      </c>
      <c r="C400" s="109" t="s">
        <v>1</v>
      </c>
      <c r="D400" s="109" t="s">
        <v>3</v>
      </c>
      <c r="E400" s="109" t="s">
        <v>3</v>
      </c>
      <c r="F400" s="110">
        <f>F401</f>
        <v>108507</v>
      </c>
      <c r="G400" s="110"/>
      <c r="I400" s="125">
        <v>108507</v>
      </c>
      <c r="L400" s="125">
        <f t="shared" si="17"/>
        <v>0</v>
      </c>
      <c r="M400" s="125">
        <f t="shared" si="18"/>
        <v>0</v>
      </c>
    </row>
    <row r="401" spans="1:13" ht="126" outlineLevel="3">
      <c r="A401" s="108" t="s">
        <v>443</v>
      </c>
      <c r="B401" s="109" t="s">
        <v>355</v>
      </c>
      <c r="C401" s="109" t="s">
        <v>1</v>
      </c>
      <c r="D401" s="109" t="s">
        <v>3</v>
      </c>
      <c r="E401" s="109" t="s">
        <v>3</v>
      </c>
      <c r="F401" s="110">
        <f>F402</f>
        <v>108507</v>
      </c>
      <c r="G401" s="110"/>
      <c r="I401" s="125">
        <v>108507</v>
      </c>
      <c r="L401" s="125">
        <f t="shared" si="17"/>
        <v>0</v>
      </c>
      <c r="M401" s="125">
        <f t="shared" si="18"/>
        <v>0</v>
      </c>
    </row>
    <row r="402" spans="1:13" ht="78.75" outlineLevel="4">
      <c r="A402" s="108" t="s">
        <v>696</v>
      </c>
      <c r="B402" s="109" t="s">
        <v>355</v>
      </c>
      <c r="C402" s="109" t="s">
        <v>70</v>
      </c>
      <c r="D402" s="109" t="s">
        <v>3</v>
      </c>
      <c r="E402" s="109" t="s">
        <v>3</v>
      </c>
      <c r="F402" s="110">
        <f>F403</f>
        <v>108507</v>
      </c>
      <c r="G402" s="110"/>
      <c r="I402" s="125">
        <v>108507</v>
      </c>
      <c r="L402" s="125">
        <f t="shared" si="17"/>
        <v>0</v>
      </c>
      <c r="M402" s="125">
        <f t="shared" si="18"/>
        <v>0</v>
      </c>
    </row>
    <row r="403" spans="1:13" ht="15.75" outlineLevel="5">
      <c r="A403" s="108" t="s">
        <v>685</v>
      </c>
      <c r="B403" s="109" t="s">
        <v>355</v>
      </c>
      <c r="C403" s="109" t="s">
        <v>70</v>
      </c>
      <c r="D403" s="109" t="s">
        <v>165</v>
      </c>
      <c r="E403" s="109" t="s">
        <v>2</v>
      </c>
      <c r="F403" s="110">
        <f>Приложение_6!F810</f>
        <v>108507</v>
      </c>
      <c r="G403" s="110"/>
      <c r="I403" s="125">
        <v>108507</v>
      </c>
      <c r="L403" s="125">
        <f t="shared" si="17"/>
        <v>0</v>
      </c>
      <c r="M403" s="125">
        <f t="shared" si="18"/>
        <v>0</v>
      </c>
    </row>
    <row r="404" spans="1:13" ht="31.5" outlineLevel="1">
      <c r="A404" s="115" t="s">
        <v>651</v>
      </c>
      <c r="B404" s="116" t="s">
        <v>356</v>
      </c>
      <c r="C404" s="116" t="s">
        <v>1</v>
      </c>
      <c r="D404" s="116" t="s">
        <v>3</v>
      </c>
      <c r="E404" s="116" t="s">
        <v>3</v>
      </c>
      <c r="F404" s="117">
        <f>F405+F409+F419+F429</f>
        <v>15626673.809999999</v>
      </c>
      <c r="G404" s="117">
        <f>G405+G409+G419+G429</f>
        <v>1316946.22</v>
      </c>
      <c r="I404" s="125">
        <v>15626673.81</v>
      </c>
      <c r="J404" s="125">
        <v>1316946.22</v>
      </c>
      <c r="L404" s="125">
        <f t="shared" si="17"/>
        <v>0</v>
      </c>
      <c r="M404" s="125">
        <f t="shared" si="18"/>
        <v>0</v>
      </c>
    </row>
    <row r="405" spans="1:13" ht="94.5" outlineLevel="2">
      <c r="A405" s="108" t="s">
        <v>595</v>
      </c>
      <c r="B405" s="109" t="s">
        <v>357</v>
      </c>
      <c r="C405" s="109" t="s">
        <v>1</v>
      </c>
      <c r="D405" s="109" t="s">
        <v>3</v>
      </c>
      <c r="E405" s="109" t="s">
        <v>3</v>
      </c>
      <c r="F405" s="110">
        <f>F406</f>
        <v>403464</v>
      </c>
      <c r="G405" s="110"/>
      <c r="I405" s="125">
        <v>403464</v>
      </c>
      <c r="L405" s="125">
        <f t="shared" si="17"/>
        <v>0</v>
      </c>
      <c r="M405" s="125">
        <f t="shared" si="18"/>
        <v>0</v>
      </c>
    </row>
    <row r="406" spans="1:13" ht="126" outlineLevel="3">
      <c r="A406" s="108" t="s">
        <v>443</v>
      </c>
      <c r="B406" s="109" t="s">
        <v>358</v>
      </c>
      <c r="C406" s="109" t="s">
        <v>1</v>
      </c>
      <c r="D406" s="109" t="s">
        <v>3</v>
      </c>
      <c r="E406" s="109" t="s">
        <v>3</v>
      </c>
      <c r="F406" s="110">
        <f>F407</f>
        <v>403464</v>
      </c>
      <c r="G406" s="110"/>
      <c r="I406" s="125">
        <v>403464</v>
      </c>
      <c r="L406" s="125">
        <f t="shared" si="17"/>
        <v>0</v>
      </c>
      <c r="M406" s="125">
        <f t="shared" si="18"/>
        <v>0</v>
      </c>
    </row>
    <row r="407" spans="1:13" ht="78.75" outlineLevel="4">
      <c r="A407" s="108" t="s">
        <v>696</v>
      </c>
      <c r="B407" s="109" t="s">
        <v>358</v>
      </c>
      <c r="C407" s="109" t="s">
        <v>70</v>
      </c>
      <c r="D407" s="109" t="s">
        <v>3</v>
      </c>
      <c r="E407" s="109" t="s">
        <v>3</v>
      </c>
      <c r="F407" s="110">
        <f>F408</f>
        <v>403464</v>
      </c>
      <c r="G407" s="110"/>
      <c r="I407" s="125">
        <v>403464</v>
      </c>
      <c r="L407" s="125">
        <f t="shared" si="17"/>
        <v>0</v>
      </c>
      <c r="M407" s="125">
        <f t="shared" si="18"/>
        <v>0</v>
      </c>
    </row>
    <row r="408" spans="1:13" ht="15.75" outlineLevel="5">
      <c r="A408" s="108" t="s">
        <v>685</v>
      </c>
      <c r="B408" s="109" t="s">
        <v>358</v>
      </c>
      <c r="C408" s="109" t="s">
        <v>70</v>
      </c>
      <c r="D408" s="109" t="s">
        <v>165</v>
      </c>
      <c r="E408" s="109" t="s">
        <v>2</v>
      </c>
      <c r="F408" s="110">
        <f>Приложение_6!F814</f>
        <v>403464</v>
      </c>
      <c r="G408" s="110"/>
      <c r="I408" s="125">
        <v>403464</v>
      </c>
      <c r="L408" s="125">
        <f t="shared" si="17"/>
        <v>0</v>
      </c>
      <c r="M408" s="125">
        <f t="shared" si="18"/>
        <v>0</v>
      </c>
    </row>
    <row r="409" spans="1:13" ht="47.25" outlineLevel="2">
      <c r="A409" s="108" t="s">
        <v>596</v>
      </c>
      <c r="B409" s="109" t="s">
        <v>359</v>
      </c>
      <c r="C409" s="109" t="s">
        <v>1</v>
      </c>
      <c r="D409" s="109" t="s">
        <v>3</v>
      </c>
      <c r="E409" s="109" t="s">
        <v>3</v>
      </c>
      <c r="F409" s="110">
        <f>F410+F413+F416</f>
        <v>10653011.069999998</v>
      </c>
      <c r="G409" s="110">
        <f>G415</f>
        <v>940214.59</v>
      </c>
      <c r="I409" s="125">
        <v>10653011.07</v>
      </c>
      <c r="J409" s="125">
        <v>940214.59</v>
      </c>
      <c r="L409" s="125">
        <f t="shared" si="17"/>
        <v>0</v>
      </c>
      <c r="M409" s="125">
        <f t="shared" si="18"/>
        <v>0</v>
      </c>
    </row>
    <row r="410" spans="1:13" ht="126" outlineLevel="3">
      <c r="A410" s="108" t="s">
        <v>443</v>
      </c>
      <c r="B410" s="109" t="s">
        <v>360</v>
      </c>
      <c r="C410" s="109" t="s">
        <v>1</v>
      </c>
      <c r="D410" s="109" t="s">
        <v>3</v>
      </c>
      <c r="E410" s="109" t="s">
        <v>3</v>
      </c>
      <c r="F410" s="110">
        <f>F411</f>
        <v>9438953.53</v>
      </c>
      <c r="G410" s="110"/>
      <c r="I410" s="125">
        <v>9438953.53</v>
      </c>
      <c r="L410" s="125">
        <f t="shared" si="17"/>
        <v>0</v>
      </c>
      <c r="M410" s="125">
        <f t="shared" si="18"/>
        <v>0</v>
      </c>
    </row>
    <row r="411" spans="1:13" ht="78.75" outlineLevel="4">
      <c r="A411" s="108" t="s">
        <v>696</v>
      </c>
      <c r="B411" s="109" t="s">
        <v>360</v>
      </c>
      <c r="C411" s="109" t="s">
        <v>70</v>
      </c>
      <c r="D411" s="109" t="s">
        <v>3</v>
      </c>
      <c r="E411" s="109" t="s">
        <v>3</v>
      </c>
      <c r="F411" s="110">
        <f>F412</f>
        <v>9438953.53</v>
      </c>
      <c r="G411" s="110"/>
      <c r="I411" s="125">
        <v>9438953.53</v>
      </c>
      <c r="L411" s="125">
        <f t="shared" si="17"/>
        <v>0</v>
      </c>
      <c r="M411" s="125">
        <f t="shared" si="18"/>
        <v>0</v>
      </c>
    </row>
    <row r="412" spans="1:13" ht="15.75" outlineLevel="5">
      <c r="A412" s="108" t="s">
        <v>685</v>
      </c>
      <c r="B412" s="109" t="s">
        <v>360</v>
      </c>
      <c r="C412" s="109" t="s">
        <v>70</v>
      </c>
      <c r="D412" s="109" t="s">
        <v>165</v>
      </c>
      <c r="E412" s="109" t="s">
        <v>2</v>
      </c>
      <c r="F412" s="110">
        <f>Приложение_6!F817</f>
        <v>9438953.53</v>
      </c>
      <c r="G412" s="110"/>
      <c r="I412" s="125">
        <v>9438953.53</v>
      </c>
      <c r="L412" s="125">
        <f t="shared" si="17"/>
        <v>0</v>
      </c>
      <c r="M412" s="125">
        <f t="shared" si="18"/>
        <v>0</v>
      </c>
    </row>
    <row r="413" spans="1:13" ht="126" outlineLevel="3">
      <c r="A413" s="108" t="s">
        <v>465</v>
      </c>
      <c r="B413" s="109" t="s">
        <v>361</v>
      </c>
      <c r="C413" s="109" t="s">
        <v>1</v>
      </c>
      <c r="D413" s="109" t="s">
        <v>3</v>
      </c>
      <c r="E413" s="109" t="s">
        <v>3</v>
      </c>
      <c r="F413" s="110">
        <f>F414</f>
        <v>940214.59</v>
      </c>
      <c r="G413" s="110">
        <f>G414</f>
        <v>940214.59</v>
      </c>
      <c r="I413" s="125">
        <v>940214.59</v>
      </c>
      <c r="J413" s="125">
        <v>940214.59</v>
      </c>
      <c r="L413" s="125">
        <f t="shared" si="17"/>
        <v>0</v>
      </c>
      <c r="M413" s="125">
        <f t="shared" si="18"/>
        <v>0</v>
      </c>
    </row>
    <row r="414" spans="1:13" ht="78.75" outlineLevel="4">
      <c r="A414" s="108" t="s">
        <v>696</v>
      </c>
      <c r="B414" s="109" t="s">
        <v>361</v>
      </c>
      <c r="C414" s="109" t="s">
        <v>70</v>
      </c>
      <c r="D414" s="109" t="s">
        <v>3</v>
      </c>
      <c r="E414" s="109" t="s">
        <v>3</v>
      </c>
      <c r="F414" s="110">
        <f>F415</f>
        <v>940214.59</v>
      </c>
      <c r="G414" s="110">
        <f>G415</f>
        <v>940214.59</v>
      </c>
      <c r="I414" s="125">
        <v>940214.59</v>
      </c>
      <c r="J414" s="125">
        <v>940214.59</v>
      </c>
      <c r="L414" s="125">
        <f t="shared" si="17"/>
        <v>0</v>
      </c>
      <c r="M414" s="125">
        <f t="shared" si="18"/>
        <v>0</v>
      </c>
    </row>
    <row r="415" spans="1:13" ht="15.75" outlineLevel="5">
      <c r="A415" s="108" t="s">
        <v>685</v>
      </c>
      <c r="B415" s="109" t="s">
        <v>361</v>
      </c>
      <c r="C415" s="109" t="s">
        <v>70</v>
      </c>
      <c r="D415" s="109" t="s">
        <v>165</v>
      </c>
      <c r="E415" s="109" t="s">
        <v>2</v>
      </c>
      <c r="F415" s="110">
        <f>Приложение_6!F819</f>
        <v>940214.59</v>
      </c>
      <c r="G415" s="110">
        <f>F415</f>
        <v>940214.59</v>
      </c>
      <c r="I415" s="125">
        <v>940214.59</v>
      </c>
      <c r="J415" s="125">
        <v>940214.59</v>
      </c>
      <c r="L415" s="125">
        <f t="shared" si="17"/>
        <v>0</v>
      </c>
      <c r="M415" s="125">
        <f t="shared" si="18"/>
        <v>0</v>
      </c>
    </row>
    <row r="416" spans="1:13" ht="126" outlineLevel="3">
      <c r="A416" s="108" t="s">
        <v>465</v>
      </c>
      <c r="B416" s="109" t="s">
        <v>362</v>
      </c>
      <c r="C416" s="109" t="s">
        <v>1</v>
      </c>
      <c r="D416" s="109" t="s">
        <v>3</v>
      </c>
      <c r="E416" s="109" t="s">
        <v>3</v>
      </c>
      <c r="F416" s="110">
        <f>F417</f>
        <v>273842.95</v>
      </c>
      <c r="G416" s="110"/>
      <c r="I416" s="125">
        <v>273842.95</v>
      </c>
      <c r="L416" s="125">
        <f t="shared" si="17"/>
        <v>0</v>
      </c>
      <c r="M416" s="125">
        <f t="shared" si="18"/>
        <v>0</v>
      </c>
    </row>
    <row r="417" spans="1:13" ht="78.75" outlineLevel="4">
      <c r="A417" s="108" t="s">
        <v>696</v>
      </c>
      <c r="B417" s="109" t="s">
        <v>362</v>
      </c>
      <c r="C417" s="109" t="s">
        <v>70</v>
      </c>
      <c r="D417" s="109" t="s">
        <v>3</v>
      </c>
      <c r="E417" s="109" t="s">
        <v>3</v>
      </c>
      <c r="F417" s="110">
        <f>F418</f>
        <v>273842.95</v>
      </c>
      <c r="G417" s="110"/>
      <c r="I417" s="125">
        <v>273842.95</v>
      </c>
      <c r="L417" s="125">
        <f t="shared" si="17"/>
        <v>0</v>
      </c>
      <c r="M417" s="125">
        <f t="shared" si="18"/>
        <v>0</v>
      </c>
    </row>
    <row r="418" spans="1:13" ht="15.75" outlineLevel="5">
      <c r="A418" s="108" t="s">
        <v>685</v>
      </c>
      <c r="B418" s="109" t="s">
        <v>362</v>
      </c>
      <c r="C418" s="109" t="s">
        <v>70</v>
      </c>
      <c r="D418" s="109" t="s">
        <v>165</v>
      </c>
      <c r="E418" s="109" t="s">
        <v>2</v>
      </c>
      <c r="F418" s="110">
        <f>Приложение_6!F821</f>
        <v>273842.95</v>
      </c>
      <c r="G418" s="110"/>
      <c r="I418" s="125">
        <v>273842.95</v>
      </c>
      <c r="L418" s="125">
        <f t="shared" si="17"/>
        <v>0</v>
      </c>
      <c r="M418" s="125">
        <f t="shared" si="18"/>
        <v>0</v>
      </c>
    </row>
    <row r="419" spans="1:13" ht="63" outlineLevel="2">
      <c r="A419" s="108" t="s">
        <v>597</v>
      </c>
      <c r="B419" s="109" t="s">
        <v>363</v>
      </c>
      <c r="C419" s="109" t="s">
        <v>1</v>
      </c>
      <c r="D419" s="109" t="s">
        <v>3</v>
      </c>
      <c r="E419" s="109" t="s">
        <v>3</v>
      </c>
      <c r="F419" s="110">
        <f>F420+F423+F426</f>
        <v>4226312.74</v>
      </c>
      <c r="G419" s="110">
        <f>G425</f>
        <v>376731.63</v>
      </c>
      <c r="I419" s="125">
        <v>4226312.74</v>
      </c>
      <c r="J419" s="125">
        <v>376731.63</v>
      </c>
      <c r="L419" s="125">
        <f t="shared" si="17"/>
        <v>0</v>
      </c>
      <c r="M419" s="125">
        <f t="shared" si="18"/>
        <v>0</v>
      </c>
    </row>
    <row r="420" spans="1:13" ht="126" outlineLevel="3">
      <c r="A420" s="108" t="s">
        <v>443</v>
      </c>
      <c r="B420" s="109" t="s">
        <v>364</v>
      </c>
      <c r="C420" s="109" t="s">
        <v>1</v>
      </c>
      <c r="D420" s="109" t="s">
        <v>3</v>
      </c>
      <c r="E420" s="109" t="s">
        <v>3</v>
      </c>
      <c r="F420" s="110">
        <f>F421</f>
        <v>3757081.49</v>
      </c>
      <c r="G420" s="110"/>
      <c r="I420" s="125">
        <v>3757081.49</v>
      </c>
      <c r="L420" s="125">
        <f t="shared" si="17"/>
        <v>0</v>
      </c>
      <c r="M420" s="125">
        <f t="shared" si="18"/>
        <v>0</v>
      </c>
    </row>
    <row r="421" spans="1:13" ht="78.75" outlineLevel="4">
      <c r="A421" s="108" t="s">
        <v>696</v>
      </c>
      <c r="B421" s="109" t="s">
        <v>364</v>
      </c>
      <c r="C421" s="109" t="s">
        <v>70</v>
      </c>
      <c r="D421" s="109" t="s">
        <v>3</v>
      </c>
      <c r="E421" s="109" t="s">
        <v>3</v>
      </c>
      <c r="F421" s="110">
        <f>F422</f>
        <v>3757081.49</v>
      </c>
      <c r="G421" s="110"/>
      <c r="I421" s="125">
        <v>3757081.49</v>
      </c>
      <c r="L421" s="125">
        <f t="shared" si="17"/>
        <v>0</v>
      </c>
      <c r="M421" s="125">
        <f t="shared" si="18"/>
        <v>0</v>
      </c>
    </row>
    <row r="422" spans="1:13" ht="15.75" outlineLevel="5">
      <c r="A422" s="108" t="s">
        <v>685</v>
      </c>
      <c r="B422" s="109" t="s">
        <v>364</v>
      </c>
      <c r="C422" s="109" t="s">
        <v>70</v>
      </c>
      <c r="D422" s="109" t="s">
        <v>165</v>
      </c>
      <c r="E422" s="109" t="s">
        <v>2</v>
      </c>
      <c r="F422" s="110">
        <f>Приложение_6!F824</f>
        <v>3757081.49</v>
      </c>
      <c r="G422" s="110"/>
      <c r="I422" s="125">
        <v>3757081.49</v>
      </c>
      <c r="L422" s="125">
        <f t="shared" si="17"/>
        <v>0</v>
      </c>
      <c r="M422" s="125">
        <f t="shared" si="18"/>
        <v>0</v>
      </c>
    </row>
    <row r="423" spans="1:13" ht="126" outlineLevel="3">
      <c r="A423" s="108" t="s">
        <v>465</v>
      </c>
      <c r="B423" s="109" t="s">
        <v>365</v>
      </c>
      <c r="C423" s="109" t="s">
        <v>1</v>
      </c>
      <c r="D423" s="109" t="s">
        <v>3</v>
      </c>
      <c r="E423" s="109" t="s">
        <v>3</v>
      </c>
      <c r="F423" s="110">
        <f>F424</f>
        <v>376731.63</v>
      </c>
      <c r="G423" s="110">
        <f>G424</f>
        <v>376731.63</v>
      </c>
      <c r="I423" s="125">
        <v>376731.63</v>
      </c>
      <c r="J423" s="125">
        <v>376731.63</v>
      </c>
      <c r="L423" s="125">
        <f t="shared" si="17"/>
        <v>0</v>
      </c>
      <c r="M423" s="125">
        <f t="shared" si="18"/>
        <v>0</v>
      </c>
    </row>
    <row r="424" spans="1:13" ht="78.75" outlineLevel="4">
      <c r="A424" s="108" t="s">
        <v>696</v>
      </c>
      <c r="B424" s="109" t="s">
        <v>365</v>
      </c>
      <c r="C424" s="109" t="s">
        <v>70</v>
      </c>
      <c r="D424" s="109" t="s">
        <v>3</v>
      </c>
      <c r="E424" s="109" t="s">
        <v>3</v>
      </c>
      <c r="F424" s="110">
        <f>F425</f>
        <v>376731.63</v>
      </c>
      <c r="G424" s="110">
        <f>G425</f>
        <v>376731.63</v>
      </c>
      <c r="I424" s="125">
        <v>376731.63</v>
      </c>
      <c r="J424" s="125">
        <v>376731.63</v>
      </c>
      <c r="L424" s="125">
        <f t="shared" si="17"/>
        <v>0</v>
      </c>
      <c r="M424" s="125">
        <f t="shared" si="18"/>
        <v>0</v>
      </c>
    </row>
    <row r="425" spans="1:13" ht="15.75" outlineLevel="5">
      <c r="A425" s="108" t="s">
        <v>685</v>
      </c>
      <c r="B425" s="109" t="s">
        <v>365</v>
      </c>
      <c r="C425" s="109" t="s">
        <v>70</v>
      </c>
      <c r="D425" s="109" t="s">
        <v>165</v>
      </c>
      <c r="E425" s="109" t="s">
        <v>2</v>
      </c>
      <c r="F425" s="110">
        <f>Приложение_6!F826</f>
        <v>376731.63</v>
      </c>
      <c r="G425" s="110">
        <f>F425</f>
        <v>376731.63</v>
      </c>
      <c r="I425" s="125">
        <v>376731.63</v>
      </c>
      <c r="J425" s="125">
        <v>376731.63</v>
      </c>
      <c r="L425" s="125">
        <f t="shared" si="17"/>
        <v>0</v>
      </c>
      <c r="M425" s="125">
        <f t="shared" si="18"/>
        <v>0</v>
      </c>
    </row>
    <row r="426" spans="1:13" ht="126" outlineLevel="3">
      <c r="A426" s="108" t="s">
        <v>465</v>
      </c>
      <c r="B426" s="109" t="s">
        <v>366</v>
      </c>
      <c r="C426" s="109" t="s">
        <v>1</v>
      </c>
      <c r="D426" s="109" t="s">
        <v>3</v>
      </c>
      <c r="E426" s="109" t="s">
        <v>3</v>
      </c>
      <c r="F426" s="110">
        <f>F427</f>
        <v>92499.62</v>
      </c>
      <c r="G426" s="110"/>
      <c r="I426" s="125">
        <v>92499.62</v>
      </c>
      <c r="L426" s="125">
        <f t="shared" si="17"/>
        <v>0</v>
      </c>
      <c r="M426" s="125">
        <f t="shared" si="18"/>
        <v>0</v>
      </c>
    </row>
    <row r="427" spans="1:13" ht="78.75" outlineLevel="4">
      <c r="A427" s="108" t="s">
        <v>696</v>
      </c>
      <c r="B427" s="109" t="s">
        <v>366</v>
      </c>
      <c r="C427" s="109" t="s">
        <v>70</v>
      </c>
      <c r="D427" s="109" t="s">
        <v>3</v>
      </c>
      <c r="E427" s="109" t="s">
        <v>3</v>
      </c>
      <c r="F427" s="110">
        <f>F428</f>
        <v>92499.62</v>
      </c>
      <c r="G427" s="110"/>
      <c r="I427" s="125">
        <v>92499.62</v>
      </c>
      <c r="L427" s="125">
        <f aca="true" t="shared" si="19" ref="L427:L512">I427-F427</f>
        <v>0</v>
      </c>
      <c r="M427" s="125">
        <f aca="true" t="shared" si="20" ref="M427:M512">J427-G427</f>
        <v>0</v>
      </c>
    </row>
    <row r="428" spans="1:13" ht="15.75" outlineLevel="5">
      <c r="A428" s="108" t="s">
        <v>685</v>
      </c>
      <c r="B428" s="109" t="s">
        <v>366</v>
      </c>
      <c r="C428" s="109" t="s">
        <v>70</v>
      </c>
      <c r="D428" s="109" t="s">
        <v>165</v>
      </c>
      <c r="E428" s="109" t="s">
        <v>2</v>
      </c>
      <c r="F428" s="110">
        <f>Приложение_6!F828</f>
        <v>92499.62</v>
      </c>
      <c r="G428" s="110"/>
      <c r="I428" s="125">
        <v>92499.62</v>
      </c>
      <c r="L428" s="125">
        <f t="shared" si="19"/>
        <v>0</v>
      </c>
      <c r="M428" s="125">
        <f t="shared" si="20"/>
        <v>0</v>
      </c>
    </row>
    <row r="429" spans="1:13" ht="31.5" outlineLevel="2">
      <c r="A429" s="108" t="s">
        <v>562</v>
      </c>
      <c r="B429" s="109" t="s">
        <v>367</v>
      </c>
      <c r="C429" s="109" t="s">
        <v>1</v>
      </c>
      <c r="D429" s="109" t="s">
        <v>3</v>
      </c>
      <c r="E429" s="109" t="s">
        <v>3</v>
      </c>
      <c r="F429" s="110">
        <f>F430</f>
        <v>343886</v>
      </c>
      <c r="G429" s="110"/>
      <c r="I429" s="125">
        <v>343886</v>
      </c>
      <c r="L429" s="125">
        <f t="shared" si="19"/>
        <v>0</v>
      </c>
      <c r="M429" s="125">
        <f t="shared" si="20"/>
        <v>0</v>
      </c>
    </row>
    <row r="430" spans="1:13" ht="126" outlineLevel="3">
      <c r="A430" s="108" t="s">
        <v>432</v>
      </c>
      <c r="B430" s="109" t="s">
        <v>368</v>
      </c>
      <c r="C430" s="109" t="s">
        <v>1</v>
      </c>
      <c r="D430" s="109" t="s">
        <v>3</v>
      </c>
      <c r="E430" s="109" t="s">
        <v>3</v>
      </c>
      <c r="F430" s="110">
        <f>F431</f>
        <v>343886</v>
      </c>
      <c r="G430" s="110"/>
      <c r="I430" s="125">
        <v>343886</v>
      </c>
      <c r="L430" s="125">
        <f t="shared" si="19"/>
        <v>0</v>
      </c>
      <c r="M430" s="125">
        <f t="shared" si="20"/>
        <v>0</v>
      </c>
    </row>
    <row r="431" spans="1:13" ht="78.75" outlineLevel="4">
      <c r="A431" s="108" t="s">
        <v>696</v>
      </c>
      <c r="B431" s="109" t="s">
        <v>368</v>
      </c>
      <c r="C431" s="109" t="s">
        <v>70</v>
      </c>
      <c r="D431" s="109" t="s">
        <v>3</v>
      </c>
      <c r="E431" s="109" t="s">
        <v>3</v>
      </c>
      <c r="F431" s="110">
        <f>F432</f>
        <v>343886</v>
      </c>
      <c r="G431" s="110"/>
      <c r="I431" s="125">
        <v>343886</v>
      </c>
      <c r="L431" s="125">
        <f t="shared" si="19"/>
        <v>0</v>
      </c>
      <c r="M431" s="125">
        <f t="shared" si="20"/>
        <v>0</v>
      </c>
    </row>
    <row r="432" spans="1:13" ht="15.75" outlineLevel="5">
      <c r="A432" s="108" t="s">
        <v>685</v>
      </c>
      <c r="B432" s="109" t="s">
        <v>368</v>
      </c>
      <c r="C432" s="109" t="s">
        <v>70</v>
      </c>
      <c r="D432" s="109" t="s">
        <v>165</v>
      </c>
      <c r="E432" s="109" t="s">
        <v>2</v>
      </c>
      <c r="F432" s="110">
        <f>Приложение_6!F831</f>
        <v>343886</v>
      </c>
      <c r="G432" s="110"/>
      <c r="I432" s="125">
        <v>343886</v>
      </c>
      <c r="L432" s="125">
        <f t="shared" si="19"/>
        <v>0</v>
      </c>
      <c r="M432" s="125">
        <f t="shared" si="20"/>
        <v>0</v>
      </c>
    </row>
    <row r="433" spans="1:13" ht="110.25" outlineLevel="1">
      <c r="A433" s="115" t="s">
        <v>652</v>
      </c>
      <c r="B433" s="116" t="s">
        <v>369</v>
      </c>
      <c r="C433" s="116" t="s">
        <v>1</v>
      </c>
      <c r="D433" s="116" t="s">
        <v>3</v>
      </c>
      <c r="E433" s="116" t="s">
        <v>3</v>
      </c>
      <c r="F433" s="117">
        <f>F434</f>
        <v>20900918.44</v>
      </c>
      <c r="G433" s="117"/>
      <c r="I433" s="125">
        <v>1598226.92</v>
      </c>
      <c r="L433" s="125">
        <f t="shared" si="19"/>
        <v>-19302691.520000003</v>
      </c>
      <c r="M433" s="125">
        <f t="shared" si="20"/>
        <v>0</v>
      </c>
    </row>
    <row r="434" spans="1:13" ht="94.5" outlineLevel="2">
      <c r="A434" s="108" t="s">
        <v>598</v>
      </c>
      <c r="B434" s="109" t="s">
        <v>370</v>
      </c>
      <c r="C434" s="109" t="s">
        <v>1</v>
      </c>
      <c r="D434" s="109" t="s">
        <v>3</v>
      </c>
      <c r="E434" s="109" t="s">
        <v>3</v>
      </c>
      <c r="F434" s="110">
        <f>F435</f>
        <v>20900918.44</v>
      </c>
      <c r="G434" s="110"/>
      <c r="I434" s="125">
        <v>1598226.92</v>
      </c>
      <c r="L434" s="125">
        <f t="shared" si="19"/>
        <v>-19302691.520000003</v>
      </c>
      <c r="M434" s="125">
        <f t="shared" si="20"/>
        <v>0</v>
      </c>
    </row>
    <row r="435" spans="1:13" ht="63" outlineLevel="3">
      <c r="A435" s="108" t="s">
        <v>456</v>
      </c>
      <c r="B435" s="109" t="s">
        <v>371</v>
      </c>
      <c r="C435" s="109" t="s">
        <v>1</v>
      </c>
      <c r="D435" s="109" t="s">
        <v>3</v>
      </c>
      <c r="E435" s="109" t="s">
        <v>3</v>
      </c>
      <c r="F435" s="110">
        <f>F436</f>
        <v>20900918.44</v>
      </c>
      <c r="G435" s="110"/>
      <c r="I435" s="125">
        <v>1598226.92</v>
      </c>
      <c r="L435" s="125">
        <f t="shared" si="19"/>
        <v>-19302691.520000003</v>
      </c>
      <c r="M435" s="125">
        <f t="shared" si="20"/>
        <v>0</v>
      </c>
    </row>
    <row r="436" spans="1:13" ht="78.75" outlineLevel="4">
      <c r="A436" s="108" t="s">
        <v>696</v>
      </c>
      <c r="B436" s="109" t="s">
        <v>371</v>
      </c>
      <c r="C436" s="109" t="s">
        <v>70</v>
      </c>
      <c r="D436" s="109" t="s">
        <v>3</v>
      </c>
      <c r="E436" s="109" t="s">
        <v>3</v>
      </c>
      <c r="F436" s="110">
        <f>F437</f>
        <v>20900918.44</v>
      </c>
      <c r="G436" s="110"/>
      <c r="I436" s="125">
        <v>1598226.92</v>
      </c>
      <c r="L436" s="125">
        <f t="shared" si="19"/>
        <v>-19302691.520000003</v>
      </c>
      <c r="M436" s="125">
        <f t="shared" si="20"/>
        <v>0</v>
      </c>
    </row>
    <row r="437" spans="1:13" ht="15.75" outlineLevel="5">
      <c r="A437" s="108" t="s">
        <v>685</v>
      </c>
      <c r="B437" s="109" t="s">
        <v>371</v>
      </c>
      <c r="C437" s="109" t="s">
        <v>70</v>
      </c>
      <c r="D437" s="109" t="s">
        <v>165</v>
      </c>
      <c r="E437" s="109" t="s">
        <v>2</v>
      </c>
      <c r="F437" s="110">
        <f>Приложение_6!F835</f>
        <v>20900918.44</v>
      </c>
      <c r="G437" s="110"/>
      <c r="I437" s="125">
        <v>1598226.92</v>
      </c>
      <c r="L437" s="125">
        <f t="shared" si="19"/>
        <v>-19302691.520000003</v>
      </c>
      <c r="M437" s="125">
        <f t="shared" si="20"/>
        <v>0</v>
      </c>
    </row>
    <row r="438" spans="1:13" ht="126">
      <c r="A438" s="115" t="s">
        <v>1195</v>
      </c>
      <c r="B438" s="116" t="s">
        <v>160</v>
      </c>
      <c r="C438" s="116" t="s">
        <v>1</v>
      </c>
      <c r="D438" s="116" t="s">
        <v>3</v>
      </c>
      <c r="E438" s="116" t="s">
        <v>3</v>
      </c>
      <c r="F438" s="117">
        <f>F439+F453+F466+F479+F531+F545</f>
        <v>184118379.5</v>
      </c>
      <c r="G438" s="117">
        <f>G439+G453+G466+G479+G531+G545</f>
        <v>36055379.989999995</v>
      </c>
      <c r="I438" s="125">
        <v>134261895.74</v>
      </c>
      <c r="J438" s="125">
        <v>4646746.8</v>
      </c>
      <c r="L438" s="125">
        <f t="shared" si="19"/>
        <v>-49856483.75999999</v>
      </c>
      <c r="M438" s="125">
        <f t="shared" si="20"/>
        <v>-31408633.189999994</v>
      </c>
    </row>
    <row r="439" spans="1:13" ht="63" outlineLevel="1">
      <c r="A439" s="115" t="s">
        <v>636</v>
      </c>
      <c r="B439" s="116" t="s">
        <v>205</v>
      </c>
      <c r="C439" s="116" t="s">
        <v>1</v>
      </c>
      <c r="D439" s="116" t="s">
        <v>3</v>
      </c>
      <c r="E439" s="116" t="s">
        <v>3</v>
      </c>
      <c r="F439" s="117">
        <f>F440+F444+F449</f>
        <v>51464255.279999994</v>
      </c>
      <c r="G439" s="117">
        <f>G440+G444+G449</f>
        <v>21819763.19</v>
      </c>
      <c r="I439" s="125">
        <v>30564578.4</v>
      </c>
      <c r="L439" s="125">
        <f t="shared" si="19"/>
        <v>-20899676.879999995</v>
      </c>
      <c r="M439" s="125">
        <f t="shared" si="20"/>
        <v>-21819763.19</v>
      </c>
    </row>
    <row r="440" spans="1:13" ht="15.75" outlineLevel="2">
      <c r="A440" s="108" t="s">
        <v>546</v>
      </c>
      <c r="B440" s="109" t="s">
        <v>206</v>
      </c>
      <c r="C440" s="109" t="s">
        <v>1</v>
      </c>
      <c r="D440" s="109" t="s">
        <v>3</v>
      </c>
      <c r="E440" s="109" t="s">
        <v>3</v>
      </c>
      <c r="F440" s="110">
        <f>F441</f>
        <v>6532132.869999999</v>
      </c>
      <c r="G440" s="110"/>
      <c r="I440" s="125">
        <v>7452219.18</v>
      </c>
      <c r="L440" s="125">
        <f t="shared" si="19"/>
        <v>920086.3100000005</v>
      </c>
      <c r="M440" s="125">
        <f t="shared" si="20"/>
        <v>0</v>
      </c>
    </row>
    <row r="441" spans="1:13" ht="63" outlineLevel="3">
      <c r="A441" s="108" t="s">
        <v>456</v>
      </c>
      <c r="B441" s="109" t="s">
        <v>207</v>
      </c>
      <c r="C441" s="109" t="s">
        <v>1</v>
      </c>
      <c r="D441" s="109" t="s">
        <v>3</v>
      </c>
      <c r="E441" s="109" t="s">
        <v>3</v>
      </c>
      <c r="F441" s="110">
        <f>F442</f>
        <v>6532132.869999999</v>
      </c>
      <c r="G441" s="110"/>
      <c r="I441" s="125">
        <v>7452219.18</v>
      </c>
      <c r="L441" s="125">
        <f t="shared" si="19"/>
        <v>920086.3100000005</v>
      </c>
      <c r="M441" s="125">
        <f t="shared" si="20"/>
        <v>0</v>
      </c>
    </row>
    <row r="442" spans="1:13" ht="63" outlineLevel="4">
      <c r="A442" s="108" t="s">
        <v>693</v>
      </c>
      <c r="B442" s="109" t="s">
        <v>207</v>
      </c>
      <c r="C442" s="109" t="s">
        <v>17</v>
      </c>
      <c r="D442" s="109" t="s">
        <v>3</v>
      </c>
      <c r="E442" s="109" t="s">
        <v>3</v>
      </c>
      <c r="F442" s="110">
        <f>F443</f>
        <v>6532132.869999999</v>
      </c>
      <c r="G442" s="110"/>
      <c r="I442" s="125">
        <v>7452219.18</v>
      </c>
      <c r="L442" s="125">
        <f t="shared" si="19"/>
        <v>920086.3100000005</v>
      </c>
      <c r="M442" s="125">
        <f t="shared" si="20"/>
        <v>0</v>
      </c>
    </row>
    <row r="443" spans="1:13" ht="15.75" outlineLevel="5">
      <c r="A443" s="108" t="s">
        <v>676</v>
      </c>
      <c r="B443" s="109" t="s">
        <v>207</v>
      </c>
      <c r="C443" s="109" t="s">
        <v>17</v>
      </c>
      <c r="D443" s="109" t="s">
        <v>159</v>
      </c>
      <c r="E443" s="109" t="s">
        <v>2</v>
      </c>
      <c r="F443" s="110">
        <f>Приложение_6!F448</f>
        <v>6532132.869999999</v>
      </c>
      <c r="G443" s="110"/>
      <c r="I443" s="125">
        <v>7452219.18</v>
      </c>
      <c r="L443" s="125">
        <f t="shared" si="19"/>
        <v>920086.3100000005</v>
      </c>
      <c r="M443" s="125">
        <f t="shared" si="20"/>
        <v>0</v>
      </c>
    </row>
    <row r="444" spans="1:13" ht="110.25" outlineLevel="2">
      <c r="A444" s="108" t="s">
        <v>547</v>
      </c>
      <c r="B444" s="109" t="s">
        <v>208</v>
      </c>
      <c r="C444" s="109" t="s">
        <v>1</v>
      </c>
      <c r="D444" s="109" t="s">
        <v>3</v>
      </c>
      <c r="E444" s="109" t="s">
        <v>3</v>
      </c>
      <c r="F444" s="110">
        <f>F447+F445</f>
        <v>42141426.47</v>
      </c>
      <c r="G444" s="110">
        <f>G447+G445</f>
        <v>21819763.19</v>
      </c>
      <c r="I444" s="125">
        <v>20321663.28</v>
      </c>
      <c r="L444" s="125">
        <f t="shared" si="19"/>
        <v>-21819763.189999998</v>
      </c>
      <c r="M444" s="125">
        <f t="shared" si="20"/>
        <v>-21819763.19</v>
      </c>
    </row>
    <row r="445" spans="1:13" ht="141.75" outlineLevel="2">
      <c r="A445" s="76" t="s">
        <v>1268</v>
      </c>
      <c r="B445" s="77" t="s">
        <v>1269</v>
      </c>
      <c r="C445" s="109" t="s">
        <v>17</v>
      </c>
      <c r="D445" s="109" t="s">
        <v>3</v>
      </c>
      <c r="E445" s="109" t="s">
        <v>3</v>
      </c>
      <c r="F445" s="110">
        <f>F446</f>
        <v>21819763.19</v>
      </c>
      <c r="G445" s="110">
        <f>F445</f>
        <v>21819763.19</v>
      </c>
      <c r="I445" s="125"/>
      <c r="L445" s="125"/>
      <c r="M445" s="125"/>
    </row>
    <row r="446" spans="1:13" ht="15.75" outlineLevel="2">
      <c r="A446" s="108" t="s">
        <v>676</v>
      </c>
      <c r="B446" s="77" t="s">
        <v>1269</v>
      </c>
      <c r="C446" s="109" t="s">
        <v>17</v>
      </c>
      <c r="D446" s="109" t="s">
        <v>159</v>
      </c>
      <c r="E446" s="109" t="s">
        <v>2</v>
      </c>
      <c r="F446" s="110">
        <f>Приложение_6!F450</f>
        <v>21819763.19</v>
      </c>
      <c r="G446" s="110">
        <f>F446</f>
        <v>21819763.19</v>
      </c>
      <c r="I446" s="125"/>
      <c r="L446" s="125"/>
      <c r="M446" s="125"/>
    </row>
    <row r="447" spans="1:13" ht="141.75" outlineLevel="4">
      <c r="A447" s="76" t="s">
        <v>1268</v>
      </c>
      <c r="B447" s="77" t="s">
        <v>1267</v>
      </c>
      <c r="C447" s="109" t="s">
        <v>17</v>
      </c>
      <c r="D447" s="109" t="s">
        <v>3</v>
      </c>
      <c r="E447" s="109" t="s">
        <v>3</v>
      </c>
      <c r="F447" s="110">
        <f>F448</f>
        <v>20321663.28</v>
      </c>
      <c r="G447" s="110"/>
      <c r="I447" s="125">
        <v>20321663.28</v>
      </c>
      <c r="L447" s="125">
        <f t="shared" si="19"/>
        <v>0</v>
      </c>
      <c r="M447" s="125">
        <f t="shared" si="20"/>
        <v>0</v>
      </c>
    </row>
    <row r="448" spans="1:13" ht="15.75" outlineLevel="5">
      <c r="A448" s="108" t="s">
        <v>676</v>
      </c>
      <c r="B448" s="77" t="s">
        <v>1267</v>
      </c>
      <c r="C448" s="109" t="s">
        <v>17</v>
      </c>
      <c r="D448" s="109" t="s">
        <v>159</v>
      </c>
      <c r="E448" s="109" t="s">
        <v>2</v>
      </c>
      <c r="F448" s="110">
        <f>Приложение_6!F453</f>
        <v>20321663.28</v>
      </c>
      <c r="G448" s="110"/>
      <c r="I448" s="125">
        <v>20321663.28</v>
      </c>
      <c r="L448" s="125">
        <f t="shared" si="19"/>
        <v>0</v>
      </c>
      <c r="M448" s="125">
        <f t="shared" si="20"/>
        <v>0</v>
      </c>
    </row>
    <row r="449" spans="1:13" ht="110.25" outlineLevel="2">
      <c r="A449" s="108" t="s">
        <v>548</v>
      </c>
      <c r="B449" s="109" t="s">
        <v>209</v>
      </c>
      <c r="C449" s="109" t="s">
        <v>1</v>
      </c>
      <c r="D449" s="109" t="s">
        <v>3</v>
      </c>
      <c r="E449" s="109" t="s">
        <v>3</v>
      </c>
      <c r="F449" s="110">
        <f>F450</f>
        <v>2790695.94</v>
      </c>
      <c r="G449" s="110"/>
      <c r="I449" s="125">
        <v>2790695.94</v>
      </c>
      <c r="L449" s="125">
        <f t="shared" si="19"/>
        <v>0</v>
      </c>
      <c r="M449" s="125">
        <f t="shared" si="20"/>
        <v>0</v>
      </c>
    </row>
    <row r="450" spans="1:13" ht="63" outlineLevel="3">
      <c r="A450" s="108" t="s">
        <v>459</v>
      </c>
      <c r="B450" s="109" t="s">
        <v>210</v>
      </c>
      <c r="C450" s="109" t="s">
        <v>1</v>
      </c>
      <c r="D450" s="109" t="s">
        <v>3</v>
      </c>
      <c r="E450" s="109" t="s">
        <v>3</v>
      </c>
      <c r="F450" s="110">
        <f>F451</f>
        <v>2790695.94</v>
      </c>
      <c r="G450" s="110"/>
      <c r="I450" s="125">
        <v>2790695.94</v>
      </c>
      <c r="L450" s="125">
        <f t="shared" si="19"/>
        <v>0</v>
      </c>
      <c r="M450" s="125">
        <f t="shared" si="20"/>
        <v>0</v>
      </c>
    </row>
    <row r="451" spans="1:13" ht="63" outlineLevel="4">
      <c r="A451" s="108" t="s">
        <v>693</v>
      </c>
      <c r="B451" s="109" t="s">
        <v>210</v>
      </c>
      <c r="C451" s="109" t="s">
        <v>17</v>
      </c>
      <c r="D451" s="109" t="s">
        <v>3</v>
      </c>
      <c r="E451" s="109" t="s">
        <v>3</v>
      </c>
      <c r="F451" s="110">
        <f>F452</f>
        <v>2790695.94</v>
      </c>
      <c r="G451" s="110"/>
      <c r="I451" s="125">
        <v>2790695.94</v>
      </c>
      <c r="L451" s="125">
        <f t="shared" si="19"/>
        <v>0</v>
      </c>
      <c r="M451" s="125">
        <f t="shared" si="20"/>
        <v>0</v>
      </c>
    </row>
    <row r="452" spans="1:13" ht="15.75" outlineLevel="5">
      <c r="A452" s="108" t="s">
        <v>676</v>
      </c>
      <c r="B452" s="109" t="s">
        <v>210</v>
      </c>
      <c r="C452" s="109" t="s">
        <v>17</v>
      </c>
      <c r="D452" s="109" t="s">
        <v>159</v>
      </c>
      <c r="E452" s="109" t="s">
        <v>2</v>
      </c>
      <c r="F452" s="110">
        <f>Приложение_6!F456</f>
        <v>2790695.94</v>
      </c>
      <c r="G452" s="110"/>
      <c r="I452" s="125">
        <v>2790695.94</v>
      </c>
      <c r="L452" s="125">
        <f t="shared" si="19"/>
        <v>0</v>
      </c>
      <c r="M452" s="125">
        <f t="shared" si="20"/>
        <v>0</v>
      </c>
    </row>
    <row r="453" spans="1:13" ht="94.5" outlineLevel="1">
      <c r="A453" s="115" t="s">
        <v>637</v>
      </c>
      <c r="B453" s="116" t="s">
        <v>211</v>
      </c>
      <c r="C453" s="116" t="s">
        <v>1</v>
      </c>
      <c r="D453" s="116" t="s">
        <v>3</v>
      </c>
      <c r="E453" s="116" t="s">
        <v>3</v>
      </c>
      <c r="F453" s="117">
        <f>F454+F458+F462</f>
        <v>1907981.7999999998</v>
      </c>
      <c r="G453" s="117"/>
      <c r="I453" s="125">
        <v>1626167.54</v>
      </c>
      <c r="L453" s="125">
        <f t="shared" si="19"/>
        <v>-281814.2599999998</v>
      </c>
      <c r="M453" s="125">
        <f t="shared" si="20"/>
        <v>0</v>
      </c>
    </row>
    <row r="454" spans="1:13" ht="31.5" outlineLevel="2">
      <c r="A454" s="108" t="s">
        <v>549</v>
      </c>
      <c r="B454" s="109" t="s">
        <v>212</v>
      </c>
      <c r="C454" s="109" t="s">
        <v>1</v>
      </c>
      <c r="D454" s="109" t="s">
        <v>3</v>
      </c>
      <c r="E454" s="109" t="s">
        <v>3</v>
      </c>
      <c r="F454" s="110">
        <f>F455</f>
        <v>499022</v>
      </c>
      <c r="G454" s="110"/>
      <c r="I454" s="125">
        <v>565337.64</v>
      </c>
      <c r="L454" s="125">
        <f t="shared" si="19"/>
        <v>66315.64000000001</v>
      </c>
      <c r="M454" s="125">
        <f t="shared" si="20"/>
        <v>0</v>
      </c>
    </row>
    <row r="455" spans="1:13" ht="47.25" outlineLevel="3">
      <c r="A455" s="108" t="s">
        <v>460</v>
      </c>
      <c r="B455" s="109" t="s">
        <v>213</v>
      </c>
      <c r="C455" s="109" t="s">
        <v>1</v>
      </c>
      <c r="D455" s="109" t="s">
        <v>3</v>
      </c>
      <c r="E455" s="109" t="s">
        <v>3</v>
      </c>
      <c r="F455" s="110">
        <f>F456</f>
        <v>499022</v>
      </c>
      <c r="G455" s="110"/>
      <c r="I455" s="125">
        <v>565337.64</v>
      </c>
      <c r="L455" s="125">
        <f t="shared" si="19"/>
        <v>66315.64000000001</v>
      </c>
      <c r="M455" s="125">
        <f t="shared" si="20"/>
        <v>0</v>
      </c>
    </row>
    <row r="456" spans="1:13" ht="63" outlineLevel="4">
      <c r="A456" s="108" t="s">
        <v>693</v>
      </c>
      <c r="B456" s="109" t="s">
        <v>213</v>
      </c>
      <c r="C456" s="109" t="s">
        <v>17</v>
      </c>
      <c r="D456" s="109" t="s">
        <v>3</v>
      </c>
      <c r="E456" s="109" t="s">
        <v>3</v>
      </c>
      <c r="F456" s="110">
        <f>F457</f>
        <v>499022</v>
      </c>
      <c r="G456" s="110"/>
      <c r="I456" s="125">
        <v>565337.64</v>
      </c>
      <c r="L456" s="125">
        <f t="shared" si="19"/>
        <v>66315.64000000001</v>
      </c>
      <c r="M456" s="125">
        <f t="shared" si="20"/>
        <v>0</v>
      </c>
    </row>
    <row r="457" spans="1:13" ht="15.75" outlineLevel="5">
      <c r="A457" s="108" t="s">
        <v>677</v>
      </c>
      <c r="B457" s="109" t="s">
        <v>213</v>
      </c>
      <c r="C457" s="109" t="s">
        <v>17</v>
      </c>
      <c r="D457" s="109" t="s">
        <v>159</v>
      </c>
      <c r="E457" s="109" t="s">
        <v>5</v>
      </c>
      <c r="F457" s="110">
        <f>Приложение_6!F472</f>
        <v>499022</v>
      </c>
      <c r="G457" s="110"/>
      <c r="I457" s="125">
        <v>565337.64</v>
      </c>
      <c r="L457" s="125">
        <f t="shared" si="19"/>
        <v>66315.64000000001</v>
      </c>
      <c r="M457" s="125">
        <f t="shared" si="20"/>
        <v>0</v>
      </c>
    </row>
    <row r="458" spans="1:13" ht="31.5" outlineLevel="2">
      <c r="A458" s="108" t="s">
        <v>550</v>
      </c>
      <c r="B458" s="109" t="s">
        <v>214</v>
      </c>
      <c r="C458" s="109" t="s">
        <v>1</v>
      </c>
      <c r="D458" s="109" t="s">
        <v>3</v>
      </c>
      <c r="E458" s="109" t="s">
        <v>3</v>
      </c>
      <c r="F458" s="110">
        <f>F459</f>
        <v>1008959.7999999999</v>
      </c>
      <c r="G458" s="110"/>
      <c r="I458" s="125">
        <v>1060829.9</v>
      </c>
      <c r="L458" s="125">
        <f t="shared" si="19"/>
        <v>51870.09999999998</v>
      </c>
      <c r="M458" s="125">
        <f t="shared" si="20"/>
        <v>0</v>
      </c>
    </row>
    <row r="459" spans="1:13" ht="47.25" outlineLevel="3">
      <c r="A459" s="108" t="s">
        <v>460</v>
      </c>
      <c r="B459" s="109" t="s">
        <v>215</v>
      </c>
      <c r="C459" s="109" t="s">
        <v>1</v>
      </c>
      <c r="D459" s="109" t="s">
        <v>3</v>
      </c>
      <c r="E459" s="109" t="s">
        <v>3</v>
      </c>
      <c r="F459" s="110">
        <f>F460</f>
        <v>1008959.7999999999</v>
      </c>
      <c r="G459" s="110"/>
      <c r="I459" s="125">
        <v>1060829.9</v>
      </c>
      <c r="L459" s="125">
        <f t="shared" si="19"/>
        <v>51870.09999999998</v>
      </c>
      <c r="M459" s="125">
        <f t="shared" si="20"/>
        <v>0</v>
      </c>
    </row>
    <row r="460" spans="1:13" ht="63" outlineLevel="4">
      <c r="A460" s="108" t="s">
        <v>693</v>
      </c>
      <c r="B460" s="109" t="s">
        <v>215</v>
      </c>
      <c r="C460" s="109" t="s">
        <v>17</v>
      </c>
      <c r="D460" s="109" t="s">
        <v>3</v>
      </c>
      <c r="E460" s="109" t="s">
        <v>3</v>
      </c>
      <c r="F460" s="110">
        <f>F461</f>
        <v>1008959.7999999999</v>
      </c>
      <c r="G460" s="110"/>
      <c r="I460" s="125">
        <v>1060829.9</v>
      </c>
      <c r="L460" s="125">
        <f t="shared" si="19"/>
        <v>51870.09999999998</v>
      </c>
      <c r="M460" s="125">
        <f t="shared" si="20"/>
        <v>0</v>
      </c>
    </row>
    <row r="461" spans="1:13" ht="15.75" outlineLevel="5">
      <c r="A461" s="108" t="s">
        <v>677</v>
      </c>
      <c r="B461" s="109" t="s">
        <v>215</v>
      </c>
      <c r="C461" s="109" t="s">
        <v>17</v>
      </c>
      <c r="D461" s="109" t="s">
        <v>159</v>
      </c>
      <c r="E461" s="109" t="s">
        <v>5</v>
      </c>
      <c r="F461" s="110">
        <f>Приложение_6!F475</f>
        <v>1008959.7999999999</v>
      </c>
      <c r="G461" s="110"/>
      <c r="I461" s="125">
        <v>1060829.9</v>
      </c>
      <c r="L461" s="125">
        <f t="shared" si="19"/>
        <v>51870.09999999998</v>
      </c>
      <c r="M461" s="125">
        <f t="shared" si="20"/>
        <v>0</v>
      </c>
    </row>
    <row r="462" spans="1:13" ht="78.75" outlineLevel="5">
      <c r="A462" s="76" t="s">
        <v>1231</v>
      </c>
      <c r="B462" s="77" t="s">
        <v>1232</v>
      </c>
      <c r="C462" s="77" t="s">
        <v>1</v>
      </c>
      <c r="D462" s="109" t="s">
        <v>3</v>
      </c>
      <c r="E462" s="109" t="s">
        <v>3</v>
      </c>
      <c r="F462" s="110">
        <f>F463</f>
        <v>400000</v>
      </c>
      <c r="G462" s="110"/>
      <c r="I462" s="125"/>
      <c r="L462" s="125"/>
      <c r="M462" s="125"/>
    </row>
    <row r="463" spans="1:13" ht="31.5" outlineLevel="5">
      <c r="A463" s="76" t="s">
        <v>441</v>
      </c>
      <c r="B463" s="77" t="s">
        <v>1233</v>
      </c>
      <c r="C463" s="77" t="s">
        <v>1</v>
      </c>
      <c r="D463" s="109" t="s">
        <v>1</v>
      </c>
      <c r="E463" s="109" t="s">
        <v>1</v>
      </c>
      <c r="F463" s="110">
        <f>F464</f>
        <v>400000</v>
      </c>
      <c r="G463" s="110"/>
      <c r="I463" s="125"/>
      <c r="L463" s="125"/>
      <c r="M463" s="125"/>
    </row>
    <row r="464" spans="1:13" ht="63" outlineLevel="5">
      <c r="A464" s="76" t="s">
        <v>693</v>
      </c>
      <c r="B464" s="77" t="s">
        <v>1233</v>
      </c>
      <c r="C464" s="77" t="s">
        <v>17</v>
      </c>
      <c r="D464" s="109" t="s">
        <v>1</v>
      </c>
      <c r="E464" s="109" t="s">
        <v>1</v>
      </c>
      <c r="F464" s="110">
        <f>F465</f>
        <v>400000</v>
      </c>
      <c r="G464" s="110"/>
      <c r="I464" s="125"/>
      <c r="L464" s="125"/>
      <c r="M464" s="125"/>
    </row>
    <row r="465" spans="1:13" ht="15.75" outlineLevel="5">
      <c r="A465" s="108" t="s">
        <v>677</v>
      </c>
      <c r="B465" s="77" t="s">
        <v>1233</v>
      </c>
      <c r="C465" s="109" t="s">
        <v>17</v>
      </c>
      <c r="D465" s="109" t="s">
        <v>159</v>
      </c>
      <c r="E465" s="109" t="s">
        <v>5</v>
      </c>
      <c r="F465" s="110">
        <f>Приложение_6!F478</f>
        <v>400000</v>
      </c>
      <c r="G465" s="110"/>
      <c r="I465" s="125"/>
      <c r="L465" s="125"/>
      <c r="M465" s="125"/>
    </row>
    <row r="466" spans="1:13" ht="94.5" outlineLevel="1">
      <c r="A466" s="115" t="s">
        <v>638</v>
      </c>
      <c r="B466" s="116" t="s">
        <v>216</v>
      </c>
      <c r="C466" s="116" t="s">
        <v>1</v>
      </c>
      <c r="D466" s="116" t="s">
        <v>3</v>
      </c>
      <c r="E466" s="116" t="s">
        <v>3</v>
      </c>
      <c r="F466" s="117">
        <f>F467+F471+F475</f>
        <v>56071727.21</v>
      </c>
      <c r="G466" s="117"/>
      <c r="I466" s="125">
        <v>15992013.99</v>
      </c>
      <c r="L466" s="125">
        <f t="shared" si="19"/>
        <v>-40079713.22</v>
      </c>
      <c r="M466" s="125">
        <f t="shared" si="20"/>
        <v>0</v>
      </c>
    </row>
    <row r="467" spans="1:13" ht="110.25" hidden="1" outlineLevel="2">
      <c r="A467" s="108" t="s">
        <v>551</v>
      </c>
      <c r="B467" s="109" t="s">
        <v>217</v>
      </c>
      <c r="C467" s="109" t="s">
        <v>1</v>
      </c>
      <c r="D467" s="109" t="s">
        <v>3</v>
      </c>
      <c r="E467" s="109" t="s">
        <v>3</v>
      </c>
      <c r="F467" s="110">
        <f>F468</f>
        <v>0</v>
      </c>
      <c r="G467" s="110"/>
      <c r="I467" s="125">
        <v>13482633.29</v>
      </c>
      <c r="L467" s="125">
        <f t="shared" si="19"/>
        <v>13482633.29</v>
      </c>
      <c r="M467" s="125">
        <f t="shared" si="20"/>
        <v>0</v>
      </c>
    </row>
    <row r="468" spans="1:13" ht="47.25" hidden="1" outlineLevel="3">
      <c r="A468" s="108" t="s">
        <v>461</v>
      </c>
      <c r="B468" s="109" t="s">
        <v>218</v>
      </c>
      <c r="C468" s="109" t="s">
        <v>1</v>
      </c>
      <c r="D468" s="109" t="s">
        <v>3</v>
      </c>
      <c r="E468" s="109" t="s">
        <v>3</v>
      </c>
      <c r="F468" s="110">
        <f>F469</f>
        <v>0</v>
      </c>
      <c r="G468" s="110"/>
      <c r="I468" s="125">
        <v>13482633.29</v>
      </c>
      <c r="L468" s="125">
        <f t="shared" si="19"/>
        <v>13482633.29</v>
      </c>
      <c r="M468" s="125">
        <f t="shared" si="20"/>
        <v>0</v>
      </c>
    </row>
    <row r="469" spans="1:13" ht="31.5" hidden="1" outlineLevel="4">
      <c r="A469" s="108" t="s">
        <v>695</v>
      </c>
      <c r="B469" s="109" t="s">
        <v>218</v>
      </c>
      <c r="C469" s="109" t="s">
        <v>65</v>
      </c>
      <c r="D469" s="109" t="s">
        <v>3</v>
      </c>
      <c r="E469" s="109" t="s">
        <v>3</v>
      </c>
      <c r="F469" s="110">
        <f>F470</f>
        <v>0</v>
      </c>
      <c r="G469" s="110"/>
      <c r="I469" s="125">
        <v>13482633.29</v>
      </c>
      <c r="L469" s="125">
        <f t="shared" si="19"/>
        <v>13482633.29</v>
      </c>
      <c r="M469" s="125">
        <f t="shared" si="20"/>
        <v>0</v>
      </c>
    </row>
    <row r="470" spans="1:13" ht="15.75" hidden="1" outlineLevel="5">
      <c r="A470" s="108" t="s">
        <v>677</v>
      </c>
      <c r="B470" s="109" t="s">
        <v>218</v>
      </c>
      <c r="C470" s="109" t="s">
        <v>65</v>
      </c>
      <c r="D470" s="109" t="s">
        <v>159</v>
      </c>
      <c r="E470" s="109" t="s">
        <v>5</v>
      </c>
      <c r="F470" s="110">
        <f>Приложение_6!F482</f>
        <v>0</v>
      </c>
      <c r="G470" s="110"/>
      <c r="I470" s="125">
        <v>13482633.29</v>
      </c>
      <c r="L470" s="125">
        <f t="shared" si="19"/>
        <v>13482633.29</v>
      </c>
      <c r="M470" s="125">
        <f t="shared" si="20"/>
        <v>0</v>
      </c>
    </row>
    <row r="471" spans="1:13" ht="78.75" outlineLevel="2" collapsed="1">
      <c r="A471" s="108" t="s">
        <v>552</v>
      </c>
      <c r="B471" s="109" t="s">
        <v>219</v>
      </c>
      <c r="C471" s="109" t="s">
        <v>1</v>
      </c>
      <c r="D471" s="109" t="s">
        <v>3</v>
      </c>
      <c r="E471" s="109" t="s">
        <v>3</v>
      </c>
      <c r="F471" s="110">
        <f>F472</f>
        <v>26728.0600000003</v>
      </c>
      <c r="G471" s="212"/>
      <c r="I471" s="125">
        <v>2509380.7</v>
      </c>
      <c r="L471" s="125">
        <f t="shared" si="19"/>
        <v>2482652.6399999997</v>
      </c>
      <c r="M471" s="125">
        <f t="shared" si="20"/>
        <v>0</v>
      </c>
    </row>
    <row r="472" spans="1:13" ht="31.5" customHeight="1" outlineLevel="3">
      <c r="A472" s="108" t="s">
        <v>441</v>
      </c>
      <c r="B472" s="109" t="s">
        <v>220</v>
      </c>
      <c r="C472" s="109" t="s">
        <v>1</v>
      </c>
      <c r="D472" s="109" t="s">
        <v>3</v>
      </c>
      <c r="E472" s="109" t="s">
        <v>3</v>
      </c>
      <c r="F472" s="110">
        <f>F473</f>
        <v>26728.0600000003</v>
      </c>
      <c r="G472" s="212"/>
      <c r="I472" s="125">
        <v>2509380.7</v>
      </c>
      <c r="L472" s="125">
        <f t="shared" si="19"/>
        <v>2482652.6399999997</v>
      </c>
      <c r="M472" s="125">
        <f t="shared" si="20"/>
        <v>0</v>
      </c>
    </row>
    <row r="473" spans="1:13" ht="63" outlineLevel="4">
      <c r="A473" s="108" t="s">
        <v>693</v>
      </c>
      <c r="B473" s="109" t="s">
        <v>220</v>
      </c>
      <c r="C473" s="109" t="s">
        <v>17</v>
      </c>
      <c r="D473" s="109" t="s">
        <v>3</v>
      </c>
      <c r="E473" s="109" t="s">
        <v>3</v>
      </c>
      <c r="F473" s="110">
        <f>F474</f>
        <v>26728.0600000003</v>
      </c>
      <c r="G473" s="212"/>
      <c r="I473" s="125">
        <v>2509380.7</v>
      </c>
      <c r="L473" s="125">
        <f t="shared" si="19"/>
        <v>2482652.6399999997</v>
      </c>
      <c r="M473" s="125">
        <f t="shared" si="20"/>
        <v>0</v>
      </c>
    </row>
    <row r="474" spans="1:13" ht="15.75" outlineLevel="5">
      <c r="A474" s="108" t="s">
        <v>677</v>
      </c>
      <c r="B474" s="109" t="s">
        <v>220</v>
      </c>
      <c r="C474" s="109" t="s">
        <v>17</v>
      </c>
      <c r="D474" s="109" t="s">
        <v>159</v>
      </c>
      <c r="E474" s="109" t="s">
        <v>5</v>
      </c>
      <c r="F474" s="110">
        <f>Приложение_6!F485</f>
        <v>26728.0600000003</v>
      </c>
      <c r="G474" s="212"/>
      <c r="I474" s="125">
        <v>2509380.7</v>
      </c>
      <c r="L474" s="125">
        <f t="shared" si="19"/>
        <v>2482652.6399999997</v>
      </c>
      <c r="M474" s="125">
        <f t="shared" si="20"/>
        <v>0</v>
      </c>
    </row>
    <row r="475" spans="1:13" ht="63" outlineLevel="5">
      <c r="A475" s="108" t="s">
        <v>1273</v>
      </c>
      <c r="B475" s="149" t="s">
        <v>1274</v>
      </c>
      <c r="C475" s="109" t="s">
        <v>1</v>
      </c>
      <c r="D475" s="109" t="s">
        <v>3</v>
      </c>
      <c r="E475" s="109" t="s">
        <v>3</v>
      </c>
      <c r="F475" s="110">
        <f>F476</f>
        <v>56044999.15</v>
      </c>
      <c r="G475" s="110"/>
      <c r="I475" s="125"/>
      <c r="L475" s="125"/>
      <c r="M475" s="125"/>
    </row>
    <row r="476" spans="1:13" ht="31.5" outlineLevel="5">
      <c r="A476" s="108" t="s">
        <v>441</v>
      </c>
      <c r="B476" s="149" t="s">
        <v>1275</v>
      </c>
      <c r="C476" s="109" t="s">
        <v>1</v>
      </c>
      <c r="D476" s="109" t="s">
        <v>3</v>
      </c>
      <c r="E476" s="109" t="s">
        <v>3</v>
      </c>
      <c r="F476" s="110">
        <f>F477</f>
        <v>56044999.15</v>
      </c>
      <c r="G476" s="110"/>
      <c r="I476" s="125"/>
      <c r="L476" s="125"/>
      <c r="M476" s="125"/>
    </row>
    <row r="477" spans="1:13" ht="63" outlineLevel="5">
      <c r="A477" s="108" t="s">
        <v>693</v>
      </c>
      <c r="B477" s="149" t="s">
        <v>1275</v>
      </c>
      <c r="C477" s="109" t="s">
        <v>17</v>
      </c>
      <c r="D477" s="109" t="s">
        <v>3</v>
      </c>
      <c r="E477" s="109" t="s">
        <v>3</v>
      </c>
      <c r="F477" s="110">
        <f>F478</f>
        <v>56044999.15</v>
      </c>
      <c r="G477" s="110"/>
      <c r="I477" s="125"/>
      <c r="L477" s="125"/>
      <c r="M477" s="125"/>
    </row>
    <row r="478" spans="1:13" ht="15.75" outlineLevel="5">
      <c r="A478" s="108" t="s">
        <v>677</v>
      </c>
      <c r="B478" s="149" t="s">
        <v>1275</v>
      </c>
      <c r="C478" s="109" t="s">
        <v>17</v>
      </c>
      <c r="D478" s="109" t="s">
        <v>159</v>
      </c>
      <c r="E478" s="109" t="s">
        <v>5</v>
      </c>
      <c r="F478" s="110">
        <f>Приложение_6!F488</f>
        <v>56044999.15</v>
      </c>
      <c r="G478" s="110"/>
      <c r="I478" s="125"/>
      <c r="L478" s="125"/>
      <c r="M478" s="125"/>
    </row>
    <row r="479" spans="1:13" ht="78.75" customHeight="1" outlineLevel="1">
      <c r="A479" s="115" t="s">
        <v>630</v>
      </c>
      <c r="B479" s="116" t="s">
        <v>161</v>
      </c>
      <c r="C479" s="116" t="s">
        <v>1</v>
      </c>
      <c r="D479" s="116" t="s">
        <v>3</v>
      </c>
      <c r="E479" s="116" t="s">
        <v>3</v>
      </c>
      <c r="F479" s="117">
        <f>F480+F484+F488+F492+F512+F516+F523+F499+F528</f>
        <v>49439968.33</v>
      </c>
      <c r="G479" s="117">
        <f>G480+G484+G488+G492+G512+G516+G523+G499+G528</f>
        <v>13197250</v>
      </c>
      <c r="I479" s="125">
        <v>57149310.92</v>
      </c>
      <c r="J479" s="121">
        <v>3608380</v>
      </c>
      <c r="L479" s="125">
        <f t="shared" si="19"/>
        <v>7709342.590000004</v>
      </c>
      <c r="M479" s="125">
        <f t="shared" si="20"/>
        <v>-9588870</v>
      </c>
    </row>
    <row r="480" spans="1:13" ht="78.75" outlineLevel="2">
      <c r="A480" s="108" t="s">
        <v>553</v>
      </c>
      <c r="B480" s="109" t="s">
        <v>221</v>
      </c>
      <c r="C480" s="109" t="s">
        <v>1</v>
      </c>
      <c r="D480" s="109" t="s">
        <v>3</v>
      </c>
      <c r="E480" s="109" t="s">
        <v>3</v>
      </c>
      <c r="F480" s="110">
        <f>F481</f>
        <v>15425832.75</v>
      </c>
      <c r="G480" s="110"/>
      <c r="I480" s="125">
        <v>15953571.42</v>
      </c>
      <c r="L480" s="125">
        <f t="shared" si="19"/>
        <v>527738.6699999999</v>
      </c>
      <c r="M480" s="125">
        <f t="shared" si="20"/>
        <v>0</v>
      </c>
    </row>
    <row r="481" spans="1:13" ht="63" outlineLevel="3">
      <c r="A481" s="108" t="s">
        <v>462</v>
      </c>
      <c r="B481" s="109" t="s">
        <v>222</v>
      </c>
      <c r="C481" s="109" t="s">
        <v>1</v>
      </c>
      <c r="D481" s="109" t="s">
        <v>3</v>
      </c>
      <c r="E481" s="109" t="s">
        <v>3</v>
      </c>
      <c r="F481" s="110">
        <f>F482</f>
        <v>15425832.75</v>
      </c>
      <c r="G481" s="110"/>
      <c r="I481" s="125">
        <v>15953571.42</v>
      </c>
      <c r="L481" s="125">
        <f t="shared" si="19"/>
        <v>527738.6699999999</v>
      </c>
      <c r="M481" s="125">
        <f t="shared" si="20"/>
        <v>0</v>
      </c>
    </row>
    <row r="482" spans="1:13" ht="63" outlineLevel="4">
      <c r="A482" s="108" t="s">
        <v>693</v>
      </c>
      <c r="B482" s="109" t="s">
        <v>222</v>
      </c>
      <c r="C482" s="109" t="s">
        <v>17</v>
      </c>
      <c r="D482" s="109" t="s">
        <v>3</v>
      </c>
      <c r="E482" s="109" t="s">
        <v>3</v>
      </c>
      <c r="F482" s="110">
        <f>F483</f>
        <v>15425832.75</v>
      </c>
      <c r="G482" s="110"/>
      <c r="I482" s="125">
        <v>15953571.42</v>
      </c>
      <c r="L482" s="125">
        <f t="shared" si="19"/>
        <v>527738.6699999999</v>
      </c>
      <c r="M482" s="125">
        <f t="shared" si="20"/>
        <v>0</v>
      </c>
    </row>
    <row r="483" spans="1:13" ht="15.75" outlineLevel="5">
      <c r="A483" s="108" t="s">
        <v>678</v>
      </c>
      <c r="B483" s="109" t="s">
        <v>222</v>
      </c>
      <c r="C483" s="109" t="s">
        <v>17</v>
      </c>
      <c r="D483" s="109" t="s">
        <v>159</v>
      </c>
      <c r="E483" s="109" t="s">
        <v>14</v>
      </c>
      <c r="F483" s="110">
        <f>Приложение_6!F494</f>
        <v>15425832.75</v>
      </c>
      <c r="G483" s="110"/>
      <c r="I483" s="125">
        <v>15953571.42</v>
      </c>
      <c r="L483" s="125">
        <f t="shared" si="19"/>
        <v>527738.6699999999</v>
      </c>
      <c r="M483" s="125">
        <f t="shared" si="20"/>
        <v>0</v>
      </c>
    </row>
    <row r="484" spans="1:13" ht="110.25" outlineLevel="2">
      <c r="A484" s="108" t="s">
        <v>554</v>
      </c>
      <c r="B484" s="109" t="s">
        <v>223</v>
      </c>
      <c r="C484" s="109" t="s">
        <v>1</v>
      </c>
      <c r="D484" s="109" t="s">
        <v>3</v>
      </c>
      <c r="E484" s="109" t="s">
        <v>3</v>
      </c>
      <c r="F484" s="110">
        <f>F485</f>
        <v>10594692.879999999</v>
      </c>
      <c r="G484" s="110"/>
      <c r="I484" s="125">
        <v>13274260.85</v>
      </c>
      <c r="L484" s="125">
        <f t="shared" si="19"/>
        <v>2679567.9700000007</v>
      </c>
      <c r="M484" s="125">
        <f t="shared" si="20"/>
        <v>0</v>
      </c>
    </row>
    <row r="485" spans="1:13" ht="63" outlineLevel="3">
      <c r="A485" s="108" t="s">
        <v>463</v>
      </c>
      <c r="B485" s="109" t="s">
        <v>224</v>
      </c>
      <c r="C485" s="109" t="s">
        <v>1</v>
      </c>
      <c r="D485" s="109" t="s">
        <v>3</v>
      </c>
      <c r="E485" s="109" t="s">
        <v>3</v>
      </c>
      <c r="F485" s="110">
        <f>F486</f>
        <v>10594692.879999999</v>
      </c>
      <c r="G485" s="110"/>
      <c r="I485" s="125">
        <v>13274260.85</v>
      </c>
      <c r="L485" s="125">
        <f t="shared" si="19"/>
        <v>2679567.9700000007</v>
      </c>
      <c r="M485" s="125">
        <f t="shared" si="20"/>
        <v>0</v>
      </c>
    </row>
    <row r="486" spans="1:13" ht="63" outlineLevel="4">
      <c r="A486" s="108" t="s">
        <v>693</v>
      </c>
      <c r="B486" s="109" t="s">
        <v>224</v>
      </c>
      <c r="C486" s="109" t="s">
        <v>17</v>
      </c>
      <c r="D486" s="109" t="s">
        <v>3</v>
      </c>
      <c r="E486" s="109" t="s">
        <v>3</v>
      </c>
      <c r="F486" s="110">
        <f>F487</f>
        <v>10594692.879999999</v>
      </c>
      <c r="G486" s="110"/>
      <c r="I486" s="125">
        <v>13274260.85</v>
      </c>
      <c r="L486" s="125">
        <f t="shared" si="19"/>
        <v>2679567.9700000007</v>
      </c>
      <c r="M486" s="125">
        <f t="shared" si="20"/>
        <v>0</v>
      </c>
    </row>
    <row r="487" spans="1:13" ht="15.75" outlineLevel="5">
      <c r="A487" s="108" t="s">
        <v>678</v>
      </c>
      <c r="B487" s="109" t="s">
        <v>224</v>
      </c>
      <c r="C487" s="109" t="s">
        <v>17</v>
      </c>
      <c r="D487" s="109" t="s">
        <v>159</v>
      </c>
      <c r="E487" s="109" t="s">
        <v>14</v>
      </c>
      <c r="F487" s="110">
        <f>Приложение_6!F497</f>
        <v>10594692.879999999</v>
      </c>
      <c r="G487" s="110"/>
      <c r="I487" s="125">
        <v>13274260.85</v>
      </c>
      <c r="L487" s="125">
        <f t="shared" si="19"/>
        <v>2679567.9700000007</v>
      </c>
      <c r="M487" s="125">
        <f t="shared" si="20"/>
        <v>0</v>
      </c>
    </row>
    <row r="488" spans="1:13" ht="110.25" outlineLevel="2">
      <c r="A488" s="108" t="s">
        <v>555</v>
      </c>
      <c r="B488" s="109" t="s">
        <v>225</v>
      </c>
      <c r="C488" s="109" t="s">
        <v>1</v>
      </c>
      <c r="D488" s="109" t="s">
        <v>3</v>
      </c>
      <c r="E488" s="109" t="s">
        <v>3</v>
      </c>
      <c r="F488" s="110">
        <f>F489</f>
        <v>1555876.27</v>
      </c>
      <c r="G488" s="110"/>
      <c r="I488" s="125">
        <v>403340.65</v>
      </c>
      <c r="L488" s="125">
        <f t="shared" si="19"/>
        <v>-1152535.62</v>
      </c>
      <c r="M488" s="125">
        <f t="shared" si="20"/>
        <v>0</v>
      </c>
    </row>
    <row r="489" spans="1:13" ht="63" outlineLevel="3">
      <c r="A489" s="108" t="s">
        <v>456</v>
      </c>
      <c r="B489" s="109" t="s">
        <v>226</v>
      </c>
      <c r="C489" s="109" t="s">
        <v>1</v>
      </c>
      <c r="D489" s="109" t="s">
        <v>3</v>
      </c>
      <c r="E489" s="109" t="s">
        <v>3</v>
      </c>
      <c r="F489" s="110">
        <f>F490</f>
        <v>1555876.27</v>
      </c>
      <c r="G489" s="110"/>
      <c r="I489" s="125">
        <v>403340.65</v>
      </c>
      <c r="L489" s="125">
        <f t="shared" si="19"/>
        <v>-1152535.62</v>
      </c>
      <c r="M489" s="125">
        <f t="shared" si="20"/>
        <v>0</v>
      </c>
    </row>
    <row r="490" spans="1:13" ht="63" outlineLevel="4">
      <c r="A490" s="108" t="s">
        <v>693</v>
      </c>
      <c r="B490" s="109" t="s">
        <v>226</v>
      </c>
      <c r="C490" s="109" t="s">
        <v>17</v>
      </c>
      <c r="D490" s="109" t="s">
        <v>3</v>
      </c>
      <c r="E490" s="109" t="s">
        <v>3</v>
      </c>
      <c r="F490" s="110">
        <f>F491</f>
        <v>1555876.27</v>
      </c>
      <c r="G490" s="110"/>
      <c r="I490" s="125">
        <v>403340.65</v>
      </c>
      <c r="L490" s="125">
        <f t="shared" si="19"/>
        <v>-1152535.62</v>
      </c>
      <c r="M490" s="125">
        <f t="shared" si="20"/>
        <v>0</v>
      </c>
    </row>
    <row r="491" spans="1:13" ht="15.75" outlineLevel="5">
      <c r="A491" s="108" t="s">
        <v>678</v>
      </c>
      <c r="B491" s="109" t="s">
        <v>226</v>
      </c>
      <c r="C491" s="109" t="s">
        <v>17</v>
      </c>
      <c r="D491" s="109" t="s">
        <v>159</v>
      </c>
      <c r="E491" s="109" t="s">
        <v>14</v>
      </c>
      <c r="F491" s="110">
        <f>Приложение_6!F500</f>
        <v>1555876.27</v>
      </c>
      <c r="G491" s="110"/>
      <c r="I491" s="125">
        <v>403340.65</v>
      </c>
      <c r="L491" s="125">
        <f t="shared" si="19"/>
        <v>-1152535.62</v>
      </c>
      <c r="M491" s="125">
        <f t="shared" si="20"/>
        <v>0</v>
      </c>
    </row>
    <row r="492" spans="1:13" ht="47.25" outlineLevel="2">
      <c r="A492" s="108" t="s">
        <v>556</v>
      </c>
      <c r="B492" s="109" t="s">
        <v>227</v>
      </c>
      <c r="C492" s="109" t="s">
        <v>1</v>
      </c>
      <c r="D492" s="109" t="s">
        <v>3</v>
      </c>
      <c r="E492" s="109" t="s">
        <v>3</v>
      </c>
      <c r="F492" s="110">
        <f>F493+F496</f>
        <v>644061.7500000001</v>
      </c>
      <c r="G492" s="110"/>
      <c r="I492" s="125">
        <v>18716382.43</v>
      </c>
      <c r="L492" s="125">
        <f t="shared" si="19"/>
        <v>18072320.68</v>
      </c>
      <c r="M492" s="125">
        <f t="shared" si="20"/>
        <v>0</v>
      </c>
    </row>
    <row r="493" spans="1:13" ht="31.5" customHeight="1" outlineLevel="3">
      <c r="A493" s="108" t="s">
        <v>441</v>
      </c>
      <c r="B493" s="109" t="s">
        <v>228</v>
      </c>
      <c r="C493" s="109" t="s">
        <v>1</v>
      </c>
      <c r="D493" s="109" t="s">
        <v>3</v>
      </c>
      <c r="E493" s="109" t="s">
        <v>3</v>
      </c>
      <c r="F493" s="110">
        <f>F494</f>
        <v>644061.7500000001</v>
      </c>
      <c r="G493" s="110"/>
      <c r="I493" s="125">
        <v>936558.43</v>
      </c>
      <c r="L493" s="125">
        <f t="shared" si="19"/>
        <v>292496.67999999993</v>
      </c>
      <c r="M493" s="125">
        <f t="shared" si="20"/>
        <v>0</v>
      </c>
    </row>
    <row r="494" spans="1:13" ht="63" outlineLevel="4">
      <c r="A494" s="108" t="s">
        <v>693</v>
      </c>
      <c r="B494" s="109" t="s">
        <v>228</v>
      </c>
      <c r="C494" s="109" t="s">
        <v>17</v>
      </c>
      <c r="D494" s="109" t="s">
        <v>3</v>
      </c>
      <c r="E494" s="109" t="s">
        <v>3</v>
      </c>
      <c r="F494" s="110">
        <f>F495</f>
        <v>644061.7500000001</v>
      </c>
      <c r="G494" s="110"/>
      <c r="I494" s="125">
        <v>936558.43</v>
      </c>
      <c r="L494" s="125">
        <f t="shared" si="19"/>
        <v>292496.67999999993</v>
      </c>
      <c r="M494" s="125">
        <f t="shared" si="20"/>
        <v>0</v>
      </c>
    </row>
    <row r="495" spans="1:13" ht="15.75" outlineLevel="5">
      <c r="A495" s="108" t="s">
        <v>678</v>
      </c>
      <c r="B495" s="109" t="s">
        <v>228</v>
      </c>
      <c r="C495" s="109" t="s">
        <v>17</v>
      </c>
      <c r="D495" s="109" t="s">
        <v>159</v>
      </c>
      <c r="E495" s="109" t="s">
        <v>14</v>
      </c>
      <c r="F495" s="110">
        <f>Приложение_6!F503</f>
        <v>644061.7500000001</v>
      </c>
      <c r="G495" s="110"/>
      <c r="I495" s="125">
        <v>936558.43</v>
      </c>
      <c r="L495" s="125">
        <f t="shared" si="19"/>
        <v>292496.67999999993</v>
      </c>
      <c r="M495" s="125">
        <f t="shared" si="20"/>
        <v>0</v>
      </c>
    </row>
    <row r="496" spans="1:13" ht="78.75" outlineLevel="3">
      <c r="A496" s="108" t="s">
        <v>464</v>
      </c>
      <c r="B496" s="109" t="s">
        <v>229</v>
      </c>
      <c r="C496" s="109" t="s">
        <v>1</v>
      </c>
      <c r="D496" s="109" t="s">
        <v>3</v>
      </c>
      <c r="E496" s="109" t="s">
        <v>3</v>
      </c>
      <c r="F496" s="110">
        <f>F497</f>
        <v>0</v>
      </c>
      <c r="G496" s="110"/>
      <c r="I496" s="125">
        <v>17779824</v>
      </c>
      <c r="L496" s="125">
        <f t="shared" si="19"/>
        <v>17779824</v>
      </c>
      <c r="M496" s="125">
        <f t="shared" si="20"/>
        <v>0</v>
      </c>
    </row>
    <row r="497" spans="1:13" ht="63" outlineLevel="4">
      <c r="A497" s="108" t="s">
        <v>1213</v>
      </c>
      <c r="B497" s="109" t="s">
        <v>229</v>
      </c>
      <c r="C497" s="109" t="s">
        <v>143</v>
      </c>
      <c r="D497" s="109" t="s">
        <v>3</v>
      </c>
      <c r="E497" s="109" t="s">
        <v>3</v>
      </c>
      <c r="F497" s="110">
        <f>F498</f>
        <v>0</v>
      </c>
      <c r="G497" s="110"/>
      <c r="I497" s="125">
        <v>17779824</v>
      </c>
      <c r="L497" s="125">
        <f t="shared" si="19"/>
        <v>17779824</v>
      </c>
      <c r="M497" s="125">
        <f t="shared" si="20"/>
        <v>0</v>
      </c>
    </row>
    <row r="498" spans="1:13" ht="15.75" outlineLevel="5">
      <c r="A498" s="108" t="s">
        <v>678</v>
      </c>
      <c r="B498" s="109" t="s">
        <v>229</v>
      </c>
      <c r="C498" s="109" t="s">
        <v>143</v>
      </c>
      <c r="D498" s="109" t="s">
        <v>159</v>
      </c>
      <c r="E498" s="109" t="s">
        <v>14</v>
      </c>
      <c r="F498" s="110">
        <f>Приложение_6!F505</f>
        <v>0</v>
      </c>
      <c r="G498" s="110"/>
      <c r="I498" s="125">
        <v>17779824</v>
      </c>
      <c r="L498" s="125">
        <f t="shared" si="19"/>
        <v>17779824</v>
      </c>
      <c r="M498" s="125">
        <f t="shared" si="20"/>
        <v>0</v>
      </c>
    </row>
    <row r="499" spans="1:13" ht="47.25" outlineLevel="5">
      <c r="A499" s="76" t="s">
        <v>1248</v>
      </c>
      <c r="B499" s="77" t="s">
        <v>1249</v>
      </c>
      <c r="C499" s="77" t="s">
        <v>1</v>
      </c>
      <c r="D499" s="109" t="s">
        <v>3</v>
      </c>
      <c r="E499" s="109" t="s">
        <v>3</v>
      </c>
      <c r="F499" s="110">
        <f>F500+F503+F509+F506</f>
        <v>12034805.69</v>
      </c>
      <c r="G499" s="110">
        <f>G500+G503+G509</f>
        <v>9588870</v>
      </c>
      <c r="I499" s="125"/>
      <c r="L499" s="125"/>
      <c r="M499" s="125"/>
    </row>
    <row r="500" spans="1:13" ht="63" outlineLevel="5">
      <c r="A500" s="76" t="s">
        <v>456</v>
      </c>
      <c r="B500" s="77" t="s">
        <v>1250</v>
      </c>
      <c r="C500" s="77" t="s">
        <v>1</v>
      </c>
      <c r="D500" s="109" t="s">
        <v>3</v>
      </c>
      <c r="E500" s="109" t="s">
        <v>3</v>
      </c>
      <c r="F500" s="110">
        <f>F501</f>
        <v>510635.69</v>
      </c>
      <c r="G500" s="110"/>
      <c r="I500" s="125"/>
      <c r="L500" s="125"/>
      <c r="M500" s="125"/>
    </row>
    <row r="501" spans="1:13" ht="63" outlineLevel="5">
      <c r="A501" s="76" t="s">
        <v>693</v>
      </c>
      <c r="B501" s="77" t="s">
        <v>1250</v>
      </c>
      <c r="C501" s="77" t="s">
        <v>17</v>
      </c>
      <c r="D501" s="109" t="s">
        <v>3</v>
      </c>
      <c r="E501" s="109" t="s">
        <v>3</v>
      </c>
      <c r="F501" s="110">
        <f>F502</f>
        <v>510635.69</v>
      </c>
      <c r="G501" s="110"/>
      <c r="I501" s="125"/>
      <c r="L501" s="125"/>
      <c r="M501" s="125"/>
    </row>
    <row r="502" spans="1:13" ht="15.75" outlineLevel="5">
      <c r="A502" s="108" t="s">
        <v>678</v>
      </c>
      <c r="B502" s="77" t="s">
        <v>1250</v>
      </c>
      <c r="C502" s="77" t="s">
        <v>17</v>
      </c>
      <c r="D502" s="109" t="s">
        <v>159</v>
      </c>
      <c r="E502" s="109" t="s">
        <v>14</v>
      </c>
      <c r="F502" s="110">
        <f>Приложение_6!F508</f>
        <v>510635.69</v>
      </c>
      <c r="G502" s="110"/>
      <c r="I502" s="125"/>
      <c r="L502" s="125"/>
      <c r="M502" s="125"/>
    </row>
    <row r="503" spans="1:13" ht="31.5" outlineLevel="5">
      <c r="A503" s="76" t="s">
        <v>441</v>
      </c>
      <c r="B503" s="77" t="s">
        <v>1251</v>
      </c>
      <c r="C503" s="77" t="s">
        <v>1</v>
      </c>
      <c r="D503" s="109" t="s">
        <v>3</v>
      </c>
      <c r="E503" s="109" t="s">
        <v>3</v>
      </c>
      <c r="F503" s="110">
        <f>F504</f>
        <v>635300</v>
      </c>
      <c r="G503" s="110"/>
      <c r="I503" s="125"/>
      <c r="L503" s="125"/>
      <c r="M503" s="125"/>
    </row>
    <row r="504" spans="1:13" ht="63" outlineLevel="5">
      <c r="A504" s="76" t="s">
        <v>693</v>
      </c>
      <c r="B504" s="77" t="s">
        <v>1251</v>
      </c>
      <c r="C504" s="77" t="s">
        <v>17</v>
      </c>
      <c r="D504" s="109" t="s">
        <v>3</v>
      </c>
      <c r="E504" s="109" t="s">
        <v>3</v>
      </c>
      <c r="F504" s="110">
        <f>F505</f>
        <v>635300</v>
      </c>
      <c r="G504" s="110"/>
      <c r="I504" s="125"/>
      <c r="L504" s="125"/>
      <c r="M504" s="125"/>
    </row>
    <row r="505" spans="1:13" ht="15.75" outlineLevel="5">
      <c r="A505" s="108" t="s">
        <v>678</v>
      </c>
      <c r="B505" s="77" t="s">
        <v>1251</v>
      </c>
      <c r="C505" s="77" t="s">
        <v>17</v>
      </c>
      <c r="D505" s="109" t="s">
        <v>159</v>
      </c>
      <c r="E505" s="109" t="s">
        <v>14</v>
      </c>
      <c r="F505" s="110">
        <f>Приложение_6!F510</f>
        <v>635300</v>
      </c>
      <c r="G505" s="110"/>
      <c r="I505" s="125"/>
      <c r="L505" s="125"/>
      <c r="M505" s="125"/>
    </row>
    <row r="506" spans="1:13" ht="63" outlineLevel="5">
      <c r="A506" s="108" t="s">
        <v>1262</v>
      </c>
      <c r="B506" s="77" t="s">
        <v>1276</v>
      </c>
      <c r="C506" s="77" t="s">
        <v>1</v>
      </c>
      <c r="D506" s="109" t="s">
        <v>3</v>
      </c>
      <c r="E506" s="109" t="s">
        <v>3</v>
      </c>
      <c r="F506" s="110">
        <f>F507</f>
        <v>1300000</v>
      </c>
      <c r="G506" s="110"/>
      <c r="I506" s="125"/>
      <c r="L506" s="125"/>
      <c r="M506" s="125"/>
    </row>
    <row r="507" spans="1:13" ht="63" outlineLevel="5">
      <c r="A507" s="76" t="s">
        <v>693</v>
      </c>
      <c r="B507" s="77" t="s">
        <v>1276</v>
      </c>
      <c r="C507" s="77" t="s">
        <v>17</v>
      </c>
      <c r="D507" s="109" t="s">
        <v>3</v>
      </c>
      <c r="E507" s="109" t="s">
        <v>3</v>
      </c>
      <c r="F507" s="110">
        <f>F508</f>
        <v>1300000</v>
      </c>
      <c r="G507" s="110"/>
      <c r="I507" s="125"/>
      <c r="L507" s="125"/>
      <c r="M507" s="125"/>
    </row>
    <row r="508" spans="1:13" ht="15.75" outlineLevel="5">
      <c r="A508" s="108" t="s">
        <v>678</v>
      </c>
      <c r="B508" s="77" t="s">
        <v>1263</v>
      </c>
      <c r="C508" s="77" t="s">
        <v>17</v>
      </c>
      <c r="D508" s="109" t="s">
        <v>159</v>
      </c>
      <c r="E508" s="109" t="s">
        <v>14</v>
      </c>
      <c r="F508" s="110">
        <f>Приложение_6!F512</f>
        <v>1300000</v>
      </c>
      <c r="G508" s="110"/>
      <c r="I508" s="125"/>
      <c r="L508" s="125"/>
      <c r="M508" s="125"/>
    </row>
    <row r="509" spans="1:13" ht="63" outlineLevel="5">
      <c r="A509" s="108" t="s">
        <v>1262</v>
      </c>
      <c r="B509" s="77" t="s">
        <v>1263</v>
      </c>
      <c r="C509" s="77" t="s">
        <v>1</v>
      </c>
      <c r="D509" s="109" t="s">
        <v>3</v>
      </c>
      <c r="E509" s="109" t="s">
        <v>3</v>
      </c>
      <c r="F509" s="110">
        <f>F510</f>
        <v>9588870</v>
      </c>
      <c r="G509" s="110">
        <f>F509</f>
        <v>9588870</v>
      </c>
      <c r="I509" s="125"/>
      <c r="L509" s="125"/>
      <c r="M509" s="125"/>
    </row>
    <row r="510" spans="1:13" ht="63" outlineLevel="5">
      <c r="A510" s="76" t="s">
        <v>693</v>
      </c>
      <c r="B510" s="77" t="s">
        <v>1263</v>
      </c>
      <c r="C510" s="77" t="s">
        <v>17</v>
      </c>
      <c r="D510" s="109" t="s">
        <v>3</v>
      </c>
      <c r="E510" s="109" t="s">
        <v>3</v>
      </c>
      <c r="F510" s="110">
        <f>F511</f>
        <v>9588870</v>
      </c>
      <c r="G510" s="110">
        <f>F510</f>
        <v>9588870</v>
      </c>
      <c r="I510" s="125"/>
      <c r="L510" s="125"/>
      <c r="M510" s="125"/>
    </row>
    <row r="511" spans="1:13" ht="15.75" outlineLevel="5">
      <c r="A511" s="108" t="s">
        <v>678</v>
      </c>
      <c r="B511" s="77" t="s">
        <v>1263</v>
      </c>
      <c r="C511" s="77" t="s">
        <v>17</v>
      </c>
      <c r="D511" s="109" t="s">
        <v>159</v>
      </c>
      <c r="E511" s="109" t="s">
        <v>14</v>
      </c>
      <c r="F511" s="110">
        <f>'Приложение_7 '!G526</f>
        <v>9588870</v>
      </c>
      <c r="G511" s="110">
        <f>F511</f>
        <v>9588870</v>
      </c>
      <c r="I511" s="125"/>
      <c r="L511" s="125"/>
      <c r="M511" s="125"/>
    </row>
    <row r="512" spans="1:13" ht="63" outlineLevel="2">
      <c r="A512" s="108" t="s">
        <v>557</v>
      </c>
      <c r="B512" s="109" t="s">
        <v>230</v>
      </c>
      <c r="C512" s="109" t="s">
        <v>1</v>
      </c>
      <c r="D512" s="109" t="s">
        <v>3</v>
      </c>
      <c r="E512" s="109" t="s">
        <v>3</v>
      </c>
      <c r="F512" s="110">
        <f>F513</f>
        <v>3663773.16</v>
      </c>
      <c r="G512" s="110"/>
      <c r="I512" s="125">
        <v>4002811.57</v>
      </c>
      <c r="L512" s="125">
        <f t="shared" si="19"/>
        <v>339038.4099999997</v>
      </c>
      <c r="M512" s="125">
        <f t="shared" si="20"/>
        <v>0</v>
      </c>
    </row>
    <row r="513" spans="1:13" ht="31.5" customHeight="1" outlineLevel="3">
      <c r="A513" s="108" t="s">
        <v>441</v>
      </c>
      <c r="B513" s="109" t="s">
        <v>231</v>
      </c>
      <c r="C513" s="109" t="s">
        <v>1</v>
      </c>
      <c r="D513" s="109" t="s">
        <v>3</v>
      </c>
      <c r="E513" s="109" t="s">
        <v>3</v>
      </c>
      <c r="F513" s="110">
        <f>F514</f>
        <v>3663773.16</v>
      </c>
      <c r="G513" s="110"/>
      <c r="I513" s="125">
        <v>4002811.57</v>
      </c>
      <c r="L513" s="125">
        <f aca="true" t="shared" si="21" ref="L513:L584">I513-F513</f>
        <v>339038.4099999997</v>
      </c>
      <c r="M513" s="125">
        <f aca="true" t="shared" si="22" ref="M513:M584">J513-G513</f>
        <v>0</v>
      </c>
    </row>
    <row r="514" spans="1:13" ht="63" outlineLevel="4">
      <c r="A514" s="108" t="s">
        <v>693</v>
      </c>
      <c r="B514" s="109" t="s">
        <v>231</v>
      </c>
      <c r="C514" s="109" t="s">
        <v>17</v>
      </c>
      <c r="D514" s="109" t="s">
        <v>3</v>
      </c>
      <c r="E514" s="109" t="s">
        <v>3</v>
      </c>
      <c r="F514" s="110">
        <f>F515</f>
        <v>3663773.16</v>
      </c>
      <c r="G514" s="110"/>
      <c r="I514" s="125">
        <v>4002811.57</v>
      </c>
      <c r="L514" s="125">
        <f t="shared" si="21"/>
        <v>339038.4099999997</v>
      </c>
      <c r="M514" s="125">
        <f t="shared" si="22"/>
        <v>0</v>
      </c>
    </row>
    <row r="515" spans="1:13" ht="15.75" outlineLevel="5">
      <c r="A515" s="108" t="s">
        <v>678</v>
      </c>
      <c r="B515" s="109" t="s">
        <v>231</v>
      </c>
      <c r="C515" s="109" t="s">
        <v>17</v>
      </c>
      <c r="D515" s="109" t="s">
        <v>159</v>
      </c>
      <c r="E515" s="109" t="s">
        <v>14</v>
      </c>
      <c r="F515" s="110">
        <f>Приложение_6!F517</f>
        <v>3663773.16</v>
      </c>
      <c r="G515" s="110"/>
      <c r="I515" s="125">
        <v>4002811.57</v>
      </c>
      <c r="L515" s="125">
        <f t="shared" si="21"/>
        <v>339038.4099999997</v>
      </c>
      <c r="M515" s="125">
        <f t="shared" si="22"/>
        <v>0</v>
      </c>
    </row>
    <row r="516" spans="1:13" ht="47.25" outlineLevel="2">
      <c r="A516" s="108" t="s">
        <v>531</v>
      </c>
      <c r="B516" s="109" t="s">
        <v>162</v>
      </c>
      <c r="C516" s="109" t="s">
        <v>1</v>
      </c>
      <c r="D516" s="109" t="s">
        <v>3</v>
      </c>
      <c r="E516" s="109" t="s">
        <v>3</v>
      </c>
      <c r="F516" s="110">
        <f>F517+F520</f>
        <v>3608380</v>
      </c>
      <c r="G516" s="110">
        <f>G517+G520</f>
        <v>3608380</v>
      </c>
      <c r="I516" s="125">
        <v>3608380</v>
      </c>
      <c r="J516" s="125">
        <v>3608380</v>
      </c>
      <c r="L516" s="125">
        <f t="shared" si="21"/>
        <v>0</v>
      </c>
      <c r="M516" s="125">
        <f t="shared" si="22"/>
        <v>0</v>
      </c>
    </row>
    <row r="517" spans="1:13" ht="63" outlineLevel="3">
      <c r="A517" s="108" t="s">
        <v>450</v>
      </c>
      <c r="B517" s="109" t="s">
        <v>163</v>
      </c>
      <c r="C517" s="109" t="s">
        <v>1</v>
      </c>
      <c r="D517" s="109" t="s">
        <v>3</v>
      </c>
      <c r="E517" s="109" t="s">
        <v>3</v>
      </c>
      <c r="F517" s="110">
        <f>F518</f>
        <v>3590760</v>
      </c>
      <c r="G517" s="110">
        <f>G518</f>
        <v>3590760</v>
      </c>
      <c r="I517" s="125">
        <v>3590760</v>
      </c>
      <c r="J517" s="125">
        <v>3590760</v>
      </c>
      <c r="L517" s="125">
        <f t="shared" si="21"/>
        <v>0</v>
      </c>
      <c r="M517" s="125">
        <f t="shared" si="22"/>
        <v>0</v>
      </c>
    </row>
    <row r="518" spans="1:13" ht="63" outlineLevel="4">
      <c r="A518" s="108" t="s">
        <v>693</v>
      </c>
      <c r="B518" s="109" t="s">
        <v>163</v>
      </c>
      <c r="C518" s="109" t="s">
        <v>17</v>
      </c>
      <c r="D518" s="109" t="s">
        <v>3</v>
      </c>
      <c r="E518" s="109" t="s">
        <v>3</v>
      </c>
      <c r="F518" s="110">
        <f>F519</f>
        <v>3590760</v>
      </c>
      <c r="G518" s="110">
        <f>G519</f>
        <v>3590760</v>
      </c>
      <c r="I518" s="125">
        <v>3590760</v>
      </c>
      <c r="J518" s="125">
        <v>3590760</v>
      </c>
      <c r="L518" s="125">
        <f t="shared" si="21"/>
        <v>0</v>
      </c>
      <c r="M518" s="125">
        <f t="shared" si="22"/>
        <v>0</v>
      </c>
    </row>
    <row r="519" spans="1:13" ht="31.5" outlineLevel="5">
      <c r="A519" s="108" t="s">
        <v>671</v>
      </c>
      <c r="B519" s="109" t="s">
        <v>163</v>
      </c>
      <c r="C519" s="109" t="s">
        <v>17</v>
      </c>
      <c r="D519" s="109" t="s">
        <v>22</v>
      </c>
      <c r="E519" s="109" t="s">
        <v>159</v>
      </c>
      <c r="F519" s="110">
        <f>Приложение_6!F335</f>
        <v>3590760</v>
      </c>
      <c r="G519" s="110">
        <f>F519</f>
        <v>3590760</v>
      </c>
      <c r="I519" s="125">
        <v>3590760</v>
      </c>
      <c r="J519" s="125">
        <v>3590760</v>
      </c>
      <c r="L519" s="125">
        <f t="shared" si="21"/>
        <v>0</v>
      </c>
      <c r="M519" s="125">
        <f t="shared" si="22"/>
        <v>0</v>
      </c>
    </row>
    <row r="520" spans="1:13" ht="110.25" outlineLevel="3">
      <c r="A520" s="108" t="s">
        <v>451</v>
      </c>
      <c r="B520" s="109" t="s">
        <v>164</v>
      </c>
      <c r="C520" s="109" t="s">
        <v>1</v>
      </c>
      <c r="D520" s="109" t="s">
        <v>3</v>
      </c>
      <c r="E520" s="109" t="s">
        <v>3</v>
      </c>
      <c r="F520" s="110">
        <f>F521</f>
        <v>17620</v>
      </c>
      <c r="G520" s="110">
        <f>G521</f>
        <v>17620</v>
      </c>
      <c r="I520" s="125">
        <v>17620</v>
      </c>
      <c r="J520" s="125">
        <v>17620</v>
      </c>
      <c r="L520" s="125">
        <f t="shared" si="21"/>
        <v>0</v>
      </c>
      <c r="M520" s="125">
        <f t="shared" si="22"/>
        <v>0</v>
      </c>
    </row>
    <row r="521" spans="1:13" ht="63" outlineLevel="4">
      <c r="A521" s="108" t="s">
        <v>693</v>
      </c>
      <c r="B521" s="109" t="s">
        <v>164</v>
      </c>
      <c r="C521" s="109" t="s">
        <v>17</v>
      </c>
      <c r="D521" s="109" t="s">
        <v>3</v>
      </c>
      <c r="E521" s="109" t="s">
        <v>3</v>
      </c>
      <c r="F521" s="110">
        <f>F522</f>
        <v>17620</v>
      </c>
      <c r="G521" s="110">
        <f>G522</f>
        <v>17620</v>
      </c>
      <c r="I521" s="125">
        <v>17620</v>
      </c>
      <c r="J521" s="125">
        <v>17620</v>
      </c>
      <c r="L521" s="125">
        <f t="shared" si="21"/>
        <v>0</v>
      </c>
      <c r="M521" s="125">
        <f t="shared" si="22"/>
        <v>0</v>
      </c>
    </row>
    <row r="522" spans="1:13" ht="31.5" outlineLevel="5">
      <c r="A522" s="108" t="s">
        <v>671</v>
      </c>
      <c r="B522" s="109" t="s">
        <v>164</v>
      </c>
      <c r="C522" s="109" t="s">
        <v>17</v>
      </c>
      <c r="D522" s="109" t="s">
        <v>22</v>
      </c>
      <c r="E522" s="109" t="s">
        <v>159</v>
      </c>
      <c r="F522" s="110">
        <f>Приложение_6!F337</f>
        <v>17620</v>
      </c>
      <c r="G522" s="110">
        <f>F522</f>
        <v>17620</v>
      </c>
      <c r="I522" s="125">
        <v>17620</v>
      </c>
      <c r="J522" s="125">
        <v>17620</v>
      </c>
      <c r="L522" s="125">
        <f t="shared" si="21"/>
        <v>0</v>
      </c>
      <c r="M522" s="125">
        <f t="shared" si="22"/>
        <v>0</v>
      </c>
    </row>
    <row r="523" spans="1:13" ht="78.75" outlineLevel="2">
      <c r="A523" s="108" t="s">
        <v>558</v>
      </c>
      <c r="B523" s="109" t="s">
        <v>232</v>
      </c>
      <c r="C523" s="109" t="s">
        <v>1</v>
      </c>
      <c r="D523" s="109" t="s">
        <v>3</v>
      </c>
      <c r="E523" s="109" t="s">
        <v>3</v>
      </c>
      <c r="F523" s="110">
        <f>F524</f>
        <v>1190564</v>
      </c>
      <c r="G523" s="110"/>
      <c r="I523" s="125">
        <v>1190564</v>
      </c>
      <c r="L523" s="125">
        <f t="shared" si="21"/>
        <v>0</v>
      </c>
      <c r="M523" s="125">
        <f t="shared" si="22"/>
        <v>0</v>
      </c>
    </row>
    <row r="524" spans="1:13" ht="31.5" customHeight="1" outlineLevel="3">
      <c r="A524" s="108" t="s">
        <v>441</v>
      </c>
      <c r="B524" s="109" t="s">
        <v>233</v>
      </c>
      <c r="C524" s="109" t="s">
        <v>1</v>
      </c>
      <c r="D524" s="109" t="s">
        <v>3</v>
      </c>
      <c r="E524" s="109" t="s">
        <v>3</v>
      </c>
      <c r="F524" s="110">
        <f>F525</f>
        <v>1190564</v>
      </c>
      <c r="G524" s="110"/>
      <c r="I524" s="125">
        <v>1190564</v>
      </c>
      <c r="L524" s="125">
        <f t="shared" si="21"/>
        <v>0</v>
      </c>
      <c r="M524" s="125">
        <f t="shared" si="22"/>
        <v>0</v>
      </c>
    </row>
    <row r="525" spans="1:13" ht="63" outlineLevel="4">
      <c r="A525" s="108" t="s">
        <v>693</v>
      </c>
      <c r="B525" s="109" t="s">
        <v>233</v>
      </c>
      <c r="C525" s="109" t="s">
        <v>17</v>
      </c>
      <c r="D525" s="109" t="s">
        <v>3</v>
      </c>
      <c r="E525" s="109" t="s">
        <v>3</v>
      </c>
      <c r="F525" s="110">
        <f>F526</f>
        <v>1190564</v>
      </c>
      <c r="G525" s="110"/>
      <c r="I525" s="125">
        <v>1190564</v>
      </c>
      <c r="L525" s="125">
        <f t="shared" si="21"/>
        <v>0</v>
      </c>
      <c r="M525" s="125">
        <f t="shared" si="22"/>
        <v>0</v>
      </c>
    </row>
    <row r="526" spans="1:13" ht="15.75" outlineLevel="5">
      <c r="A526" s="108" t="s">
        <v>678</v>
      </c>
      <c r="B526" s="109" t="s">
        <v>233</v>
      </c>
      <c r="C526" s="109" t="s">
        <v>17</v>
      </c>
      <c r="D526" s="109" t="s">
        <v>159</v>
      </c>
      <c r="E526" s="109" t="s">
        <v>14</v>
      </c>
      <c r="F526" s="110">
        <f>Приложение_6!F520</f>
        <v>1190564</v>
      </c>
      <c r="G526" s="110"/>
      <c r="I526" s="125">
        <v>1190564</v>
      </c>
      <c r="L526" s="125">
        <f t="shared" si="21"/>
        <v>0</v>
      </c>
      <c r="M526" s="125">
        <f t="shared" si="22"/>
        <v>0</v>
      </c>
    </row>
    <row r="527" spans="1:13" ht="47.25" outlineLevel="5">
      <c r="A527" s="76" t="s">
        <v>1252</v>
      </c>
      <c r="B527" s="77" t="s">
        <v>1253</v>
      </c>
      <c r="C527" s="77" t="s">
        <v>1</v>
      </c>
      <c r="D527" s="109" t="s">
        <v>3</v>
      </c>
      <c r="E527" s="109" t="s">
        <v>3</v>
      </c>
      <c r="F527" s="110">
        <f>F528</f>
        <v>721981.83</v>
      </c>
      <c r="G527" s="110"/>
      <c r="I527" s="125"/>
      <c r="L527" s="125"/>
      <c r="M527" s="125"/>
    </row>
    <row r="528" spans="1:13" ht="31.5" outlineLevel="5">
      <c r="A528" s="76" t="s">
        <v>441</v>
      </c>
      <c r="B528" s="77" t="s">
        <v>1254</v>
      </c>
      <c r="C528" s="77" t="s">
        <v>1</v>
      </c>
      <c r="D528" s="109" t="s">
        <v>3</v>
      </c>
      <c r="E528" s="109" t="s">
        <v>3</v>
      </c>
      <c r="F528" s="110">
        <f>F529</f>
        <v>721981.83</v>
      </c>
      <c r="G528" s="110"/>
      <c r="I528" s="125"/>
      <c r="L528" s="125"/>
      <c r="M528" s="125"/>
    </row>
    <row r="529" spans="1:13" ht="63" outlineLevel="5">
      <c r="A529" s="76" t="s">
        <v>693</v>
      </c>
      <c r="B529" s="77" t="s">
        <v>1254</v>
      </c>
      <c r="C529" s="77" t="s">
        <v>17</v>
      </c>
      <c r="D529" s="109" t="s">
        <v>3</v>
      </c>
      <c r="E529" s="109" t="s">
        <v>3</v>
      </c>
      <c r="F529" s="110">
        <f>F530</f>
        <v>721981.83</v>
      </c>
      <c r="G529" s="110"/>
      <c r="I529" s="125"/>
      <c r="L529" s="125"/>
      <c r="M529" s="125"/>
    </row>
    <row r="530" spans="1:13" ht="15.75" outlineLevel="5">
      <c r="A530" s="108" t="s">
        <v>678</v>
      </c>
      <c r="B530" s="77" t="s">
        <v>1254</v>
      </c>
      <c r="C530" s="77" t="s">
        <v>17</v>
      </c>
      <c r="D530" s="109" t="s">
        <v>159</v>
      </c>
      <c r="E530" s="109" t="s">
        <v>14</v>
      </c>
      <c r="F530" s="110">
        <f>Приложение_6!F523</f>
        <v>721981.83</v>
      </c>
      <c r="G530" s="110"/>
      <c r="I530" s="125"/>
      <c r="L530" s="125"/>
      <c r="M530" s="125"/>
    </row>
    <row r="531" spans="1:13" ht="78.75" outlineLevel="1">
      <c r="A531" s="115" t="s">
        <v>639</v>
      </c>
      <c r="B531" s="116" t="s">
        <v>234</v>
      </c>
      <c r="C531" s="116" t="s">
        <v>1</v>
      </c>
      <c r="D531" s="116" t="s">
        <v>3</v>
      </c>
      <c r="E531" s="116" t="s">
        <v>3</v>
      </c>
      <c r="F531" s="117">
        <f>F532</f>
        <v>1435663.78</v>
      </c>
      <c r="G531" s="117"/>
      <c r="I531" s="125">
        <v>1456483.09</v>
      </c>
      <c r="L531" s="125">
        <f t="shared" si="21"/>
        <v>20819.310000000056</v>
      </c>
      <c r="M531" s="125">
        <f t="shared" si="22"/>
        <v>0</v>
      </c>
    </row>
    <row r="532" spans="1:13" ht="63" outlineLevel="2">
      <c r="A532" s="108" t="s">
        <v>559</v>
      </c>
      <c r="B532" s="109" t="s">
        <v>235</v>
      </c>
      <c r="C532" s="109" t="s">
        <v>1</v>
      </c>
      <c r="D532" s="109" t="s">
        <v>3</v>
      </c>
      <c r="E532" s="109" t="s">
        <v>3</v>
      </c>
      <c r="F532" s="110">
        <f>F533+F542</f>
        <v>1435663.78</v>
      </c>
      <c r="G532" s="110"/>
      <c r="I532" s="125">
        <v>1456483.09</v>
      </c>
      <c r="L532" s="125">
        <f t="shared" si="21"/>
        <v>20819.310000000056</v>
      </c>
      <c r="M532" s="125">
        <f t="shared" si="22"/>
        <v>0</v>
      </c>
    </row>
    <row r="533" spans="1:13" ht="126" outlineLevel="3">
      <c r="A533" s="108" t="s">
        <v>443</v>
      </c>
      <c r="B533" s="109" t="s">
        <v>236</v>
      </c>
      <c r="C533" s="109" t="s">
        <v>1</v>
      </c>
      <c r="D533" s="109" t="s">
        <v>3</v>
      </c>
      <c r="E533" s="109" t="s">
        <v>3</v>
      </c>
      <c r="F533" s="110">
        <f>F534+F536+F538+F540</f>
        <v>1435663.78</v>
      </c>
      <c r="G533" s="110"/>
      <c r="I533" s="125">
        <v>1031204.53</v>
      </c>
      <c r="L533" s="125">
        <f t="shared" si="21"/>
        <v>-404459.25</v>
      </c>
      <c r="M533" s="125">
        <f t="shared" si="22"/>
        <v>0</v>
      </c>
    </row>
    <row r="534" spans="1:13" ht="141.75" outlineLevel="4">
      <c r="A534" s="108" t="s">
        <v>1202</v>
      </c>
      <c r="B534" s="109" t="s">
        <v>236</v>
      </c>
      <c r="C534" s="109" t="s">
        <v>10</v>
      </c>
      <c r="D534" s="109" t="s">
        <v>3</v>
      </c>
      <c r="E534" s="109" t="s">
        <v>3</v>
      </c>
      <c r="F534" s="110">
        <f>F535</f>
        <v>1353509.81</v>
      </c>
      <c r="G534" s="110"/>
      <c r="I534" s="125">
        <v>1029104.53</v>
      </c>
      <c r="L534" s="125">
        <f t="shared" si="21"/>
        <v>-324405.28</v>
      </c>
      <c r="M534" s="125">
        <f t="shared" si="22"/>
        <v>0</v>
      </c>
    </row>
    <row r="535" spans="1:13" ht="47.25" outlineLevel="5">
      <c r="A535" s="108" t="s">
        <v>679</v>
      </c>
      <c r="B535" s="109" t="s">
        <v>236</v>
      </c>
      <c r="C535" s="109" t="s">
        <v>10</v>
      </c>
      <c r="D535" s="109" t="s">
        <v>159</v>
      </c>
      <c r="E535" s="109" t="s">
        <v>159</v>
      </c>
      <c r="F535" s="110">
        <f>Приложение_6!F529</f>
        <v>1353509.81</v>
      </c>
      <c r="G535" s="110"/>
      <c r="I535" s="125">
        <v>1029104.53</v>
      </c>
      <c r="L535" s="125">
        <f t="shared" si="21"/>
        <v>-324405.28</v>
      </c>
      <c r="M535" s="125">
        <f t="shared" si="22"/>
        <v>0</v>
      </c>
    </row>
    <row r="536" spans="1:13" ht="63" outlineLevel="4">
      <c r="A536" s="108" t="s">
        <v>693</v>
      </c>
      <c r="B536" s="109" t="s">
        <v>236</v>
      </c>
      <c r="C536" s="109" t="s">
        <v>17</v>
      </c>
      <c r="D536" s="109" t="s">
        <v>3</v>
      </c>
      <c r="E536" s="109" t="s">
        <v>3</v>
      </c>
      <c r="F536" s="110">
        <f>F537</f>
        <v>3231.83</v>
      </c>
      <c r="G536" s="110"/>
      <c r="I536" s="125">
        <v>2100</v>
      </c>
      <c r="L536" s="125">
        <f t="shared" si="21"/>
        <v>-1131.83</v>
      </c>
      <c r="M536" s="125">
        <f t="shared" si="22"/>
        <v>0</v>
      </c>
    </row>
    <row r="537" spans="1:13" ht="47.25" outlineLevel="5">
      <c r="A537" s="108" t="s">
        <v>679</v>
      </c>
      <c r="B537" s="109" t="s">
        <v>236</v>
      </c>
      <c r="C537" s="109" t="s">
        <v>17</v>
      </c>
      <c r="D537" s="109" t="s">
        <v>159</v>
      </c>
      <c r="E537" s="109" t="s">
        <v>159</v>
      </c>
      <c r="F537" s="110">
        <f>Приложение_6!F530</f>
        <v>3231.83</v>
      </c>
      <c r="G537" s="110"/>
      <c r="I537" s="125">
        <v>2100</v>
      </c>
      <c r="L537" s="125">
        <f t="shared" si="21"/>
        <v>-1131.83</v>
      </c>
      <c r="M537" s="125">
        <f t="shared" si="22"/>
        <v>0</v>
      </c>
    </row>
    <row r="538" spans="1:13" ht="31.5" outlineLevel="5">
      <c r="A538" s="76" t="s">
        <v>694</v>
      </c>
      <c r="B538" s="109" t="s">
        <v>236</v>
      </c>
      <c r="C538" s="109" t="s">
        <v>47</v>
      </c>
      <c r="D538" s="109" t="s">
        <v>3</v>
      </c>
      <c r="E538" s="109" t="s">
        <v>3</v>
      </c>
      <c r="F538" s="110">
        <f>F539</f>
        <v>78922.14</v>
      </c>
      <c r="G538" s="110"/>
      <c r="I538" s="125"/>
      <c r="L538" s="125"/>
      <c r="M538" s="125"/>
    </row>
    <row r="539" spans="1:13" ht="47.25" outlineLevel="5">
      <c r="A539" s="108" t="s">
        <v>679</v>
      </c>
      <c r="B539" s="109" t="s">
        <v>236</v>
      </c>
      <c r="C539" s="109" t="s">
        <v>47</v>
      </c>
      <c r="D539" s="109" t="s">
        <v>159</v>
      </c>
      <c r="E539" s="109" t="s">
        <v>159</v>
      </c>
      <c r="F539" s="110">
        <f>Приложение_6!F531</f>
        <v>78922.14</v>
      </c>
      <c r="G539" s="110"/>
      <c r="I539" s="125"/>
      <c r="L539" s="125"/>
      <c r="M539" s="125"/>
    </row>
    <row r="540" spans="1:13" ht="31.5" outlineLevel="5">
      <c r="A540" s="76" t="s">
        <v>695</v>
      </c>
      <c r="B540" s="109" t="s">
        <v>236</v>
      </c>
      <c r="C540" s="109" t="s">
        <v>65</v>
      </c>
      <c r="D540" s="109" t="s">
        <v>3</v>
      </c>
      <c r="E540" s="109" t="s">
        <v>3</v>
      </c>
      <c r="F540" s="110">
        <f>F541</f>
        <v>0</v>
      </c>
      <c r="G540" s="110"/>
      <c r="I540" s="125"/>
      <c r="L540" s="125"/>
      <c r="M540" s="125"/>
    </row>
    <row r="541" spans="1:13" ht="47.25" outlineLevel="5">
      <c r="A541" s="108" t="s">
        <v>679</v>
      </c>
      <c r="B541" s="109" t="s">
        <v>236</v>
      </c>
      <c r="C541" s="109" t="s">
        <v>65</v>
      </c>
      <c r="D541" s="109" t="s">
        <v>159</v>
      </c>
      <c r="E541" s="109" t="s">
        <v>159</v>
      </c>
      <c r="F541" s="110">
        <f>Приложение_6!F532</f>
        <v>0</v>
      </c>
      <c r="G541" s="110"/>
      <c r="I541" s="125"/>
      <c r="L541" s="125"/>
      <c r="M541" s="125"/>
    </row>
    <row r="542" spans="1:13" ht="31.5" customHeight="1" outlineLevel="3">
      <c r="A542" s="108" t="s">
        <v>441</v>
      </c>
      <c r="B542" s="109" t="s">
        <v>237</v>
      </c>
      <c r="C542" s="109" t="s">
        <v>1</v>
      </c>
      <c r="D542" s="109" t="s">
        <v>3</v>
      </c>
      <c r="E542" s="109" t="s">
        <v>3</v>
      </c>
      <c r="F542" s="110">
        <f>F543</f>
        <v>0</v>
      </c>
      <c r="G542" s="110"/>
      <c r="I542" s="125">
        <v>425278.56</v>
      </c>
      <c r="L542" s="125">
        <f t="shared" si="21"/>
        <v>425278.56</v>
      </c>
      <c r="M542" s="125">
        <f t="shared" si="22"/>
        <v>0</v>
      </c>
    </row>
    <row r="543" spans="1:13" ht="63" outlineLevel="4">
      <c r="A543" s="108" t="s">
        <v>693</v>
      </c>
      <c r="B543" s="109" t="s">
        <v>237</v>
      </c>
      <c r="C543" s="109" t="s">
        <v>17</v>
      </c>
      <c r="D543" s="109" t="s">
        <v>3</v>
      </c>
      <c r="E543" s="109" t="s">
        <v>3</v>
      </c>
      <c r="F543" s="110">
        <f>F544</f>
        <v>0</v>
      </c>
      <c r="G543" s="110"/>
      <c r="I543" s="125">
        <v>425278.56</v>
      </c>
      <c r="L543" s="125">
        <f t="shared" si="21"/>
        <v>425278.56</v>
      </c>
      <c r="M543" s="125">
        <f t="shared" si="22"/>
        <v>0</v>
      </c>
    </row>
    <row r="544" spans="1:13" ht="47.25" outlineLevel="5">
      <c r="A544" s="108" t="s">
        <v>679</v>
      </c>
      <c r="B544" s="109" t="s">
        <v>237</v>
      </c>
      <c r="C544" s="109" t="s">
        <v>17</v>
      </c>
      <c r="D544" s="109" t="s">
        <v>159</v>
      </c>
      <c r="E544" s="109" t="s">
        <v>159</v>
      </c>
      <c r="F544" s="110">
        <f>Приложение_6!F534</f>
        <v>0</v>
      </c>
      <c r="G544" s="110"/>
      <c r="I544" s="125">
        <v>425278.56</v>
      </c>
      <c r="L544" s="125">
        <f t="shared" si="21"/>
        <v>425278.56</v>
      </c>
      <c r="M544" s="125">
        <f t="shared" si="22"/>
        <v>0</v>
      </c>
    </row>
    <row r="545" spans="1:13" ht="63" outlineLevel="1">
      <c r="A545" s="115" t="s">
        <v>631</v>
      </c>
      <c r="B545" s="116" t="s">
        <v>166</v>
      </c>
      <c r="C545" s="116" t="s">
        <v>1</v>
      </c>
      <c r="D545" s="116" t="s">
        <v>3</v>
      </c>
      <c r="E545" s="116" t="s">
        <v>3</v>
      </c>
      <c r="F545" s="117">
        <f>F546+F550+F554</f>
        <v>23798783.1</v>
      </c>
      <c r="G545" s="117">
        <f>G546+G550+G554</f>
        <v>1038366.8</v>
      </c>
      <c r="I545" s="125">
        <v>27473341.8</v>
      </c>
      <c r="J545" s="121">
        <v>1038366.8</v>
      </c>
      <c r="L545" s="125">
        <f t="shared" si="21"/>
        <v>3674558.6999999993</v>
      </c>
      <c r="M545" s="125">
        <f t="shared" si="22"/>
        <v>0</v>
      </c>
    </row>
    <row r="546" spans="1:13" ht="126" outlineLevel="2">
      <c r="A546" s="108" t="s">
        <v>532</v>
      </c>
      <c r="B546" s="109" t="s">
        <v>167</v>
      </c>
      <c r="C546" s="109" t="s">
        <v>1</v>
      </c>
      <c r="D546" s="109" t="s">
        <v>3</v>
      </c>
      <c r="E546" s="109" t="s">
        <v>3</v>
      </c>
      <c r="F546" s="110">
        <f>F547</f>
        <v>18893000</v>
      </c>
      <c r="G546" s="110"/>
      <c r="I546" s="125">
        <v>18893000</v>
      </c>
      <c r="L546" s="125">
        <f t="shared" si="21"/>
        <v>0</v>
      </c>
      <c r="M546" s="125">
        <f t="shared" si="22"/>
        <v>0</v>
      </c>
    </row>
    <row r="547" spans="1:13" ht="78.75" outlineLevel="3">
      <c r="A547" s="108" t="s">
        <v>452</v>
      </c>
      <c r="B547" s="109" t="s">
        <v>168</v>
      </c>
      <c r="C547" s="109" t="s">
        <v>1</v>
      </c>
      <c r="D547" s="109" t="s">
        <v>3</v>
      </c>
      <c r="E547" s="109" t="s">
        <v>3</v>
      </c>
      <c r="F547" s="110">
        <f>F548</f>
        <v>18893000</v>
      </c>
      <c r="G547" s="110"/>
      <c r="I547" s="125">
        <v>18893000</v>
      </c>
      <c r="L547" s="125">
        <f t="shared" si="21"/>
        <v>0</v>
      </c>
      <c r="M547" s="125">
        <f t="shared" si="22"/>
        <v>0</v>
      </c>
    </row>
    <row r="548" spans="1:13" ht="31.5" outlineLevel="4">
      <c r="A548" s="108" t="s">
        <v>695</v>
      </c>
      <c r="B548" s="109" t="s">
        <v>168</v>
      </c>
      <c r="C548" s="109" t="s">
        <v>65</v>
      </c>
      <c r="D548" s="109" t="s">
        <v>3</v>
      </c>
      <c r="E548" s="109" t="s">
        <v>3</v>
      </c>
      <c r="F548" s="110">
        <f>F549</f>
        <v>18893000</v>
      </c>
      <c r="G548" s="110"/>
      <c r="I548" s="125">
        <v>18893000</v>
      </c>
      <c r="L548" s="125">
        <f t="shared" si="21"/>
        <v>0</v>
      </c>
      <c r="M548" s="125">
        <f t="shared" si="22"/>
        <v>0</v>
      </c>
    </row>
    <row r="549" spans="1:13" ht="15.75" outlineLevel="5">
      <c r="A549" s="108" t="s">
        <v>672</v>
      </c>
      <c r="B549" s="109" t="s">
        <v>168</v>
      </c>
      <c r="C549" s="109" t="s">
        <v>65</v>
      </c>
      <c r="D549" s="109" t="s">
        <v>22</v>
      </c>
      <c r="E549" s="109" t="s">
        <v>165</v>
      </c>
      <c r="F549" s="110">
        <f>Приложение_6!F343</f>
        <v>18893000</v>
      </c>
      <c r="G549" s="110"/>
      <c r="I549" s="125">
        <v>18893000</v>
      </c>
      <c r="L549" s="125">
        <f t="shared" si="21"/>
        <v>0</v>
      </c>
      <c r="M549" s="125">
        <f t="shared" si="22"/>
        <v>0</v>
      </c>
    </row>
    <row r="550" spans="1:13" ht="126" outlineLevel="2">
      <c r="A550" s="108" t="s">
        <v>533</v>
      </c>
      <c r="B550" s="109" t="s">
        <v>169</v>
      </c>
      <c r="C550" s="109" t="s">
        <v>1</v>
      </c>
      <c r="D550" s="109" t="s">
        <v>3</v>
      </c>
      <c r="E550" s="109" t="s">
        <v>3</v>
      </c>
      <c r="F550" s="110">
        <f aca="true" t="shared" si="23" ref="F550:G552">F551</f>
        <v>1038366.8</v>
      </c>
      <c r="G550" s="110">
        <f t="shared" si="23"/>
        <v>1038366.8</v>
      </c>
      <c r="I550" s="125">
        <v>1038366.8</v>
      </c>
      <c r="J550" s="125">
        <v>1038366.8</v>
      </c>
      <c r="L550" s="125">
        <f t="shared" si="21"/>
        <v>0</v>
      </c>
      <c r="M550" s="125">
        <f t="shared" si="22"/>
        <v>0</v>
      </c>
    </row>
    <row r="551" spans="1:13" ht="189" outlineLevel="3">
      <c r="A551" s="108" t="s">
        <v>453</v>
      </c>
      <c r="B551" s="109" t="s">
        <v>170</v>
      </c>
      <c r="C551" s="109" t="s">
        <v>1</v>
      </c>
      <c r="D551" s="109" t="s">
        <v>3</v>
      </c>
      <c r="E551" s="109" t="s">
        <v>3</v>
      </c>
      <c r="F551" s="110">
        <f t="shared" si="23"/>
        <v>1038366.8</v>
      </c>
      <c r="G551" s="110">
        <f t="shared" si="23"/>
        <v>1038366.8</v>
      </c>
      <c r="I551" s="125">
        <v>1038366.8</v>
      </c>
      <c r="J551" s="125">
        <v>1038366.8</v>
      </c>
      <c r="L551" s="125">
        <f t="shared" si="21"/>
        <v>0</v>
      </c>
      <c r="M551" s="125">
        <f t="shared" si="22"/>
        <v>0</v>
      </c>
    </row>
    <row r="552" spans="1:13" ht="31.5" outlineLevel="4">
      <c r="A552" s="108" t="s">
        <v>695</v>
      </c>
      <c r="B552" s="109" t="s">
        <v>170</v>
      </c>
      <c r="C552" s="109" t="s">
        <v>65</v>
      </c>
      <c r="D552" s="109" t="s">
        <v>3</v>
      </c>
      <c r="E552" s="109" t="s">
        <v>3</v>
      </c>
      <c r="F552" s="110">
        <f t="shared" si="23"/>
        <v>1038366.8</v>
      </c>
      <c r="G552" s="110">
        <f t="shared" si="23"/>
        <v>1038366.8</v>
      </c>
      <c r="I552" s="125">
        <v>1038366.8</v>
      </c>
      <c r="J552" s="125">
        <v>1038366.8</v>
      </c>
      <c r="L552" s="125">
        <f t="shared" si="21"/>
        <v>0</v>
      </c>
      <c r="M552" s="125">
        <f t="shared" si="22"/>
        <v>0</v>
      </c>
    </row>
    <row r="553" spans="1:13" ht="15.75" outlineLevel="5">
      <c r="A553" s="108" t="s">
        <v>672</v>
      </c>
      <c r="B553" s="109" t="s">
        <v>170</v>
      </c>
      <c r="C553" s="109" t="s">
        <v>65</v>
      </c>
      <c r="D553" s="109" t="s">
        <v>22</v>
      </c>
      <c r="E553" s="109" t="s">
        <v>165</v>
      </c>
      <c r="F553" s="110">
        <f>Приложение_6!F346</f>
        <v>1038366.8</v>
      </c>
      <c r="G553" s="110">
        <f>F553</f>
        <v>1038366.8</v>
      </c>
      <c r="I553" s="125">
        <v>1038366.8</v>
      </c>
      <c r="J553" s="125">
        <v>1038366.8</v>
      </c>
      <c r="L553" s="125">
        <f t="shared" si="21"/>
        <v>0</v>
      </c>
      <c r="M553" s="125">
        <f t="shared" si="22"/>
        <v>0</v>
      </c>
    </row>
    <row r="554" spans="1:13" ht="15.75" outlineLevel="2">
      <c r="A554" s="108" t="s">
        <v>534</v>
      </c>
      <c r="B554" s="109" t="s">
        <v>171</v>
      </c>
      <c r="C554" s="109" t="s">
        <v>1</v>
      </c>
      <c r="D554" s="109" t="s">
        <v>3</v>
      </c>
      <c r="E554" s="109" t="s">
        <v>3</v>
      </c>
      <c r="F554" s="110">
        <f>F555</f>
        <v>3867416.3</v>
      </c>
      <c r="G554" s="110"/>
      <c r="I554" s="125">
        <v>7541975</v>
      </c>
      <c r="L554" s="125">
        <f t="shared" si="21"/>
        <v>3674558.7</v>
      </c>
      <c r="M554" s="125">
        <f t="shared" si="22"/>
        <v>0</v>
      </c>
    </row>
    <row r="555" spans="1:13" ht="31.5" customHeight="1" outlineLevel="3">
      <c r="A555" s="108" t="s">
        <v>441</v>
      </c>
      <c r="B555" s="109" t="s">
        <v>172</v>
      </c>
      <c r="C555" s="109" t="s">
        <v>1</v>
      </c>
      <c r="D555" s="109" t="s">
        <v>3</v>
      </c>
      <c r="E555" s="109" t="s">
        <v>3</v>
      </c>
      <c r="F555" s="110">
        <f>F556+F558</f>
        <v>3867416.3</v>
      </c>
      <c r="G555" s="110"/>
      <c r="I555" s="125">
        <v>7541975</v>
      </c>
      <c r="L555" s="125">
        <f t="shared" si="21"/>
        <v>3674558.7</v>
      </c>
      <c r="M555" s="125">
        <f t="shared" si="22"/>
        <v>0</v>
      </c>
    </row>
    <row r="556" spans="1:13" ht="63" outlineLevel="4">
      <c r="A556" s="108" t="s">
        <v>693</v>
      </c>
      <c r="B556" s="109" t="s">
        <v>172</v>
      </c>
      <c r="C556" s="109" t="s">
        <v>17</v>
      </c>
      <c r="D556" s="109" t="s">
        <v>3</v>
      </c>
      <c r="E556" s="109" t="s">
        <v>3</v>
      </c>
      <c r="F556" s="110">
        <f>F557</f>
        <v>3857416.3</v>
      </c>
      <c r="G556" s="110"/>
      <c r="I556" s="125">
        <v>7531975</v>
      </c>
      <c r="L556" s="125">
        <f t="shared" si="21"/>
        <v>3674558.7</v>
      </c>
      <c r="M556" s="125">
        <f t="shared" si="22"/>
        <v>0</v>
      </c>
    </row>
    <row r="557" spans="1:13" ht="15.75" outlineLevel="5">
      <c r="A557" s="108" t="s">
        <v>672</v>
      </c>
      <c r="B557" s="109" t="s">
        <v>172</v>
      </c>
      <c r="C557" s="109" t="s">
        <v>17</v>
      </c>
      <c r="D557" s="109" t="s">
        <v>22</v>
      </c>
      <c r="E557" s="109" t="s">
        <v>165</v>
      </c>
      <c r="F557" s="110">
        <f>Приложение_6!F349</f>
        <v>3857416.3</v>
      </c>
      <c r="G557" s="110"/>
      <c r="I557" s="125">
        <v>7531975</v>
      </c>
      <c r="L557" s="125">
        <f t="shared" si="21"/>
        <v>3674558.7</v>
      </c>
      <c r="M557" s="125">
        <f t="shared" si="22"/>
        <v>0</v>
      </c>
    </row>
    <row r="558" spans="1:13" ht="31.5" outlineLevel="4">
      <c r="A558" s="108" t="s">
        <v>695</v>
      </c>
      <c r="B558" s="109" t="s">
        <v>172</v>
      </c>
      <c r="C558" s="109" t="s">
        <v>65</v>
      </c>
      <c r="D558" s="109" t="s">
        <v>3</v>
      </c>
      <c r="E558" s="109" t="s">
        <v>3</v>
      </c>
      <c r="F558" s="110">
        <f>F559</f>
        <v>10000</v>
      </c>
      <c r="G558" s="110"/>
      <c r="I558" s="125">
        <v>10000</v>
      </c>
      <c r="L558" s="125">
        <f t="shared" si="21"/>
        <v>0</v>
      </c>
      <c r="M558" s="125">
        <f t="shared" si="22"/>
        <v>0</v>
      </c>
    </row>
    <row r="559" spans="1:13" ht="15.75" outlineLevel="5">
      <c r="A559" s="108" t="s">
        <v>672</v>
      </c>
      <c r="B559" s="109" t="s">
        <v>172</v>
      </c>
      <c r="C559" s="109" t="s">
        <v>65</v>
      </c>
      <c r="D559" s="109" t="s">
        <v>22</v>
      </c>
      <c r="E559" s="109" t="s">
        <v>165</v>
      </c>
      <c r="F559" s="110">
        <f>Приложение_6!F350</f>
        <v>10000</v>
      </c>
      <c r="G559" s="110"/>
      <c r="I559" s="125">
        <v>10000</v>
      </c>
      <c r="L559" s="125">
        <f t="shared" si="21"/>
        <v>0</v>
      </c>
      <c r="M559" s="125">
        <f t="shared" si="22"/>
        <v>0</v>
      </c>
    </row>
    <row r="560" spans="1:13" ht="94.5">
      <c r="A560" s="115" t="s">
        <v>1206</v>
      </c>
      <c r="B560" s="116" t="s">
        <v>71</v>
      </c>
      <c r="C560" s="116" t="s">
        <v>1</v>
      </c>
      <c r="D560" s="116" t="s">
        <v>3</v>
      </c>
      <c r="E560" s="116" t="s">
        <v>3</v>
      </c>
      <c r="F560" s="117">
        <f>F561+F574+F583+F611</f>
        <v>44144779.35</v>
      </c>
      <c r="G560" s="117"/>
      <c r="I560" s="125">
        <v>49889443.6</v>
      </c>
      <c r="L560" s="125">
        <f t="shared" si="21"/>
        <v>5744664.25</v>
      </c>
      <c r="M560" s="125">
        <f t="shared" si="22"/>
        <v>0</v>
      </c>
    </row>
    <row r="561" spans="1:13" ht="94.5" outlineLevel="1">
      <c r="A561" s="115" t="s">
        <v>620</v>
      </c>
      <c r="B561" s="116" t="s">
        <v>72</v>
      </c>
      <c r="C561" s="116" t="s">
        <v>1</v>
      </c>
      <c r="D561" s="116" t="s">
        <v>3</v>
      </c>
      <c r="E561" s="116" t="s">
        <v>3</v>
      </c>
      <c r="F561" s="117">
        <f>F562+F566+F570</f>
        <v>2601627.59</v>
      </c>
      <c r="G561" s="117"/>
      <c r="I561" s="125">
        <v>3303440</v>
      </c>
      <c r="L561" s="125">
        <f t="shared" si="21"/>
        <v>701812.4100000001</v>
      </c>
      <c r="M561" s="125">
        <f t="shared" si="22"/>
        <v>0</v>
      </c>
    </row>
    <row r="562" spans="1:13" ht="47.25" outlineLevel="2">
      <c r="A562" s="108" t="s">
        <v>500</v>
      </c>
      <c r="B562" s="109" t="s">
        <v>73</v>
      </c>
      <c r="C562" s="109" t="s">
        <v>1</v>
      </c>
      <c r="D562" s="109" t="s">
        <v>3</v>
      </c>
      <c r="E562" s="109" t="s">
        <v>3</v>
      </c>
      <c r="F562" s="110">
        <f>F563</f>
        <v>822850</v>
      </c>
      <c r="G562" s="110"/>
      <c r="I562" s="125">
        <v>231500</v>
      </c>
      <c r="L562" s="125">
        <f t="shared" si="21"/>
        <v>-591350</v>
      </c>
      <c r="M562" s="125">
        <f t="shared" si="22"/>
        <v>0</v>
      </c>
    </row>
    <row r="563" spans="1:13" ht="47.25" outlineLevel="3">
      <c r="A563" s="108" t="s">
        <v>440</v>
      </c>
      <c r="B563" s="109" t="s">
        <v>74</v>
      </c>
      <c r="C563" s="109" t="s">
        <v>1</v>
      </c>
      <c r="D563" s="109" t="s">
        <v>3</v>
      </c>
      <c r="E563" s="109" t="s">
        <v>3</v>
      </c>
      <c r="F563" s="110">
        <f>F564</f>
        <v>822850</v>
      </c>
      <c r="G563" s="110"/>
      <c r="I563" s="125">
        <v>231500</v>
      </c>
      <c r="L563" s="125">
        <f t="shared" si="21"/>
        <v>-591350</v>
      </c>
      <c r="M563" s="125">
        <f t="shared" si="22"/>
        <v>0</v>
      </c>
    </row>
    <row r="564" spans="1:13" ht="63" outlineLevel="4">
      <c r="A564" s="108" t="s">
        <v>693</v>
      </c>
      <c r="B564" s="109" t="s">
        <v>74</v>
      </c>
      <c r="C564" s="109" t="s">
        <v>17</v>
      </c>
      <c r="D564" s="109" t="s">
        <v>3</v>
      </c>
      <c r="E564" s="109" t="s">
        <v>3</v>
      </c>
      <c r="F564" s="110">
        <f>F565</f>
        <v>822850</v>
      </c>
      <c r="G564" s="110"/>
      <c r="I564" s="125">
        <v>231500</v>
      </c>
      <c r="L564" s="125">
        <f t="shared" si="21"/>
        <v>-591350</v>
      </c>
      <c r="M564" s="125">
        <f t="shared" si="22"/>
        <v>0</v>
      </c>
    </row>
    <row r="565" spans="1:13" ht="31.5" outlineLevel="5">
      <c r="A565" s="108" t="s">
        <v>668</v>
      </c>
      <c r="B565" s="109" t="s">
        <v>74</v>
      </c>
      <c r="C565" s="109" t="s">
        <v>17</v>
      </c>
      <c r="D565" s="109" t="s">
        <v>2</v>
      </c>
      <c r="E565" s="109" t="s">
        <v>66</v>
      </c>
      <c r="F565" s="110">
        <f>Приложение_6!F161</f>
        <v>822850</v>
      </c>
      <c r="G565" s="110"/>
      <c r="I565" s="125">
        <v>231500</v>
      </c>
      <c r="L565" s="125">
        <f t="shared" si="21"/>
        <v>-591350</v>
      </c>
      <c r="M565" s="125">
        <f t="shared" si="22"/>
        <v>0</v>
      </c>
    </row>
    <row r="566" spans="1:13" ht="47.25" outlineLevel="2">
      <c r="A566" s="108" t="s">
        <v>501</v>
      </c>
      <c r="B566" s="109" t="s">
        <v>75</v>
      </c>
      <c r="C566" s="109" t="s">
        <v>1</v>
      </c>
      <c r="D566" s="109" t="s">
        <v>3</v>
      </c>
      <c r="E566" s="109" t="s">
        <v>3</v>
      </c>
      <c r="F566" s="110">
        <f>F567</f>
        <v>1706837.5899999999</v>
      </c>
      <c r="G566" s="110"/>
      <c r="I566" s="125">
        <v>3000000</v>
      </c>
      <c r="L566" s="125">
        <f t="shared" si="21"/>
        <v>1293162.4100000001</v>
      </c>
      <c r="M566" s="125">
        <f t="shared" si="22"/>
        <v>0</v>
      </c>
    </row>
    <row r="567" spans="1:13" ht="31.5" customHeight="1" outlineLevel="3">
      <c r="A567" s="108" t="s">
        <v>441</v>
      </c>
      <c r="B567" s="109" t="s">
        <v>76</v>
      </c>
      <c r="C567" s="109" t="s">
        <v>1</v>
      </c>
      <c r="D567" s="109" t="s">
        <v>3</v>
      </c>
      <c r="E567" s="109" t="s">
        <v>3</v>
      </c>
      <c r="F567" s="110">
        <f>F568</f>
        <v>1706837.5899999999</v>
      </c>
      <c r="G567" s="110"/>
      <c r="I567" s="125">
        <v>3000000</v>
      </c>
      <c r="L567" s="125">
        <f t="shared" si="21"/>
        <v>1293162.4100000001</v>
      </c>
      <c r="M567" s="125">
        <f t="shared" si="22"/>
        <v>0</v>
      </c>
    </row>
    <row r="568" spans="1:13" ht="63" outlineLevel="4">
      <c r="A568" s="108" t="s">
        <v>693</v>
      </c>
      <c r="B568" s="109" t="s">
        <v>76</v>
      </c>
      <c r="C568" s="109" t="s">
        <v>17</v>
      </c>
      <c r="D568" s="109" t="s">
        <v>3</v>
      </c>
      <c r="E568" s="109" t="s">
        <v>3</v>
      </c>
      <c r="F568" s="110">
        <f>F569</f>
        <v>1706837.5899999999</v>
      </c>
      <c r="G568" s="110"/>
      <c r="I568" s="125">
        <v>3000000</v>
      </c>
      <c r="L568" s="125">
        <f t="shared" si="21"/>
        <v>1293162.4100000001</v>
      </c>
      <c r="M568" s="125">
        <f t="shared" si="22"/>
        <v>0</v>
      </c>
    </row>
    <row r="569" spans="1:13" ht="31.5" outlineLevel="5">
      <c r="A569" s="108" t="s">
        <v>668</v>
      </c>
      <c r="B569" s="109" t="s">
        <v>76</v>
      </c>
      <c r="C569" s="109" t="s">
        <v>17</v>
      </c>
      <c r="D569" s="109" t="s">
        <v>2</v>
      </c>
      <c r="E569" s="109" t="s">
        <v>66</v>
      </c>
      <c r="F569" s="110">
        <f>Приложение_6!F164</f>
        <v>1706837.5899999999</v>
      </c>
      <c r="G569" s="110"/>
      <c r="I569" s="125">
        <v>3000000</v>
      </c>
      <c r="L569" s="125">
        <f t="shared" si="21"/>
        <v>1293162.4100000001</v>
      </c>
      <c r="M569" s="125">
        <f t="shared" si="22"/>
        <v>0</v>
      </c>
    </row>
    <row r="570" spans="1:13" ht="141.75" outlineLevel="2">
      <c r="A570" s="108" t="s">
        <v>526</v>
      </c>
      <c r="B570" s="109" t="s">
        <v>147</v>
      </c>
      <c r="C570" s="109" t="s">
        <v>1</v>
      </c>
      <c r="D570" s="109" t="s">
        <v>3</v>
      </c>
      <c r="E570" s="109" t="s">
        <v>3</v>
      </c>
      <c r="F570" s="110">
        <f>F571</f>
        <v>71940</v>
      </c>
      <c r="G570" s="110"/>
      <c r="I570" s="125">
        <v>71940</v>
      </c>
      <c r="L570" s="125">
        <f t="shared" si="21"/>
        <v>0</v>
      </c>
      <c r="M570" s="125">
        <f t="shared" si="22"/>
        <v>0</v>
      </c>
    </row>
    <row r="571" spans="1:13" ht="31.5" customHeight="1" outlineLevel="3">
      <c r="A571" s="108" t="s">
        <v>441</v>
      </c>
      <c r="B571" s="109" t="s">
        <v>148</v>
      </c>
      <c r="C571" s="109" t="s">
        <v>1</v>
      </c>
      <c r="D571" s="109" t="s">
        <v>3</v>
      </c>
      <c r="E571" s="109" t="s">
        <v>3</v>
      </c>
      <c r="F571" s="110">
        <f>F572</f>
        <v>71940</v>
      </c>
      <c r="G571" s="110"/>
      <c r="I571" s="125">
        <v>71940</v>
      </c>
      <c r="L571" s="125">
        <f t="shared" si="21"/>
        <v>0</v>
      </c>
      <c r="M571" s="125">
        <f t="shared" si="22"/>
        <v>0</v>
      </c>
    </row>
    <row r="572" spans="1:13" ht="63" outlineLevel="4">
      <c r="A572" s="108" t="s">
        <v>693</v>
      </c>
      <c r="B572" s="109" t="s">
        <v>148</v>
      </c>
      <c r="C572" s="109" t="s">
        <v>17</v>
      </c>
      <c r="D572" s="109" t="s">
        <v>3</v>
      </c>
      <c r="E572" s="109" t="s">
        <v>3</v>
      </c>
      <c r="F572" s="110">
        <f>F573</f>
        <v>71940</v>
      </c>
      <c r="G572" s="110"/>
      <c r="I572" s="125">
        <v>71940</v>
      </c>
      <c r="L572" s="125">
        <f t="shared" si="21"/>
        <v>0</v>
      </c>
      <c r="M572" s="125">
        <f t="shared" si="22"/>
        <v>0</v>
      </c>
    </row>
    <row r="573" spans="1:13" ht="94.5" outlineLevel="5">
      <c r="A573" s="108" t="s">
        <v>670</v>
      </c>
      <c r="B573" s="109" t="s">
        <v>148</v>
      </c>
      <c r="C573" s="109" t="s">
        <v>17</v>
      </c>
      <c r="D573" s="109" t="s">
        <v>14</v>
      </c>
      <c r="E573" s="109" t="s">
        <v>146</v>
      </c>
      <c r="F573" s="110">
        <f>Приложение_6!F303</f>
        <v>71940</v>
      </c>
      <c r="G573" s="110"/>
      <c r="I573" s="125">
        <v>71940</v>
      </c>
      <c r="L573" s="125">
        <f t="shared" si="21"/>
        <v>0</v>
      </c>
      <c r="M573" s="125">
        <f t="shared" si="22"/>
        <v>0</v>
      </c>
    </row>
    <row r="574" spans="1:13" ht="94.5" outlineLevel="1">
      <c r="A574" s="115" t="s">
        <v>632</v>
      </c>
      <c r="B574" s="116" t="s">
        <v>173</v>
      </c>
      <c r="C574" s="116" t="s">
        <v>1</v>
      </c>
      <c r="D574" s="116" t="s">
        <v>3</v>
      </c>
      <c r="E574" s="116" t="s">
        <v>3</v>
      </c>
      <c r="F574" s="117">
        <f>F575+F579</f>
        <v>42710.07999999984</v>
      </c>
      <c r="G574" s="117"/>
      <c r="I574" s="125">
        <v>5797981</v>
      </c>
      <c r="L574" s="125">
        <f t="shared" si="21"/>
        <v>5755270.92</v>
      </c>
      <c r="M574" s="125">
        <f t="shared" si="22"/>
        <v>0</v>
      </c>
    </row>
    <row r="575" spans="1:13" ht="78.75" outlineLevel="2">
      <c r="A575" s="108" t="s">
        <v>535</v>
      </c>
      <c r="B575" s="109" t="s">
        <v>174</v>
      </c>
      <c r="C575" s="109" t="s">
        <v>1</v>
      </c>
      <c r="D575" s="109" t="s">
        <v>3</v>
      </c>
      <c r="E575" s="109" t="s">
        <v>3</v>
      </c>
      <c r="F575" s="110">
        <f>F576</f>
        <v>42710.07999999984</v>
      </c>
      <c r="G575" s="110"/>
      <c r="I575" s="125">
        <v>4053741</v>
      </c>
      <c r="L575" s="125">
        <f t="shared" si="21"/>
        <v>4011030.92</v>
      </c>
      <c r="M575" s="125">
        <f t="shared" si="22"/>
        <v>0</v>
      </c>
    </row>
    <row r="576" spans="1:13" ht="31.5" customHeight="1" outlineLevel="3">
      <c r="A576" s="108" t="s">
        <v>441</v>
      </c>
      <c r="B576" s="109" t="s">
        <v>175</v>
      </c>
      <c r="C576" s="109" t="s">
        <v>1</v>
      </c>
      <c r="D576" s="109" t="s">
        <v>3</v>
      </c>
      <c r="E576" s="109" t="s">
        <v>3</v>
      </c>
      <c r="F576" s="110">
        <f>F577</f>
        <v>42710.07999999984</v>
      </c>
      <c r="G576" s="110"/>
      <c r="I576" s="125">
        <v>4053741</v>
      </c>
      <c r="L576" s="125">
        <f t="shared" si="21"/>
        <v>4011030.92</v>
      </c>
      <c r="M576" s="125">
        <f t="shared" si="22"/>
        <v>0</v>
      </c>
    </row>
    <row r="577" spans="1:13" ht="63" outlineLevel="4">
      <c r="A577" s="108" t="s">
        <v>693</v>
      </c>
      <c r="B577" s="109" t="s">
        <v>175</v>
      </c>
      <c r="C577" s="109" t="s">
        <v>17</v>
      </c>
      <c r="D577" s="109" t="s">
        <v>3</v>
      </c>
      <c r="E577" s="109" t="s">
        <v>3</v>
      </c>
      <c r="F577" s="110">
        <f>F578</f>
        <v>42710.07999999984</v>
      </c>
      <c r="G577" s="110"/>
      <c r="I577" s="125">
        <v>4053741</v>
      </c>
      <c r="L577" s="125">
        <f t="shared" si="21"/>
        <v>4011030.92</v>
      </c>
      <c r="M577" s="125">
        <f t="shared" si="22"/>
        <v>0</v>
      </c>
    </row>
    <row r="578" spans="1:13" ht="31.5" outlineLevel="5">
      <c r="A578" s="108" t="s">
        <v>673</v>
      </c>
      <c r="B578" s="109" t="s">
        <v>175</v>
      </c>
      <c r="C578" s="109" t="s">
        <v>17</v>
      </c>
      <c r="D578" s="109" t="s">
        <v>22</v>
      </c>
      <c r="E578" s="109" t="s">
        <v>146</v>
      </c>
      <c r="F578" s="110">
        <f>Приложение_6!F356</f>
        <v>42710.07999999984</v>
      </c>
      <c r="G578" s="110"/>
      <c r="I578" s="125">
        <v>4053741</v>
      </c>
      <c r="L578" s="125">
        <f t="shared" si="21"/>
        <v>4011030.92</v>
      </c>
      <c r="M578" s="125">
        <f t="shared" si="22"/>
        <v>0</v>
      </c>
    </row>
    <row r="579" spans="1:13" ht="409.5" hidden="1" outlineLevel="2">
      <c r="A579" s="108" t="s">
        <v>536</v>
      </c>
      <c r="B579" s="109" t="s">
        <v>176</v>
      </c>
      <c r="C579" s="109" t="s">
        <v>1</v>
      </c>
      <c r="D579" s="109" t="s">
        <v>3</v>
      </c>
      <c r="E579" s="109" t="s">
        <v>3</v>
      </c>
      <c r="F579" s="110">
        <f>F580</f>
        <v>0</v>
      </c>
      <c r="G579" s="110"/>
      <c r="I579" s="125">
        <v>1744240</v>
      </c>
      <c r="L579" s="125">
        <f t="shared" si="21"/>
        <v>1744240</v>
      </c>
      <c r="M579" s="125">
        <f t="shared" si="22"/>
        <v>0</v>
      </c>
    </row>
    <row r="580" spans="1:13" ht="31.5" customHeight="1" hidden="1" outlineLevel="3">
      <c r="A580" s="108" t="s">
        <v>441</v>
      </c>
      <c r="B580" s="109" t="s">
        <v>177</v>
      </c>
      <c r="C580" s="109" t="s">
        <v>1</v>
      </c>
      <c r="D580" s="109" t="s">
        <v>3</v>
      </c>
      <c r="E580" s="109" t="s">
        <v>3</v>
      </c>
      <c r="F580" s="110">
        <f>F581</f>
        <v>0</v>
      </c>
      <c r="G580" s="110"/>
      <c r="I580" s="125">
        <v>1744240</v>
      </c>
      <c r="L580" s="125">
        <f t="shared" si="21"/>
        <v>1744240</v>
      </c>
      <c r="M580" s="125">
        <f t="shared" si="22"/>
        <v>0</v>
      </c>
    </row>
    <row r="581" spans="1:13" ht="63" hidden="1" outlineLevel="4">
      <c r="A581" s="108" t="s">
        <v>693</v>
      </c>
      <c r="B581" s="109" t="s">
        <v>177</v>
      </c>
      <c r="C581" s="109" t="s">
        <v>17</v>
      </c>
      <c r="D581" s="109" t="s">
        <v>3</v>
      </c>
      <c r="E581" s="109" t="s">
        <v>3</v>
      </c>
      <c r="F581" s="110">
        <f>F582</f>
        <v>0</v>
      </c>
      <c r="G581" s="110"/>
      <c r="I581" s="125">
        <v>1744240</v>
      </c>
      <c r="L581" s="125">
        <f t="shared" si="21"/>
        <v>1744240</v>
      </c>
      <c r="M581" s="125">
        <f t="shared" si="22"/>
        <v>0</v>
      </c>
    </row>
    <row r="582" spans="1:13" ht="31.5" hidden="1" outlineLevel="5">
      <c r="A582" s="108" t="s">
        <v>673</v>
      </c>
      <c r="B582" s="109" t="s">
        <v>177</v>
      </c>
      <c r="C582" s="109" t="s">
        <v>17</v>
      </c>
      <c r="D582" s="109" t="s">
        <v>22</v>
      </c>
      <c r="E582" s="109" t="s">
        <v>146</v>
      </c>
      <c r="F582" s="110">
        <f>Приложение_6!F359</f>
        <v>0</v>
      </c>
      <c r="G582" s="110"/>
      <c r="I582" s="125">
        <v>1744240</v>
      </c>
      <c r="L582" s="125">
        <f t="shared" si="21"/>
        <v>1744240</v>
      </c>
      <c r="M582" s="125">
        <f t="shared" si="22"/>
        <v>0</v>
      </c>
    </row>
    <row r="583" spans="1:13" ht="94.5" outlineLevel="1" collapsed="1">
      <c r="A583" s="115" t="s">
        <v>629</v>
      </c>
      <c r="B583" s="116" t="s">
        <v>149</v>
      </c>
      <c r="C583" s="116" t="s">
        <v>1</v>
      </c>
      <c r="D583" s="116" t="s">
        <v>3</v>
      </c>
      <c r="E583" s="116" t="s">
        <v>3</v>
      </c>
      <c r="F583" s="117">
        <f>F584+F588+F599+F603+F607</f>
        <v>41213441.68</v>
      </c>
      <c r="G583" s="117"/>
      <c r="I583" s="125">
        <v>40501022.6</v>
      </c>
      <c r="L583" s="125">
        <f t="shared" si="21"/>
        <v>-712419.0799999982</v>
      </c>
      <c r="M583" s="125">
        <f t="shared" si="22"/>
        <v>0</v>
      </c>
    </row>
    <row r="584" spans="1:13" ht="78.75" outlineLevel="2">
      <c r="A584" s="108" t="s">
        <v>527</v>
      </c>
      <c r="B584" s="109" t="s">
        <v>150</v>
      </c>
      <c r="C584" s="109" t="s">
        <v>1</v>
      </c>
      <c r="D584" s="109" t="s">
        <v>3</v>
      </c>
      <c r="E584" s="109" t="s">
        <v>3</v>
      </c>
      <c r="F584" s="110">
        <f>F585</f>
        <v>201386</v>
      </c>
      <c r="G584" s="110"/>
      <c r="I584" s="125">
        <v>190060.8</v>
      </c>
      <c r="L584" s="125">
        <f t="shared" si="21"/>
        <v>-11325.200000000012</v>
      </c>
      <c r="M584" s="125">
        <f t="shared" si="22"/>
        <v>0</v>
      </c>
    </row>
    <row r="585" spans="1:13" ht="31.5" customHeight="1" outlineLevel="3">
      <c r="A585" s="108" t="s">
        <v>441</v>
      </c>
      <c r="B585" s="109" t="s">
        <v>151</v>
      </c>
      <c r="C585" s="109" t="s">
        <v>1</v>
      </c>
      <c r="D585" s="109" t="s">
        <v>3</v>
      </c>
      <c r="E585" s="109" t="s">
        <v>3</v>
      </c>
      <c r="F585" s="110">
        <f>F586</f>
        <v>201386</v>
      </c>
      <c r="G585" s="110"/>
      <c r="I585" s="125">
        <v>190060.8</v>
      </c>
      <c r="L585" s="125">
        <f aca="true" t="shared" si="24" ref="L585:L621">I585-F585</f>
        <v>-11325.200000000012</v>
      </c>
      <c r="M585" s="125">
        <f aca="true" t="shared" si="25" ref="M585:M621">J585-G585</f>
        <v>0</v>
      </c>
    </row>
    <row r="586" spans="1:13" ht="63" outlineLevel="4">
      <c r="A586" s="108" t="s">
        <v>693</v>
      </c>
      <c r="B586" s="109" t="s">
        <v>151</v>
      </c>
      <c r="C586" s="109" t="s">
        <v>17</v>
      </c>
      <c r="D586" s="109" t="s">
        <v>3</v>
      </c>
      <c r="E586" s="109" t="s">
        <v>3</v>
      </c>
      <c r="F586" s="110">
        <f>F587</f>
        <v>201386</v>
      </c>
      <c r="G586" s="110"/>
      <c r="I586" s="125">
        <v>190060.8</v>
      </c>
      <c r="L586" s="125">
        <f t="shared" si="24"/>
        <v>-11325.200000000012</v>
      </c>
      <c r="M586" s="125">
        <f t="shared" si="25"/>
        <v>0</v>
      </c>
    </row>
    <row r="587" spans="1:13" ht="94.5" outlineLevel="5">
      <c r="A587" s="108" t="s">
        <v>670</v>
      </c>
      <c r="B587" s="109" t="s">
        <v>151</v>
      </c>
      <c r="C587" s="109" t="s">
        <v>17</v>
      </c>
      <c r="D587" s="109" t="s">
        <v>14</v>
      </c>
      <c r="E587" s="109" t="s">
        <v>146</v>
      </c>
      <c r="F587" s="110">
        <f>Приложение_6!F307</f>
        <v>201386</v>
      </c>
      <c r="G587" s="110"/>
      <c r="I587" s="125">
        <v>190060.8</v>
      </c>
      <c r="L587" s="125">
        <f t="shared" si="24"/>
        <v>-11325.200000000012</v>
      </c>
      <c r="M587" s="125">
        <f t="shared" si="25"/>
        <v>0</v>
      </c>
    </row>
    <row r="588" spans="1:13" ht="78.75" outlineLevel="2">
      <c r="A588" s="108" t="s">
        <v>528</v>
      </c>
      <c r="B588" s="109" t="s">
        <v>152</v>
      </c>
      <c r="C588" s="109" t="s">
        <v>1</v>
      </c>
      <c r="D588" s="109" t="s">
        <v>3</v>
      </c>
      <c r="E588" s="109" t="s">
        <v>3</v>
      </c>
      <c r="F588" s="110">
        <f>F589+F596</f>
        <v>36206399.13</v>
      </c>
      <c r="G588" s="110"/>
      <c r="I588" s="125">
        <v>36204544.75</v>
      </c>
      <c r="L588" s="125">
        <f t="shared" si="24"/>
        <v>-1854.3800000026822</v>
      </c>
      <c r="M588" s="125">
        <f t="shared" si="25"/>
        <v>0</v>
      </c>
    </row>
    <row r="589" spans="1:13" ht="126" outlineLevel="3">
      <c r="A589" s="108" t="s">
        <v>443</v>
      </c>
      <c r="B589" s="109" t="s">
        <v>153</v>
      </c>
      <c r="C589" s="109" t="s">
        <v>1</v>
      </c>
      <c r="D589" s="109" t="s">
        <v>3</v>
      </c>
      <c r="E589" s="109" t="s">
        <v>3</v>
      </c>
      <c r="F589" s="110">
        <f>F590+F592+F594</f>
        <v>35617889.13</v>
      </c>
      <c r="G589" s="110"/>
      <c r="I589" s="125">
        <v>35616034.75</v>
      </c>
      <c r="L589" s="125">
        <f t="shared" si="24"/>
        <v>-1854.3800000026822</v>
      </c>
      <c r="M589" s="125">
        <f t="shared" si="25"/>
        <v>0</v>
      </c>
    </row>
    <row r="590" spans="1:13" ht="141.75" outlineLevel="4">
      <c r="A590" s="108" t="s">
        <v>1202</v>
      </c>
      <c r="B590" s="109" t="s">
        <v>153</v>
      </c>
      <c r="C590" s="109" t="s">
        <v>10</v>
      </c>
      <c r="D590" s="109" t="s">
        <v>3</v>
      </c>
      <c r="E590" s="109" t="s">
        <v>3</v>
      </c>
      <c r="F590" s="110">
        <f>F591</f>
        <v>30196601.62</v>
      </c>
      <c r="G590" s="110"/>
      <c r="I590" s="125">
        <v>30196601.62</v>
      </c>
      <c r="L590" s="125">
        <f t="shared" si="24"/>
        <v>0</v>
      </c>
      <c r="M590" s="125">
        <f t="shared" si="25"/>
        <v>0</v>
      </c>
    </row>
    <row r="591" spans="1:13" ht="94.5" outlineLevel="5">
      <c r="A591" s="108" t="s">
        <v>670</v>
      </c>
      <c r="B591" s="109" t="s">
        <v>153</v>
      </c>
      <c r="C591" s="109" t="s">
        <v>10</v>
      </c>
      <c r="D591" s="109" t="s">
        <v>14</v>
      </c>
      <c r="E591" s="109" t="s">
        <v>146</v>
      </c>
      <c r="F591" s="110">
        <f>Приложение_6!F310</f>
        <v>30196601.62</v>
      </c>
      <c r="G591" s="110"/>
      <c r="I591" s="125">
        <v>30196601.62</v>
      </c>
      <c r="L591" s="125">
        <f t="shared" si="24"/>
        <v>0</v>
      </c>
      <c r="M591" s="125">
        <f t="shared" si="25"/>
        <v>0</v>
      </c>
    </row>
    <row r="592" spans="1:13" ht="63" outlineLevel="4">
      <c r="A592" s="108" t="s">
        <v>693</v>
      </c>
      <c r="B592" s="109" t="s">
        <v>153</v>
      </c>
      <c r="C592" s="109" t="s">
        <v>17</v>
      </c>
      <c r="D592" s="109" t="s">
        <v>3</v>
      </c>
      <c r="E592" s="109" t="s">
        <v>3</v>
      </c>
      <c r="F592" s="110">
        <f>F593</f>
        <v>5257042.01</v>
      </c>
      <c r="G592" s="110"/>
      <c r="I592" s="125">
        <v>5255187.63</v>
      </c>
      <c r="L592" s="125">
        <f t="shared" si="24"/>
        <v>-1854.3799999998882</v>
      </c>
      <c r="M592" s="125">
        <f t="shared" si="25"/>
        <v>0</v>
      </c>
    </row>
    <row r="593" spans="1:13" ht="94.5" outlineLevel="5">
      <c r="A593" s="108" t="s">
        <v>670</v>
      </c>
      <c r="B593" s="109" t="s">
        <v>153</v>
      </c>
      <c r="C593" s="109" t="s">
        <v>17</v>
      </c>
      <c r="D593" s="109" t="s">
        <v>14</v>
      </c>
      <c r="E593" s="109" t="s">
        <v>146</v>
      </c>
      <c r="F593" s="110">
        <f>Приложение_6!F311</f>
        <v>5257042.01</v>
      </c>
      <c r="G593" s="110"/>
      <c r="I593" s="125">
        <v>5255187.63</v>
      </c>
      <c r="L593" s="125">
        <f t="shared" si="24"/>
        <v>-1854.3799999998882</v>
      </c>
      <c r="M593" s="125">
        <f t="shared" si="25"/>
        <v>0</v>
      </c>
    </row>
    <row r="594" spans="1:13" ht="31.5" outlineLevel="4">
      <c r="A594" s="108" t="s">
        <v>695</v>
      </c>
      <c r="B594" s="109" t="s">
        <v>153</v>
      </c>
      <c r="C594" s="109" t="s">
        <v>65</v>
      </c>
      <c r="D594" s="109" t="s">
        <v>3</v>
      </c>
      <c r="E594" s="109" t="s">
        <v>3</v>
      </c>
      <c r="F594" s="110">
        <f>F595</f>
        <v>164245.5</v>
      </c>
      <c r="G594" s="110"/>
      <c r="I594" s="125">
        <v>164245.5</v>
      </c>
      <c r="L594" s="125">
        <f t="shared" si="24"/>
        <v>0</v>
      </c>
      <c r="M594" s="125">
        <f t="shared" si="25"/>
        <v>0</v>
      </c>
    </row>
    <row r="595" spans="1:13" ht="94.5" outlineLevel="5">
      <c r="A595" s="108" t="s">
        <v>670</v>
      </c>
      <c r="B595" s="109" t="s">
        <v>153</v>
      </c>
      <c r="C595" s="109" t="s">
        <v>65</v>
      </c>
      <c r="D595" s="109" t="s">
        <v>14</v>
      </c>
      <c r="E595" s="109" t="s">
        <v>146</v>
      </c>
      <c r="F595" s="110">
        <f>Приложение_6!F312</f>
        <v>164245.5</v>
      </c>
      <c r="G595" s="110"/>
      <c r="I595" s="125">
        <v>164245.5</v>
      </c>
      <c r="L595" s="125">
        <f t="shared" si="24"/>
        <v>0</v>
      </c>
      <c r="M595" s="125">
        <f t="shared" si="25"/>
        <v>0</v>
      </c>
    </row>
    <row r="596" spans="1:13" ht="126" outlineLevel="3">
      <c r="A596" s="108" t="s">
        <v>432</v>
      </c>
      <c r="B596" s="109" t="s">
        <v>154</v>
      </c>
      <c r="C596" s="109" t="s">
        <v>1</v>
      </c>
      <c r="D596" s="109" t="s">
        <v>3</v>
      </c>
      <c r="E596" s="109" t="s">
        <v>3</v>
      </c>
      <c r="F596" s="110">
        <f>F597</f>
        <v>588510</v>
      </c>
      <c r="G596" s="110"/>
      <c r="I596" s="125">
        <v>588510</v>
      </c>
      <c r="L596" s="125">
        <f t="shared" si="24"/>
        <v>0</v>
      </c>
      <c r="M596" s="125">
        <f t="shared" si="25"/>
        <v>0</v>
      </c>
    </row>
    <row r="597" spans="1:13" ht="141.75" outlineLevel="4">
      <c r="A597" s="108" t="s">
        <v>1202</v>
      </c>
      <c r="B597" s="109" t="s">
        <v>154</v>
      </c>
      <c r="C597" s="109" t="s">
        <v>10</v>
      </c>
      <c r="D597" s="109" t="s">
        <v>3</v>
      </c>
      <c r="E597" s="109" t="s">
        <v>3</v>
      </c>
      <c r="F597" s="110">
        <f>F598</f>
        <v>588510</v>
      </c>
      <c r="G597" s="110"/>
      <c r="I597" s="125">
        <v>588510</v>
      </c>
      <c r="L597" s="125">
        <f t="shared" si="24"/>
        <v>0</v>
      </c>
      <c r="M597" s="125">
        <f t="shared" si="25"/>
        <v>0</v>
      </c>
    </row>
    <row r="598" spans="1:13" ht="94.5" outlineLevel="5">
      <c r="A598" s="108" t="s">
        <v>670</v>
      </c>
      <c r="B598" s="109" t="s">
        <v>154</v>
      </c>
      <c r="C598" s="109" t="s">
        <v>10</v>
      </c>
      <c r="D598" s="109" t="s">
        <v>14</v>
      </c>
      <c r="E598" s="109" t="s">
        <v>146</v>
      </c>
      <c r="F598" s="110">
        <f>Приложение_6!F314</f>
        <v>588510</v>
      </c>
      <c r="G598" s="110"/>
      <c r="I598" s="125">
        <v>588510</v>
      </c>
      <c r="L598" s="125">
        <f t="shared" si="24"/>
        <v>0</v>
      </c>
      <c r="M598" s="125">
        <f t="shared" si="25"/>
        <v>0</v>
      </c>
    </row>
    <row r="599" spans="1:13" ht="31.5" outlineLevel="2">
      <c r="A599" s="108" t="s">
        <v>529</v>
      </c>
      <c r="B599" s="109" t="s">
        <v>155</v>
      </c>
      <c r="C599" s="109" t="s">
        <v>1</v>
      </c>
      <c r="D599" s="109" t="s">
        <v>3</v>
      </c>
      <c r="E599" s="109" t="s">
        <v>3</v>
      </c>
      <c r="F599" s="110">
        <f>F600</f>
        <v>1075656.55</v>
      </c>
      <c r="G599" s="110"/>
      <c r="I599" s="125">
        <v>1106417.05</v>
      </c>
      <c r="L599" s="125">
        <f t="shared" si="24"/>
        <v>30760.5</v>
      </c>
      <c r="M599" s="125">
        <f t="shared" si="25"/>
        <v>0</v>
      </c>
    </row>
    <row r="600" spans="1:13" ht="31.5" customHeight="1" outlineLevel="3">
      <c r="A600" s="108" t="s">
        <v>441</v>
      </c>
      <c r="B600" s="109" t="s">
        <v>156</v>
      </c>
      <c r="C600" s="109" t="s">
        <v>1</v>
      </c>
      <c r="D600" s="109" t="s">
        <v>3</v>
      </c>
      <c r="E600" s="109" t="s">
        <v>3</v>
      </c>
      <c r="F600" s="110">
        <f>F601</f>
        <v>1075656.55</v>
      </c>
      <c r="G600" s="110"/>
      <c r="I600" s="125">
        <v>1106417.05</v>
      </c>
      <c r="L600" s="125">
        <f t="shared" si="24"/>
        <v>30760.5</v>
      </c>
      <c r="M600" s="125">
        <f t="shared" si="25"/>
        <v>0</v>
      </c>
    </row>
    <row r="601" spans="1:13" ht="63" outlineLevel="4">
      <c r="A601" s="108" t="s">
        <v>693</v>
      </c>
      <c r="B601" s="109" t="s">
        <v>156</v>
      </c>
      <c r="C601" s="109" t="s">
        <v>17</v>
      </c>
      <c r="D601" s="109" t="s">
        <v>3</v>
      </c>
      <c r="E601" s="109" t="s">
        <v>3</v>
      </c>
      <c r="F601" s="110">
        <f>F602</f>
        <v>1075656.55</v>
      </c>
      <c r="G601" s="110"/>
      <c r="I601" s="125">
        <v>1106417.05</v>
      </c>
      <c r="L601" s="125">
        <f t="shared" si="24"/>
        <v>30760.5</v>
      </c>
      <c r="M601" s="125">
        <f t="shared" si="25"/>
        <v>0</v>
      </c>
    </row>
    <row r="602" spans="1:13" ht="94.5" outlineLevel="5">
      <c r="A602" s="108" t="s">
        <v>670</v>
      </c>
      <c r="B602" s="109" t="s">
        <v>156</v>
      </c>
      <c r="C602" s="109" t="s">
        <v>17</v>
      </c>
      <c r="D602" s="109" t="s">
        <v>14</v>
      </c>
      <c r="E602" s="109" t="s">
        <v>146</v>
      </c>
      <c r="F602" s="110">
        <f>Приложение_6!F317</f>
        <v>1075656.55</v>
      </c>
      <c r="G602" s="110"/>
      <c r="I602" s="125">
        <v>1106417.05</v>
      </c>
      <c r="L602" s="125">
        <f t="shared" si="24"/>
        <v>30760.5</v>
      </c>
      <c r="M602" s="125">
        <f t="shared" si="25"/>
        <v>0</v>
      </c>
    </row>
    <row r="603" spans="1:13" ht="110.25" outlineLevel="2">
      <c r="A603" s="108" t="s">
        <v>530</v>
      </c>
      <c r="B603" s="109" t="s">
        <v>157</v>
      </c>
      <c r="C603" s="109" t="s">
        <v>1</v>
      </c>
      <c r="D603" s="109" t="s">
        <v>3</v>
      </c>
      <c r="E603" s="109" t="s">
        <v>3</v>
      </c>
      <c r="F603" s="110">
        <f>F604</f>
        <v>3000000</v>
      </c>
      <c r="G603" s="110"/>
      <c r="I603" s="125">
        <v>3000000</v>
      </c>
      <c r="L603" s="125">
        <f t="shared" si="24"/>
        <v>0</v>
      </c>
      <c r="M603" s="125">
        <f t="shared" si="25"/>
        <v>0</v>
      </c>
    </row>
    <row r="604" spans="1:13" ht="31.5" customHeight="1" outlineLevel="3">
      <c r="A604" s="108" t="s">
        <v>441</v>
      </c>
      <c r="B604" s="109" t="s">
        <v>158</v>
      </c>
      <c r="C604" s="109" t="s">
        <v>1</v>
      </c>
      <c r="D604" s="109" t="s">
        <v>3</v>
      </c>
      <c r="E604" s="109" t="s">
        <v>3</v>
      </c>
      <c r="F604" s="110">
        <f>F605</f>
        <v>3000000</v>
      </c>
      <c r="G604" s="110"/>
      <c r="I604" s="125">
        <v>3000000</v>
      </c>
      <c r="L604" s="125">
        <f t="shared" si="24"/>
        <v>0</v>
      </c>
      <c r="M604" s="125">
        <f t="shared" si="25"/>
        <v>0</v>
      </c>
    </row>
    <row r="605" spans="1:13" ht="63" outlineLevel="4">
      <c r="A605" s="108" t="s">
        <v>693</v>
      </c>
      <c r="B605" s="109" t="s">
        <v>158</v>
      </c>
      <c r="C605" s="109" t="s">
        <v>17</v>
      </c>
      <c r="D605" s="109" t="s">
        <v>3</v>
      </c>
      <c r="E605" s="109" t="s">
        <v>3</v>
      </c>
      <c r="F605" s="110">
        <f>F606</f>
        <v>3000000</v>
      </c>
      <c r="G605" s="110"/>
      <c r="I605" s="125">
        <v>3000000</v>
      </c>
      <c r="L605" s="125">
        <f t="shared" si="24"/>
        <v>0</v>
      </c>
      <c r="M605" s="125">
        <f t="shared" si="25"/>
        <v>0</v>
      </c>
    </row>
    <row r="606" spans="1:13" ht="94.5" outlineLevel="5">
      <c r="A606" s="108" t="s">
        <v>670</v>
      </c>
      <c r="B606" s="109" t="s">
        <v>158</v>
      </c>
      <c r="C606" s="109" t="s">
        <v>17</v>
      </c>
      <c r="D606" s="109" t="s">
        <v>14</v>
      </c>
      <c r="E606" s="109" t="s">
        <v>146</v>
      </c>
      <c r="F606" s="110">
        <f>Приложение_6!F320</f>
        <v>3000000</v>
      </c>
      <c r="G606" s="110"/>
      <c r="I606" s="125">
        <v>3000000</v>
      </c>
      <c r="L606" s="125">
        <f t="shared" si="24"/>
        <v>0</v>
      </c>
      <c r="M606" s="125">
        <f t="shared" si="25"/>
        <v>0</v>
      </c>
    </row>
    <row r="607" spans="1:13" ht="63" outlineLevel="5">
      <c r="A607" s="76" t="s">
        <v>1259</v>
      </c>
      <c r="B607" s="109" t="s">
        <v>1260</v>
      </c>
      <c r="C607" s="109" t="s">
        <v>1</v>
      </c>
      <c r="D607" s="109" t="s">
        <v>3</v>
      </c>
      <c r="E607" s="109" t="s">
        <v>3</v>
      </c>
      <c r="F607" s="110">
        <f>F608</f>
        <v>730000</v>
      </c>
      <c r="G607" s="110"/>
      <c r="I607" s="125"/>
      <c r="L607" s="125"/>
      <c r="M607" s="125"/>
    </row>
    <row r="608" spans="1:13" ht="31.5" outlineLevel="5">
      <c r="A608" s="108" t="s">
        <v>441</v>
      </c>
      <c r="B608" s="109" t="s">
        <v>1261</v>
      </c>
      <c r="C608" s="109" t="s">
        <v>1</v>
      </c>
      <c r="D608" s="109" t="s">
        <v>3</v>
      </c>
      <c r="E608" s="109" t="s">
        <v>3</v>
      </c>
      <c r="F608" s="110">
        <f>F609</f>
        <v>730000</v>
      </c>
      <c r="G608" s="110"/>
      <c r="I608" s="125"/>
      <c r="L608" s="125"/>
      <c r="M608" s="125"/>
    </row>
    <row r="609" spans="1:13" ht="63" outlineLevel="5">
      <c r="A609" s="108" t="s">
        <v>693</v>
      </c>
      <c r="B609" s="109" t="s">
        <v>1261</v>
      </c>
      <c r="C609" s="109" t="s">
        <v>17</v>
      </c>
      <c r="D609" s="109" t="s">
        <v>3</v>
      </c>
      <c r="E609" s="109" t="s">
        <v>3</v>
      </c>
      <c r="F609" s="110">
        <f>F610</f>
        <v>730000</v>
      </c>
      <c r="G609" s="110"/>
      <c r="I609" s="125"/>
      <c r="L609" s="125"/>
      <c r="M609" s="125"/>
    </row>
    <row r="610" spans="1:13" ht="94.5" outlineLevel="5">
      <c r="A610" s="108" t="s">
        <v>670</v>
      </c>
      <c r="B610" s="109" t="s">
        <v>1261</v>
      </c>
      <c r="C610" s="109" t="s">
        <v>17</v>
      </c>
      <c r="D610" s="109" t="s">
        <v>14</v>
      </c>
      <c r="E610" s="109" t="s">
        <v>146</v>
      </c>
      <c r="F610" s="110">
        <f>Приложение_6!F323</f>
        <v>730000</v>
      </c>
      <c r="G610" s="110"/>
      <c r="I610" s="125"/>
      <c r="L610" s="125"/>
      <c r="M610" s="125"/>
    </row>
    <row r="611" spans="1:13" ht="63" outlineLevel="1">
      <c r="A611" s="115" t="s">
        <v>621</v>
      </c>
      <c r="B611" s="116" t="s">
        <v>77</v>
      </c>
      <c r="C611" s="116" t="s">
        <v>1</v>
      </c>
      <c r="D611" s="116" t="s">
        <v>3</v>
      </c>
      <c r="E611" s="116" t="s">
        <v>3</v>
      </c>
      <c r="F611" s="117">
        <f>F612</f>
        <v>287000</v>
      </c>
      <c r="G611" s="117"/>
      <c r="I611" s="125">
        <v>287000</v>
      </c>
      <c r="L611" s="125">
        <f t="shared" si="24"/>
        <v>0</v>
      </c>
      <c r="M611" s="125">
        <f t="shared" si="25"/>
        <v>0</v>
      </c>
    </row>
    <row r="612" spans="1:13" ht="94.5" outlineLevel="2">
      <c r="A612" s="108" t="s">
        <v>502</v>
      </c>
      <c r="B612" s="109" t="s">
        <v>78</v>
      </c>
      <c r="C612" s="109" t="s">
        <v>1</v>
      </c>
      <c r="D612" s="109" t="s">
        <v>3</v>
      </c>
      <c r="E612" s="109" t="s">
        <v>3</v>
      </c>
      <c r="F612" s="110">
        <f>F613</f>
        <v>287000</v>
      </c>
      <c r="G612" s="110"/>
      <c r="I612" s="125">
        <v>287000</v>
      </c>
      <c r="L612" s="125">
        <f t="shared" si="24"/>
        <v>0</v>
      </c>
      <c r="M612" s="125">
        <f t="shared" si="25"/>
        <v>0</v>
      </c>
    </row>
    <row r="613" spans="1:13" ht="31.5" customHeight="1" outlineLevel="3">
      <c r="A613" s="108" t="s">
        <v>441</v>
      </c>
      <c r="B613" s="109" t="s">
        <v>79</v>
      </c>
      <c r="C613" s="109" t="s">
        <v>1</v>
      </c>
      <c r="D613" s="109" t="s">
        <v>3</v>
      </c>
      <c r="E613" s="109" t="s">
        <v>3</v>
      </c>
      <c r="F613" s="110">
        <f>F614</f>
        <v>287000</v>
      </c>
      <c r="G613" s="110"/>
      <c r="I613" s="125">
        <v>287000</v>
      </c>
      <c r="L613" s="125">
        <f t="shared" si="24"/>
        <v>0</v>
      </c>
      <c r="M613" s="125">
        <f t="shared" si="25"/>
        <v>0</v>
      </c>
    </row>
    <row r="614" spans="1:13" ht="63" outlineLevel="4">
      <c r="A614" s="108" t="s">
        <v>693</v>
      </c>
      <c r="B614" s="109" t="s">
        <v>79</v>
      </c>
      <c r="C614" s="109" t="s">
        <v>17</v>
      </c>
      <c r="D614" s="109" t="s">
        <v>3</v>
      </c>
      <c r="E614" s="109" t="s">
        <v>3</v>
      </c>
      <c r="F614" s="110">
        <f>F615</f>
        <v>287000</v>
      </c>
      <c r="G614" s="110"/>
      <c r="I614" s="125">
        <v>287000</v>
      </c>
      <c r="L614" s="125">
        <f t="shared" si="24"/>
        <v>0</v>
      </c>
      <c r="M614" s="125">
        <f t="shared" si="25"/>
        <v>0</v>
      </c>
    </row>
    <row r="615" spans="1:13" ht="31.5" outlineLevel="5">
      <c r="A615" s="108" t="s">
        <v>668</v>
      </c>
      <c r="B615" s="109" t="s">
        <v>79</v>
      </c>
      <c r="C615" s="109" t="s">
        <v>17</v>
      </c>
      <c r="D615" s="109" t="s">
        <v>2</v>
      </c>
      <c r="E615" s="109" t="s">
        <v>66</v>
      </c>
      <c r="F615" s="110">
        <f>Приложение_6!F168</f>
        <v>287000</v>
      </c>
      <c r="G615" s="110"/>
      <c r="I615" s="125">
        <v>287000</v>
      </c>
      <c r="L615" s="125">
        <f t="shared" si="24"/>
        <v>0</v>
      </c>
      <c r="M615" s="125">
        <f t="shared" si="25"/>
        <v>0</v>
      </c>
    </row>
    <row r="616" spans="1:13" ht="63" outlineLevel="5">
      <c r="A616" s="115" t="s">
        <v>1297</v>
      </c>
      <c r="B616" s="73" t="s">
        <v>1298</v>
      </c>
      <c r="C616" s="116" t="s">
        <v>1</v>
      </c>
      <c r="D616" s="116" t="s">
        <v>3</v>
      </c>
      <c r="E616" s="116" t="s">
        <v>3</v>
      </c>
      <c r="F616" s="117">
        <f>F617</f>
        <v>199885.74</v>
      </c>
      <c r="G616" s="117"/>
      <c r="I616" s="125"/>
      <c r="L616" s="125"/>
      <c r="M616" s="125"/>
    </row>
    <row r="617" spans="1:13" ht="78.75" outlineLevel="5">
      <c r="A617" s="76" t="s">
        <v>1296</v>
      </c>
      <c r="B617" s="77" t="s">
        <v>1299</v>
      </c>
      <c r="C617" s="77" t="s">
        <v>1</v>
      </c>
      <c r="D617" s="109" t="s">
        <v>3</v>
      </c>
      <c r="E617" s="109" t="s">
        <v>3</v>
      </c>
      <c r="F617" s="110">
        <f>F618</f>
        <v>199885.74</v>
      </c>
      <c r="G617" s="110"/>
      <c r="I617" s="125"/>
      <c r="L617" s="125"/>
      <c r="M617" s="125"/>
    </row>
    <row r="618" spans="1:13" ht="31.5" outlineLevel="5">
      <c r="A618" s="76" t="s">
        <v>441</v>
      </c>
      <c r="B618" s="77" t="s">
        <v>1300</v>
      </c>
      <c r="C618" s="77" t="s">
        <v>1</v>
      </c>
      <c r="D618" s="109" t="s">
        <v>3</v>
      </c>
      <c r="E618" s="109" t="s">
        <v>3</v>
      </c>
      <c r="F618" s="110">
        <f>F619</f>
        <v>199885.74</v>
      </c>
      <c r="G618" s="110"/>
      <c r="I618" s="125"/>
      <c r="L618" s="125"/>
      <c r="M618" s="125"/>
    </row>
    <row r="619" spans="1:13" ht="63" outlineLevel="5">
      <c r="A619" s="76" t="s">
        <v>693</v>
      </c>
      <c r="B619" s="77" t="s">
        <v>1300</v>
      </c>
      <c r="C619" s="77" t="s">
        <v>17</v>
      </c>
      <c r="D619" s="109" t="s">
        <v>3</v>
      </c>
      <c r="E619" s="109" t="s">
        <v>3</v>
      </c>
      <c r="F619" s="110">
        <f>F620</f>
        <v>199885.74</v>
      </c>
      <c r="G619" s="110"/>
      <c r="I619" s="125"/>
      <c r="L619" s="125"/>
      <c r="M619" s="125"/>
    </row>
    <row r="620" spans="1:13" ht="47.25" outlineLevel="5">
      <c r="A620" s="108" t="s">
        <v>1295</v>
      </c>
      <c r="B620" s="77" t="s">
        <v>1300</v>
      </c>
      <c r="C620" s="77" t="s">
        <v>17</v>
      </c>
      <c r="D620" s="109" t="s">
        <v>60</v>
      </c>
      <c r="E620" s="109" t="s">
        <v>14</v>
      </c>
      <c r="F620" s="110">
        <f>Приложение_6!F548</f>
        <v>199885.74</v>
      </c>
      <c r="G620" s="110"/>
      <c r="I620" s="125"/>
      <c r="L620" s="125"/>
      <c r="M620" s="125"/>
    </row>
    <row r="621" spans="1:13" ht="78.75">
      <c r="A621" s="115" t="s">
        <v>1217</v>
      </c>
      <c r="B621" s="116" t="s">
        <v>178</v>
      </c>
      <c r="C621" s="116" t="s">
        <v>1</v>
      </c>
      <c r="D621" s="116" t="s">
        <v>3</v>
      </c>
      <c r="E621" s="116" t="s">
        <v>3</v>
      </c>
      <c r="F621" s="117">
        <f>F622+F636+F646+F632</f>
        <v>126416390.51000002</v>
      </c>
      <c r="G621" s="117">
        <f>G622+G636+G646+G632</f>
        <v>20366038.32</v>
      </c>
      <c r="I621" s="125">
        <v>106630493.27</v>
      </c>
      <c r="L621" s="125">
        <f t="shared" si="24"/>
        <v>-19785897.240000024</v>
      </c>
      <c r="M621" s="125">
        <f t="shared" si="25"/>
        <v>-20366038.32</v>
      </c>
    </row>
    <row r="622" spans="1:13" ht="63" outlineLevel="2">
      <c r="A622" s="108" t="s">
        <v>537</v>
      </c>
      <c r="B622" s="109" t="s">
        <v>179</v>
      </c>
      <c r="C622" s="109" t="s">
        <v>1</v>
      </c>
      <c r="D622" s="109" t="s">
        <v>3</v>
      </c>
      <c r="E622" s="109" t="s">
        <v>3</v>
      </c>
      <c r="F622" s="110">
        <f>F623+F626+F629</f>
        <v>30366038.32</v>
      </c>
      <c r="G622" s="110">
        <f>G623+G626+G629</f>
        <v>20366038.32</v>
      </c>
      <c r="I622" s="125">
        <v>10000000</v>
      </c>
      <c r="L622" s="125">
        <f aca="true" t="shared" si="26" ref="L622:M624">I622-F623</f>
        <v>10000000</v>
      </c>
      <c r="M622" s="125">
        <f t="shared" si="26"/>
        <v>0</v>
      </c>
    </row>
    <row r="623" spans="1:13" ht="47.25" hidden="1" outlineLevel="3">
      <c r="A623" s="108" t="s">
        <v>454</v>
      </c>
      <c r="B623" s="109" t="s">
        <v>180</v>
      </c>
      <c r="C623" s="109" t="s">
        <v>1</v>
      </c>
      <c r="D623" s="109" t="s">
        <v>3</v>
      </c>
      <c r="E623" s="109" t="s">
        <v>3</v>
      </c>
      <c r="F623" s="110">
        <f>F624</f>
        <v>0</v>
      </c>
      <c r="G623" s="110"/>
      <c r="I623" s="125">
        <v>10000000</v>
      </c>
      <c r="L623" s="125">
        <f t="shared" si="26"/>
        <v>10000000</v>
      </c>
      <c r="M623" s="125">
        <f t="shared" si="26"/>
        <v>0</v>
      </c>
    </row>
    <row r="624" spans="1:13" ht="63" hidden="1" outlineLevel="4">
      <c r="A624" s="108" t="s">
        <v>693</v>
      </c>
      <c r="B624" s="109" t="s">
        <v>180</v>
      </c>
      <c r="C624" s="109" t="s">
        <v>17</v>
      </c>
      <c r="D624" s="109" t="s">
        <v>3</v>
      </c>
      <c r="E624" s="109" t="s">
        <v>3</v>
      </c>
      <c r="F624" s="110">
        <f>F625</f>
        <v>0</v>
      </c>
      <c r="G624" s="110"/>
      <c r="I624" s="125">
        <v>10000000</v>
      </c>
      <c r="L624" s="125">
        <f t="shared" si="26"/>
        <v>10000000</v>
      </c>
      <c r="M624" s="125">
        <f t="shared" si="26"/>
        <v>0</v>
      </c>
    </row>
    <row r="625" spans="1:13" ht="31.5" hidden="1" outlineLevel="5">
      <c r="A625" s="108" t="s">
        <v>673</v>
      </c>
      <c r="B625" s="109" t="s">
        <v>180</v>
      </c>
      <c r="C625" s="109" t="s">
        <v>17</v>
      </c>
      <c r="D625" s="109" t="s">
        <v>22</v>
      </c>
      <c r="E625" s="109" t="s">
        <v>146</v>
      </c>
      <c r="F625" s="110">
        <f>Приложение_6!F363</f>
        <v>0</v>
      </c>
      <c r="G625" s="110"/>
      <c r="I625" s="125">
        <v>10000000</v>
      </c>
      <c r="L625" s="125">
        <f>I625-F625</f>
        <v>10000000</v>
      </c>
      <c r="M625" s="125">
        <f>J625-G625</f>
        <v>0</v>
      </c>
    </row>
    <row r="626" spans="1:13" ht="110.25" outlineLevel="5">
      <c r="A626" s="108" t="s">
        <v>1264</v>
      </c>
      <c r="B626" s="77" t="s">
        <v>1265</v>
      </c>
      <c r="C626" s="109" t="s">
        <v>1</v>
      </c>
      <c r="D626" s="109" t="s">
        <v>3</v>
      </c>
      <c r="E626" s="109" t="s">
        <v>3</v>
      </c>
      <c r="F626" s="110">
        <f>F627</f>
        <v>20366038.32</v>
      </c>
      <c r="G626" s="110">
        <f>F626</f>
        <v>20366038.32</v>
      </c>
      <c r="I626" s="125"/>
      <c r="L626" s="125"/>
      <c r="M626" s="125"/>
    </row>
    <row r="627" spans="1:13" ht="63" outlineLevel="5">
      <c r="A627" s="108" t="s">
        <v>693</v>
      </c>
      <c r="B627" s="77" t="s">
        <v>1265</v>
      </c>
      <c r="C627" s="109" t="s">
        <v>17</v>
      </c>
      <c r="D627" s="109" t="s">
        <v>3</v>
      </c>
      <c r="E627" s="109" t="s">
        <v>3</v>
      </c>
      <c r="F627" s="110">
        <f>F628</f>
        <v>20366038.32</v>
      </c>
      <c r="G627" s="110">
        <f>F627</f>
        <v>20366038.32</v>
      </c>
      <c r="I627" s="125"/>
      <c r="L627" s="125"/>
      <c r="M627" s="125"/>
    </row>
    <row r="628" spans="1:13" ht="31.5" outlineLevel="5">
      <c r="A628" s="108" t="s">
        <v>673</v>
      </c>
      <c r="B628" s="77" t="s">
        <v>1265</v>
      </c>
      <c r="C628" s="109" t="s">
        <v>17</v>
      </c>
      <c r="D628" s="109" t="s">
        <v>22</v>
      </c>
      <c r="E628" s="109" t="s">
        <v>146</v>
      </c>
      <c r="F628" s="110">
        <f>Приложение_6!F365</f>
        <v>20366038.32</v>
      </c>
      <c r="G628" s="110">
        <f>F628</f>
        <v>20366038.32</v>
      </c>
      <c r="I628" s="125"/>
      <c r="L628" s="125"/>
      <c r="M628" s="125"/>
    </row>
    <row r="629" spans="1:13" ht="110.25" outlineLevel="5">
      <c r="A629" s="108" t="s">
        <v>1264</v>
      </c>
      <c r="B629" s="77" t="s">
        <v>1266</v>
      </c>
      <c r="C629" s="109" t="s">
        <v>1</v>
      </c>
      <c r="D629" s="109" t="s">
        <v>3</v>
      </c>
      <c r="E629" s="109" t="s">
        <v>3</v>
      </c>
      <c r="F629" s="110">
        <f>F630</f>
        <v>10000000</v>
      </c>
      <c r="G629" s="110"/>
      <c r="I629" s="125"/>
      <c r="L629" s="125"/>
      <c r="M629" s="125"/>
    </row>
    <row r="630" spans="1:13" ht="63" outlineLevel="5">
      <c r="A630" s="108" t="s">
        <v>693</v>
      </c>
      <c r="B630" s="77" t="s">
        <v>1266</v>
      </c>
      <c r="C630" s="109" t="s">
        <v>17</v>
      </c>
      <c r="D630" s="109" t="s">
        <v>3</v>
      </c>
      <c r="E630" s="109" t="s">
        <v>3</v>
      </c>
      <c r="F630" s="110">
        <f>F631</f>
        <v>10000000</v>
      </c>
      <c r="G630" s="110"/>
      <c r="I630" s="125"/>
      <c r="L630" s="125"/>
      <c r="M630" s="125"/>
    </row>
    <row r="631" spans="1:13" ht="31.5" outlineLevel="5">
      <c r="A631" s="108" t="s">
        <v>673</v>
      </c>
      <c r="B631" s="77" t="s">
        <v>1266</v>
      </c>
      <c r="C631" s="109" t="s">
        <v>17</v>
      </c>
      <c r="D631" s="109" t="s">
        <v>22</v>
      </c>
      <c r="E631" s="109" t="s">
        <v>146</v>
      </c>
      <c r="F631" s="110">
        <f>Приложение_6!F367</f>
        <v>10000000</v>
      </c>
      <c r="G631" s="110"/>
      <c r="I631" s="125"/>
      <c r="L631" s="125"/>
      <c r="M631" s="125"/>
    </row>
    <row r="632" spans="1:13" ht="94.5" outlineLevel="5">
      <c r="A632" s="76" t="s">
        <v>1225</v>
      </c>
      <c r="B632" s="77" t="s">
        <v>1226</v>
      </c>
      <c r="C632" s="77" t="s">
        <v>1</v>
      </c>
      <c r="D632" s="109" t="s">
        <v>3</v>
      </c>
      <c r="E632" s="109" t="s">
        <v>3</v>
      </c>
      <c r="F632" s="110">
        <f>F633</f>
        <v>450000</v>
      </c>
      <c r="G632" s="110"/>
      <c r="I632" s="125"/>
      <c r="L632" s="125"/>
      <c r="M632" s="125"/>
    </row>
    <row r="633" spans="1:13" ht="31.5" outlineLevel="5">
      <c r="A633" s="76" t="s">
        <v>441</v>
      </c>
      <c r="B633" s="77" t="s">
        <v>1227</v>
      </c>
      <c r="C633" s="77" t="s">
        <v>1</v>
      </c>
      <c r="D633" s="109" t="s">
        <v>3</v>
      </c>
      <c r="E633" s="109" t="s">
        <v>3</v>
      </c>
      <c r="F633" s="110">
        <f>F634</f>
        <v>450000</v>
      </c>
      <c r="G633" s="110"/>
      <c r="I633" s="125"/>
      <c r="L633" s="125"/>
      <c r="M633" s="125"/>
    </row>
    <row r="634" spans="1:13" ht="63" outlineLevel="5">
      <c r="A634" s="76" t="s">
        <v>693</v>
      </c>
      <c r="B634" s="77" t="s">
        <v>1227</v>
      </c>
      <c r="C634" s="77" t="s">
        <v>17</v>
      </c>
      <c r="D634" s="109" t="s">
        <v>3</v>
      </c>
      <c r="E634" s="109" t="s">
        <v>3</v>
      </c>
      <c r="F634" s="110">
        <f>F635</f>
        <v>450000</v>
      </c>
      <c r="G634" s="110"/>
      <c r="I634" s="125"/>
      <c r="L634" s="125"/>
      <c r="M634" s="125"/>
    </row>
    <row r="635" spans="1:13" ht="31.5" outlineLevel="5">
      <c r="A635" s="108" t="s">
        <v>673</v>
      </c>
      <c r="B635" s="77" t="s">
        <v>1227</v>
      </c>
      <c r="C635" s="77" t="s">
        <v>17</v>
      </c>
      <c r="D635" s="109" t="s">
        <v>22</v>
      </c>
      <c r="E635" s="109" t="s">
        <v>146</v>
      </c>
      <c r="F635" s="110">
        <f>Приложение_6!F370</f>
        <v>450000</v>
      </c>
      <c r="G635" s="110"/>
      <c r="I635" s="125"/>
      <c r="L635" s="125"/>
      <c r="M635" s="125"/>
    </row>
    <row r="636" spans="1:13" ht="94.5" outlineLevel="2">
      <c r="A636" s="108" t="s">
        <v>538</v>
      </c>
      <c r="B636" s="109" t="s">
        <v>181</v>
      </c>
      <c r="C636" s="109" t="s">
        <v>1</v>
      </c>
      <c r="D636" s="109" t="s">
        <v>3</v>
      </c>
      <c r="E636" s="109" t="s">
        <v>3</v>
      </c>
      <c r="F636" s="110">
        <f>F637+F640+F643</f>
        <v>95306352.19000001</v>
      </c>
      <c r="G636" s="110"/>
      <c r="I636" s="125">
        <v>96330493.27</v>
      </c>
      <c r="L636" s="125">
        <f aca="true" t="shared" si="27" ref="L636:L641">I636-F636</f>
        <v>1024141.0799999833</v>
      </c>
      <c r="M636" s="125">
        <f aca="true" t="shared" si="28" ref="M636:M641">J636-G636</f>
        <v>0</v>
      </c>
    </row>
    <row r="637" spans="1:13" ht="78.75" outlineLevel="3">
      <c r="A637" s="108" t="s">
        <v>455</v>
      </c>
      <c r="B637" s="109" t="s">
        <v>182</v>
      </c>
      <c r="C637" s="109" t="s">
        <v>1</v>
      </c>
      <c r="D637" s="109" t="s">
        <v>3</v>
      </c>
      <c r="E637" s="109" t="s">
        <v>3</v>
      </c>
      <c r="F637" s="110">
        <f>F638</f>
        <v>92834953.2</v>
      </c>
      <c r="G637" s="110"/>
      <c r="I637" s="125">
        <v>92834953.2</v>
      </c>
      <c r="L637" s="125">
        <f t="shared" si="27"/>
        <v>0</v>
      </c>
      <c r="M637" s="125">
        <f t="shared" si="28"/>
        <v>0</v>
      </c>
    </row>
    <row r="638" spans="1:13" ht="63" outlineLevel="4">
      <c r="A638" s="108" t="s">
        <v>693</v>
      </c>
      <c r="B638" s="109" t="s">
        <v>182</v>
      </c>
      <c r="C638" s="109" t="s">
        <v>17</v>
      </c>
      <c r="D638" s="109" t="s">
        <v>3</v>
      </c>
      <c r="E638" s="109" t="s">
        <v>3</v>
      </c>
      <c r="F638" s="110">
        <f>F639</f>
        <v>92834953.2</v>
      </c>
      <c r="G638" s="110"/>
      <c r="I638" s="125">
        <v>92834953.2</v>
      </c>
      <c r="L638" s="125">
        <f t="shared" si="27"/>
        <v>0</v>
      </c>
      <c r="M638" s="125">
        <f t="shared" si="28"/>
        <v>0</v>
      </c>
    </row>
    <row r="639" spans="1:13" ht="31.5" outlineLevel="5">
      <c r="A639" s="108" t="s">
        <v>673</v>
      </c>
      <c r="B639" s="109" t="s">
        <v>182</v>
      </c>
      <c r="C639" s="109" t="s">
        <v>17</v>
      </c>
      <c r="D639" s="109" t="s">
        <v>22</v>
      </c>
      <c r="E639" s="109" t="s">
        <v>146</v>
      </c>
      <c r="F639" s="110">
        <f>Приложение_6!F373</f>
        <v>92834953.2</v>
      </c>
      <c r="G639" s="110"/>
      <c r="I639" s="125">
        <v>92834953.2</v>
      </c>
      <c r="L639" s="125">
        <f t="shared" si="27"/>
        <v>0</v>
      </c>
      <c r="M639" s="125">
        <f t="shared" si="28"/>
        <v>0</v>
      </c>
    </row>
    <row r="640" spans="1:13" ht="63" outlineLevel="3">
      <c r="A640" s="108" t="s">
        <v>456</v>
      </c>
      <c r="B640" s="109" t="s">
        <v>183</v>
      </c>
      <c r="C640" s="109" t="s">
        <v>1</v>
      </c>
      <c r="D640" s="109" t="s">
        <v>3</v>
      </c>
      <c r="E640" s="109" t="s">
        <v>3</v>
      </c>
      <c r="F640" s="110">
        <f>F641</f>
        <v>360636.09</v>
      </c>
      <c r="G640" s="110"/>
      <c r="I640" s="125">
        <v>360636.09</v>
      </c>
      <c r="L640" s="125">
        <f t="shared" si="27"/>
        <v>0</v>
      </c>
      <c r="M640" s="125">
        <f t="shared" si="28"/>
        <v>0</v>
      </c>
    </row>
    <row r="641" spans="1:13" ht="63" outlineLevel="4">
      <c r="A641" s="108" t="s">
        <v>693</v>
      </c>
      <c r="B641" s="109" t="s">
        <v>183</v>
      </c>
      <c r="C641" s="109" t="s">
        <v>17</v>
      </c>
      <c r="D641" s="109" t="s">
        <v>3</v>
      </c>
      <c r="E641" s="109" t="s">
        <v>3</v>
      </c>
      <c r="F641" s="110">
        <f>F642</f>
        <v>360636.09</v>
      </c>
      <c r="G641" s="110"/>
      <c r="I641" s="125">
        <v>360636.09</v>
      </c>
      <c r="L641" s="125">
        <f t="shared" si="27"/>
        <v>0</v>
      </c>
      <c r="M641" s="125">
        <f t="shared" si="28"/>
        <v>0</v>
      </c>
    </row>
    <row r="642" spans="1:13" ht="31.5" outlineLevel="5">
      <c r="A642" s="108" t="s">
        <v>673</v>
      </c>
      <c r="B642" s="109" t="s">
        <v>183</v>
      </c>
      <c r="C642" s="109" t="s">
        <v>17</v>
      </c>
      <c r="D642" s="109" t="s">
        <v>22</v>
      </c>
      <c r="E642" s="109" t="s">
        <v>146</v>
      </c>
      <c r="F642" s="110">
        <f>Приложение_6!F375</f>
        <v>360636.09</v>
      </c>
      <c r="G642" s="110"/>
      <c r="I642" s="125">
        <v>360636.09</v>
      </c>
      <c r="L642" s="125">
        <f aca="true" t="shared" si="29" ref="L642:M649">I642-F642</f>
        <v>0</v>
      </c>
      <c r="M642" s="125">
        <f t="shared" si="29"/>
        <v>0</v>
      </c>
    </row>
    <row r="643" spans="1:13" ht="31.5" customHeight="1" outlineLevel="3">
      <c r="A643" s="108" t="s">
        <v>441</v>
      </c>
      <c r="B643" s="109" t="s">
        <v>184</v>
      </c>
      <c r="C643" s="109" t="s">
        <v>1</v>
      </c>
      <c r="D643" s="109" t="s">
        <v>3</v>
      </c>
      <c r="E643" s="109" t="s">
        <v>3</v>
      </c>
      <c r="F643" s="110">
        <f>F644</f>
        <v>2110762.9</v>
      </c>
      <c r="G643" s="110"/>
      <c r="I643" s="125">
        <v>3134903.98</v>
      </c>
      <c r="L643" s="125">
        <f t="shared" si="29"/>
        <v>1024141.0800000001</v>
      </c>
      <c r="M643" s="125">
        <f t="shared" si="29"/>
        <v>0</v>
      </c>
    </row>
    <row r="644" spans="1:13" ht="63" outlineLevel="4">
      <c r="A644" s="108" t="s">
        <v>693</v>
      </c>
      <c r="B644" s="109" t="s">
        <v>184</v>
      </c>
      <c r="C644" s="109" t="s">
        <v>17</v>
      </c>
      <c r="D644" s="109" t="s">
        <v>3</v>
      </c>
      <c r="E644" s="109" t="s">
        <v>3</v>
      </c>
      <c r="F644" s="110">
        <f>F645</f>
        <v>2110762.9</v>
      </c>
      <c r="G644" s="110"/>
      <c r="I644" s="125">
        <v>3134903.98</v>
      </c>
      <c r="L644" s="125">
        <f t="shared" si="29"/>
        <v>1024141.0800000001</v>
      </c>
      <c r="M644" s="125">
        <f t="shared" si="29"/>
        <v>0</v>
      </c>
    </row>
    <row r="645" spans="1:13" ht="31.5" outlineLevel="5">
      <c r="A645" s="108" t="s">
        <v>673</v>
      </c>
      <c r="B645" s="109" t="s">
        <v>184</v>
      </c>
      <c r="C645" s="109" t="s">
        <v>17</v>
      </c>
      <c r="D645" s="109" t="s">
        <v>22</v>
      </c>
      <c r="E645" s="109" t="s">
        <v>146</v>
      </c>
      <c r="F645" s="110">
        <f>Приложение_6!F377</f>
        <v>2110762.9</v>
      </c>
      <c r="G645" s="110"/>
      <c r="I645" s="125">
        <v>3134903.98</v>
      </c>
      <c r="L645" s="125">
        <f t="shared" si="29"/>
        <v>1024141.0800000001</v>
      </c>
      <c r="M645" s="125">
        <f t="shared" si="29"/>
        <v>0</v>
      </c>
    </row>
    <row r="646" spans="1:13" ht="94.5" outlineLevel="2">
      <c r="A646" s="108" t="s">
        <v>539</v>
      </c>
      <c r="B646" s="109" t="s">
        <v>185</v>
      </c>
      <c r="C646" s="109" t="s">
        <v>1</v>
      </c>
      <c r="D646" s="109" t="s">
        <v>3</v>
      </c>
      <c r="E646" s="109" t="s">
        <v>3</v>
      </c>
      <c r="F646" s="110">
        <f>F647</f>
        <v>294000</v>
      </c>
      <c r="G646" s="110"/>
      <c r="I646" s="125">
        <v>300000</v>
      </c>
      <c r="L646" s="125">
        <f t="shared" si="29"/>
        <v>6000</v>
      </c>
      <c r="M646" s="125">
        <f t="shared" si="29"/>
        <v>0</v>
      </c>
    </row>
    <row r="647" spans="1:13" ht="31.5" customHeight="1" outlineLevel="3">
      <c r="A647" s="108" t="s">
        <v>441</v>
      </c>
      <c r="B647" s="109" t="s">
        <v>186</v>
      </c>
      <c r="C647" s="109" t="s">
        <v>1</v>
      </c>
      <c r="D647" s="109" t="s">
        <v>3</v>
      </c>
      <c r="E647" s="109" t="s">
        <v>3</v>
      </c>
      <c r="F647" s="110">
        <f>F648</f>
        <v>294000</v>
      </c>
      <c r="G647" s="110"/>
      <c r="I647" s="125">
        <v>300000</v>
      </c>
      <c r="L647" s="125">
        <f t="shared" si="29"/>
        <v>6000</v>
      </c>
      <c r="M647" s="125">
        <f t="shared" si="29"/>
        <v>0</v>
      </c>
    </row>
    <row r="648" spans="1:13" ht="63" outlineLevel="4">
      <c r="A648" s="108" t="s">
        <v>693</v>
      </c>
      <c r="B648" s="109" t="s">
        <v>186</v>
      </c>
      <c r="C648" s="109" t="s">
        <v>17</v>
      </c>
      <c r="D648" s="109" t="s">
        <v>3</v>
      </c>
      <c r="E648" s="109" t="s">
        <v>3</v>
      </c>
      <c r="F648" s="110">
        <f>F649</f>
        <v>294000</v>
      </c>
      <c r="G648" s="110"/>
      <c r="I648" s="125">
        <v>300000</v>
      </c>
      <c r="L648" s="125">
        <f t="shared" si="29"/>
        <v>6000</v>
      </c>
      <c r="M648" s="125">
        <f t="shared" si="29"/>
        <v>0</v>
      </c>
    </row>
    <row r="649" spans="1:13" ht="31.5" outlineLevel="5">
      <c r="A649" s="108" t="s">
        <v>673</v>
      </c>
      <c r="B649" s="109" t="s">
        <v>186</v>
      </c>
      <c r="C649" s="109" t="s">
        <v>17</v>
      </c>
      <c r="D649" s="109" t="s">
        <v>22</v>
      </c>
      <c r="E649" s="109" t="s">
        <v>146</v>
      </c>
      <c r="F649" s="110">
        <f>Приложение_6!F380</f>
        <v>294000</v>
      </c>
      <c r="G649" s="110"/>
      <c r="I649" s="125">
        <v>300000</v>
      </c>
      <c r="L649" s="125">
        <f t="shared" si="29"/>
        <v>6000</v>
      </c>
      <c r="M649" s="125">
        <f t="shared" si="29"/>
        <v>0</v>
      </c>
    </row>
    <row r="650" spans="1:13" ht="94.5">
      <c r="A650" s="115" t="s">
        <v>1216</v>
      </c>
      <c r="B650" s="116" t="s">
        <v>80</v>
      </c>
      <c r="C650" s="116" t="s">
        <v>1</v>
      </c>
      <c r="D650" s="116" t="s">
        <v>3</v>
      </c>
      <c r="E650" s="116" t="s">
        <v>3</v>
      </c>
      <c r="F650" s="117">
        <f>F651+F655+F659+F663</f>
        <v>3771580</v>
      </c>
      <c r="G650" s="117"/>
      <c r="I650" s="125">
        <v>886480</v>
      </c>
      <c r="L650" s="125">
        <f>I650-F650</f>
        <v>-2885100</v>
      </c>
      <c r="M650" s="125">
        <f aca="true" t="shared" si="30" ref="M650:M667">J650-G650</f>
        <v>0</v>
      </c>
    </row>
    <row r="651" spans="1:13" ht="204.75" outlineLevel="2">
      <c r="A651" s="108" t="s">
        <v>503</v>
      </c>
      <c r="B651" s="109" t="s">
        <v>81</v>
      </c>
      <c r="C651" s="109" t="s">
        <v>1</v>
      </c>
      <c r="D651" s="109" t="s">
        <v>3</v>
      </c>
      <c r="E651" s="109" t="s">
        <v>3</v>
      </c>
      <c r="F651" s="110">
        <f>F652</f>
        <v>246750</v>
      </c>
      <c r="G651" s="110"/>
      <c r="I651" s="125">
        <v>200000</v>
      </c>
      <c r="L651" s="125"/>
      <c r="M651" s="125"/>
    </row>
    <row r="652" spans="1:13" ht="31.5" customHeight="1" outlineLevel="3">
      <c r="A652" s="108" t="s">
        <v>441</v>
      </c>
      <c r="B652" s="109" t="s">
        <v>82</v>
      </c>
      <c r="C652" s="109" t="s">
        <v>1</v>
      </c>
      <c r="D652" s="109" t="s">
        <v>3</v>
      </c>
      <c r="E652" s="109" t="s">
        <v>3</v>
      </c>
      <c r="F652" s="110">
        <f>F653</f>
        <v>246750</v>
      </c>
      <c r="G652" s="110"/>
      <c r="I652" s="125">
        <v>200000</v>
      </c>
      <c r="L652" s="125">
        <f aca="true" t="shared" si="31" ref="L652:L667">I652-F652</f>
        <v>-46750</v>
      </c>
      <c r="M652" s="125">
        <f t="shared" si="30"/>
        <v>0</v>
      </c>
    </row>
    <row r="653" spans="1:13" ht="63" outlineLevel="4">
      <c r="A653" s="108" t="s">
        <v>693</v>
      </c>
      <c r="B653" s="109" t="s">
        <v>82</v>
      </c>
      <c r="C653" s="109" t="s">
        <v>17</v>
      </c>
      <c r="D653" s="109" t="s">
        <v>3</v>
      </c>
      <c r="E653" s="109" t="s">
        <v>3</v>
      </c>
      <c r="F653" s="110">
        <f>F654</f>
        <v>246750</v>
      </c>
      <c r="G653" s="110"/>
      <c r="I653" s="125">
        <v>200000</v>
      </c>
      <c r="L653" s="125">
        <f t="shared" si="31"/>
        <v>-46750</v>
      </c>
      <c r="M653" s="125">
        <f t="shared" si="30"/>
        <v>0</v>
      </c>
    </row>
    <row r="654" spans="1:13" ht="31.5" outlineLevel="5">
      <c r="A654" s="108" t="s">
        <v>668</v>
      </c>
      <c r="B654" s="109" t="s">
        <v>82</v>
      </c>
      <c r="C654" s="109" t="s">
        <v>17</v>
      </c>
      <c r="D654" s="109" t="s">
        <v>2</v>
      </c>
      <c r="E654" s="109" t="s">
        <v>66</v>
      </c>
      <c r="F654" s="110">
        <f>Приложение_6!F172</f>
        <v>246750</v>
      </c>
      <c r="G654" s="110"/>
      <c r="I654" s="125">
        <v>200000</v>
      </c>
      <c r="L654" s="125">
        <f t="shared" si="31"/>
        <v>-46750</v>
      </c>
      <c r="M654" s="125">
        <f t="shared" si="30"/>
        <v>0</v>
      </c>
    </row>
    <row r="655" spans="1:13" ht="63" outlineLevel="2">
      <c r="A655" s="76" t="s">
        <v>1270</v>
      </c>
      <c r="B655" s="109" t="s">
        <v>1271</v>
      </c>
      <c r="C655" s="109" t="s">
        <v>1</v>
      </c>
      <c r="D655" s="109" t="s">
        <v>3</v>
      </c>
      <c r="E655" s="109" t="s">
        <v>3</v>
      </c>
      <c r="F655" s="110">
        <f>F656</f>
        <v>2416350</v>
      </c>
      <c r="G655" s="110"/>
      <c r="I655" s="125">
        <v>686480</v>
      </c>
      <c r="L655" s="125">
        <f t="shared" si="31"/>
        <v>-1729870</v>
      </c>
      <c r="M655" s="125">
        <f t="shared" si="30"/>
        <v>0</v>
      </c>
    </row>
    <row r="656" spans="1:13" ht="31.5" customHeight="1" outlineLevel="3">
      <c r="A656" s="108" t="s">
        <v>441</v>
      </c>
      <c r="B656" s="109" t="s">
        <v>1272</v>
      </c>
      <c r="C656" s="109" t="s">
        <v>1</v>
      </c>
      <c r="D656" s="109" t="s">
        <v>3</v>
      </c>
      <c r="E656" s="109" t="s">
        <v>3</v>
      </c>
      <c r="F656" s="110">
        <f>F657</f>
        <v>2416350</v>
      </c>
      <c r="G656" s="110"/>
      <c r="I656" s="125">
        <v>686480</v>
      </c>
      <c r="L656" s="125">
        <f t="shared" si="31"/>
        <v>-1729870</v>
      </c>
      <c r="M656" s="125">
        <f t="shared" si="30"/>
        <v>0</v>
      </c>
    </row>
    <row r="657" spans="1:13" ht="63" outlineLevel="4">
      <c r="A657" s="108" t="s">
        <v>693</v>
      </c>
      <c r="B657" s="109" t="s">
        <v>1272</v>
      </c>
      <c r="C657" s="109" t="s">
        <v>17</v>
      </c>
      <c r="D657" s="109" t="s">
        <v>3</v>
      </c>
      <c r="E657" s="109" t="s">
        <v>3</v>
      </c>
      <c r="F657" s="110">
        <f>F658</f>
        <v>2416350</v>
      </c>
      <c r="G657" s="110"/>
      <c r="I657" s="125">
        <v>686480</v>
      </c>
      <c r="L657" s="125">
        <f t="shared" si="31"/>
        <v>-1729870</v>
      </c>
      <c r="M657" s="125">
        <f t="shared" si="30"/>
        <v>0</v>
      </c>
    </row>
    <row r="658" spans="1:13" ht="15.75" outlineLevel="5">
      <c r="A658" s="108" t="s">
        <v>676</v>
      </c>
      <c r="B658" s="109" t="s">
        <v>1272</v>
      </c>
      <c r="C658" s="109" t="s">
        <v>17</v>
      </c>
      <c r="D658" s="109" t="s">
        <v>159</v>
      </c>
      <c r="E658" s="109" t="s">
        <v>2</v>
      </c>
      <c r="F658" s="110">
        <f>Приложение_6!F460</f>
        <v>2416350</v>
      </c>
      <c r="G658" s="110"/>
      <c r="I658" s="125">
        <v>686480</v>
      </c>
      <c r="L658" s="125">
        <f t="shared" si="31"/>
        <v>-1729870</v>
      </c>
      <c r="M658" s="125">
        <f t="shared" si="30"/>
        <v>0</v>
      </c>
    </row>
    <row r="659" spans="1:13" ht="78.75" outlineLevel="5">
      <c r="A659" s="76" t="s">
        <v>1242</v>
      </c>
      <c r="B659" s="77" t="s">
        <v>1243</v>
      </c>
      <c r="C659" s="77" t="s">
        <v>1</v>
      </c>
      <c r="D659" s="109" t="s">
        <v>3</v>
      </c>
      <c r="E659" s="109" t="s">
        <v>3</v>
      </c>
      <c r="F659" s="110">
        <f>F660</f>
        <v>381600</v>
      </c>
      <c r="G659" s="110"/>
      <c r="I659" s="125"/>
      <c r="L659" s="125"/>
      <c r="M659" s="125"/>
    </row>
    <row r="660" spans="1:13" ht="31.5" outlineLevel="5">
      <c r="A660" s="76" t="s">
        <v>441</v>
      </c>
      <c r="B660" s="77" t="s">
        <v>1244</v>
      </c>
      <c r="C660" s="77" t="s">
        <v>1</v>
      </c>
      <c r="D660" s="109" t="s">
        <v>3</v>
      </c>
      <c r="E660" s="109" t="s">
        <v>3</v>
      </c>
      <c r="F660" s="110">
        <f>F661</f>
        <v>381600</v>
      </c>
      <c r="G660" s="110"/>
      <c r="I660" s="125"/>
      <c r="L660" s="125"/>
      <c r="M660" s="125"/>
    </row>
    <row r="661" spans="1:13" ht="63" outlineLevel="5">
      <c r="A661" s="76" t="s">
        <v>693</v>
      </c>
      <c r="B661" s="77" t="s">
        <v>1244</v>
      </c>
      <c r="C661" s="77" t="s">
        <v>17</v>
      </c>
      <c r="D661" s="109" t="s">
        <v>3</v>
      </c>
      <c r="E661" s="109" t="s">
        <v>3</v>
      </c>
      <c r="F661" s="110">
        <f>F662</f>
        <v>381600</v>
      </c>
      <c r="G661" s="110"/>
      <c r="I661" s="125"/>
      <c r="L661" s="125"/>
      <c r="M661" s="125"/>
    </row>
    <row r="662" spans="1:13" ht="15.75" outlineLevel="5">
      <c r="A662" s="108" t="s">
        <v>676</v>
      </c>
      <c r="B662" s="77" t="s">
        <v>1244</v>
      </c>
      <c r="C662" s="77" t="s">
        <v>17</v>
      </c>
      <c r="D662" s="109" t="s">
        <v>159</v>
      </c>
      <c r="E662" s="109" t="s">
        <v>2</v>
      </c>
      <c r="F662" s="110">
        <f>Приложение_6!F463</f>
        <v>381600</v>
      </c>
      <c r="G662" s="110"/>
      <c r="I662" s="125"/>
      <c r="L662" s="125"/>
      <c r="M662" s="125"/>
    </row>
    <row r="663" spans="1:13" ht="110.25" outlineLevel="5">
      <c r="A663" s="76" t="s">
        <v>1245</v>
      </c>
      <c r="B663" s="77" t="s">
        <v>1246</v>
      </c>
      <c r="C663" s="77" t="s">
        <v>1</v>
      </c>
      <c r="D663" s="109" t="s">
        <v>3</v>
      </c>
      <c r="E663" s="109" t="s">
        <v>3</v>
      </c>
      <c r="F663" s="110">
        <f>F664</f>
        <v>726880</v>
      </c>
      <c r="G663" s="110"/>
      <c r="I663" s="125"/>
      <c r="L663" s="125"/>
      <c r="M663" s="125"/>
    </row>
    <row r="664" spans="1:13" ht="31.5" outlineLevel="5">
      <c r="A664" s="76" t="s">
        <v>441</v>
      </c>
      <c r="B664" s="77" t="s">
        <v>1247</v>
      </c>
      <c r="C664" s="77" t="s">
        <v>1</v>
      </c>
      <c r="D664" s="109" t="s">
        <v>3</v>
      </c>
      <c r="E664" s="109" t="s">
        <v>3</v>
      </c>
      <c r="F664" s="110">
        <f>F665</f>
        <v>726880</v>
      </c>
      <c r="G664" s="110"/>
      <c r="I664" s="125"/>
      <c r="L664" s="125"/>
      <c r="M664" s="125"/>
    </row>
    <row r="665" spans="1:13" ht="63" outlineLevel="5">
      <c r="A665" s="76" t="s">
        <v>693</v>
      </c>
      <c r="B665" s="77" t="s">
        <v>1247</v>
      </c>
      <c r="C665" s="77" t="s">
        <v>17</v>
      </c>
      <c r="D665" s="109" t="s">
        <v>3</v>
      </c>
      <c r="E665" s="109" t="s">
        <v>3</v>
      </c>
      <c r="F665" s="110">
        <f>F666</f>
        <v>726880</v>
      </c>
      <c r="G665" s="110"/>
      <c r="I665" s="125"/>
      <c r="L665" s="125"/>
      <c r="M665" s="125"/>
    </row>
    <row r="666" spans="1:13" ht="15.75" outlineLevel="5">
      <c r="A666" s="108" t="s">
        <v>676</v>
      </c>
      <c r="B666" s="77" t="s">
        <v>1247</v>
      </c>
      <c r="C666" s="77" t="s">
        <v>17</v>
      </c>
      <c r="D666" s="109" t="s">
        <v>159</v>
      </c>
      <c r="E666" s="109" t="s">
        <v>2</v>
      </c>
      <c r="F666" s="110">
        <f>Приложение_6!F466</f>
        <v>726880</v>
      </c>
      <c r="G666" s="110"/>
      <c r="I666" s="125"/>
      <c r="L666" s="125"/>
      <c r="M666" s="125"/>
    </row>
    <row r="667" spans="1:13" ht="126">
      <c r="A667" s="115" t="s">
        <v>1215</v>
      </c>
      <c r="B667" s="116" t="s">
        <v>83</v>
      </c>
      <c r="C667" s="116" t="s">
        <v>1</v>
      </c>
      <c r="D667" s="116" t="s">
        <v>3</v>
      </c>
      <c r="E667" s="116" t="s">
        <v>3</v>
      </c>
      <c r="F667" s="117">
        <f>F668+F672+F676</f>
        <v>150500</v>
      </c>
      <c r="G667" s="117"/>
      <c r="I667" s="125">
        <v>198000</v>
      </c>
      <c r="L667" s="125">
        <f t="shared" si="31"/>
        <v>47500</v>
      </c>
      <c r="M667" s="125">
        <f t="shared" si="30"/>
        <v>0</v>
      </c>
    </row>
    <row r="668" spans="1:13" ht="63" outlineLevel="2">
      <c r="A668" s="108" t="s">
        <v>504</v>
      </c>
      <c r="B668" s="109" t="s">
        <v>84</v>
      </c>
      <c r="C668" s="109" t="s">
        <v>1</v>
      </c>
      <c r="D668" s="109" t="s">
        <v>3</v>
      </c>
      <c r="E668" s="109" t="s">
        <v>3</v>
      </c>
      <c r="F668" s="110">
        <f>F669</f>
        <v>50500</v>
      </c>
      <c r="G668" s="110"/>
      <c r="I668" s="125">
        <v>50500</v>
      </c>
      <c r="L668" s="125">
        <f aca="true" t="shared" si="32" ref="L668:L731">I668-F668</f>
        <v>0</v>
      </c>
      <c r="M668" s="125">
        <f aca="true" t="shared" si="33" ref="M668:M731">J668-G668</f>
        <v>0</v>
      </c>
    </row>
    <row r="669" spans="1:13" ht="31.5" customHeight="1" outlineLevel="3">
      <c r="A669" s="108" t="s">
        <v>441</v>
      </c>
      <c r="B669" s="109" t="s">
        <v>85</v>
      </c>
      <c r="C669" s="109" t="s">
        <v>1</v>
      </c>
      <c r="D669" s="109" t="s">
        <v>3</v>
      </c>
      <c r="E669" s="109" t="s">
        <v>3</v>
      </c>
      <c r="F669" s="110">
        <f>F670</f>
        <v>50500</v>
      </c>
      <c r="G669" s="110"/>
      <c r="I669" s="125">
        <v>50500</v>
      </c>
      <c r="L669" s="125">
        <f t="shared" si="32"/>
        <v>0</v>
      </c>
      <c r="M669" s="125">
        <f t="shared" si="33"/>
        <v>0</v>
      </c>
    </row>
    <row r="670" spans="1:13" ht="63" outlineLevel="4">
      <c r="A670" s="108" t="s">
        <v>693</v>
      </c>
      <c r="B670" s="109" t="s">
        <v>85</v>
      </c>
      <c r="C670" s="109" t="s">
        <v>17</v>
      </c>
      <c r="D670" s="109" t="s">
        <v>3</v>
      </c>
      <c r="E670" s="109" t="s">
        <v>3</v>
      </c>
      <c r="F670" s="110">
        <f>F671</f>
        <v>50500</v>
      </c>
      <c r="G670" s="110"/>
      <c r="I670" s="125">
        <v>50500</v>
      </c>
      <c r="L670" s="125">
        <f t="shared" si="32"/>
        <v>0</v>
      </c>
      <c r="M670" s="125">
        <f t="shared" si="33"/>
        <v>0</v>
      </c>
    </row>
    <row r="671" spans="1:13" ht="31.5" outlineLevel="5">
      <c r="A671" s="108" t="s">
        <v>668</v>
      </c>
      <c r="B671" s="109" t="s">
        <v>85</v>
      </c>
      <c r="C671" s="109" t="s">
        <v>17</v>
      </c>
      <c r="D671" s="109" t="s">
        <v>2</v>
      </c>
      <c r="E671" s="109" t="s">
        <v>66</v>
      </c>
      <c r="F671" s="110">
        <f>Приложение_6!F176</f>
        <v>50500</v>
      </c>
      <c r="G671" s="110"/>
      <c r="I671" s="125">
        <v>50500</v>
      </c>
      <c r="L671" s="125">
        <f t="shared" si="32"/>
        <v>0</v>
      </c>
      <c r="M671" s="125">
        <f t="shared" si="33"/>
        <v>0</v>
      </c>
    </row>
    <row r="672" spans="1:13" ht="47.25" outlineLevel="2">
      <c r="A672" s="108" t="s">
        <v>505</v>
      </c>
      <c r="B672" s="109" t="s">
        <v>86</v>
      </c>
      <c r="C672" s="109" t="s">
        <v>1</v>
      </c>
      <c r="D672" s="109" t="s">
        <v>3</v>
      </c>
      <c r="E672" s="109" t="s">
        <v>3</v>
      </c>
      <c r="F672" s="110">
        <f>F673</f>
        <v>100000</v>
      </c>
      <c r="G672" s="110"/>
      <c r="I672" s="125">
        <v>100000</v>
      </c>
      <c r="L672" s="125">
        <f t="shared" si="32"/>
        <v>0</v>
      </c>
      <c r="M672" s="125">
        <f t="shared" si="33"/>
        <v>0</v>
      </c>
    </row>
    <row r="673" spans="1:13" ht="31.5" customHeight="1" outlineLevel="3">
      <c r="A673" s="108" t="s">
        <v>441</v>
      </c>
      <c r="B673" s="109" t="s">
        <v>87</v>
      </c>
      <c r="C673" s="109" t="s">
        <v>1</v>
      </c>
      <c r="D673" s="109" t="s">
        <v>3</v>
      </c>
      <c r="E673" s="109" t="s">
        <v>3</v>
      </c>
      <c r="F673" s="110">
        <f>F674</f>
        <v>100000</v>
      </c>
      <c r="G673" s="110"/>
      <c r="I673" s="125">
        <v>100000</v>
      </c>
      <c r="L673" s="125">
        <f t="shared" si="32"/>
        <v>0</v>
      </c>
      <c r="M673" s="125">
        <f t="shared" si="33"/>
        <v>0</v>
      </c>
    </row>
    <row r="674" spans="1:13" ht="63" outlineLevel="4">
      <c r="A674" s="108" t="s">
        <v>693</v>
      </c>
      <c r="B674" s="109" t="s">
        <v>87</v>
      </c>
      <c r="C674" s="109" t="s">
        <v>17</v>
      </c>
      <c r="D674" s="109" t="s">
        <v>3</v>
      </c>
      <c r="E674" s="109" t="s">
        <v>3</v>
      </c>
      <c r="F674" s="110">
        <f>F675</f>
        <v>100000</v>
      </c>
      <c r="G674" s="110"/>
      <c r="I674" s="125">
        <v>100000</v>
      </c>
      <c r="L674" s="125">
        <f t="shared" si="32"/>
        <v>0</v>
      </c>
      <c r="M674" s="125">
        <f t="shared" si="33"/>
        <v>0</v>
      </c>
    </row>
    <row r="675" spans="1:13" ht="31.5" outlineLevel="5">
      <c r="A675" s="108" t="s">
        <v>668</v>
      </c>
      <c r="B675" s="109" t="s">
        <v>87</v>
      </c>
      <c r="C675" s="109" t="s">
        <v>17</v>
      </c>
      <c r="D675" s="109" t="s">
        <v>2</v>
      </c>
      <c r="E675" s="109" t="s">
        <v>66</v>
      </c>
      <c r="F675" s="110">
        <f>Приложение_6!F179</f>
        <v>100000</v>
      </c>
      <c r="G675" s="110"/>
      <c r="I675" s="125">
        <v>100000</v>
      </c>
      <c r="L675" s="125">
        <f t="shared" si="32"/>
        <v>0</v>
      </c>
      <c r="M675" s="125">
        <f t="shared" si="33"/>
        <v>0</v>
      </c>
    </row>
    <row r="676" spans="1:13" ht="110.25" outlineLevel="2">
      <c r="A676" s="108" t="s">
        <v>506</v>
      </c>
      <c r="B676" s="109" t="s">
        <v>88</v>
      </c>
      <c r="C676" s="109" t="s">
        <v>1</v>
      </c>
      <c r="D676" s="109" t="s">
        <v>3</v>
      </c>
      <c r="E676" s="109" t="s">
        <v>3</v>
      </c>
      <c r="F676" s="110">
        <f>F677</f>
        <v>0</v>
      </c>
      <c r="G676" s="110"/>
      <c r="I676" s="125">
        <v>47500</v>
      </c>
      <c r="L676" s="125">
        <f t="shared" si="32"/>
        <v>47500</v>
      </c>
      <c r="M676" s="125">
        <f t="shared" si="33"/>
        <v>0</v>
      </c>
    </row>
    <row r="677" spans="1:13" ht="31.5" customHeight="1" outlineLevel="3">
      <c r="A677" s="108" t="s">
        <v>441</v>
      </c>
      <c r="B677" s="109" t="s">
        <v>89</v>
      </c>
      <c r="C677" s="109" t="s">
        <v>1</v>
      </c>
      <c r="D677" s="109" t="s">
        <v>3</v>
      </c>
      <c r="E677" s="109" t="s">
        <v>3</v>
      </c>
      <c r="F677" s="110">
        <f>F678</f>
        <v>0</v>
      </c>
      <c r="G677" s="110"/>
      <c r="I677" s="125">
        <v>47500</v>
      </c>
      <c r="L677" s="125">
        <f t="shared" si="32"/>
        <v>47500</v>
      </c>
      <c r="M677" s="125">
        <f t="shared" si="33"/>
        <v>0</v>
      </c>
    </row>
    <row r="678" spans="1:13" ht="31.5" outlineLevel="4">
      <c r="A678" s="108" t="s">
        <v>695</v>
      </c>
      <c r="B678" s="109" t="s">
        <v>89</v>
      </c>
      <c r="C678" s="109" t="s">
        <v>65</v>
      </c>
      <c r="D678" s="109" t="s">
        <v>3</v>
      </c>
      <c r="E678" s="109" t="s">
        <v>3</v>
      </c>
      <c r="F678" s="110">
        <f>F679</f>
        <v>0</v>
      </c>
      <c r="G678" s="110"/>
      <c r="I678" s="125">
        <v>47500</v>
      </c>
      <c r="L678" s="125">
        <f t="shared" si="32"/>
        <v>47500</v>
      </c>
      <c r="M678" s="125">
        <f t="shared" si="33"/>
        <v>0</v>
      </c>
    </row>
    <row r="679" spans="1:13" ht="31.5" outlineLevel="5">
      <c r="A679" s="108" t="s">
        <v>668</v>
      </c>
      <c r="B679" s="109" t="s">
        <v>89</v>
      </c>
      <c r="C679" s="109" t="s">
        <v>65</v>
      </c>
      <c r="D679" s="109" t="s">
        <v>2</v>
      </c>
      <c r="E679" s="109" t="s">
        <v>66</v>
      </c>
      <c r="F679" s="110">
        <f>Приложение_6!F182</f>
        <v>0</v>
      </c>
      <c r="G679" s="110"/>
      <c r="I679" s="125">
        <v>47500</v>
      </c>
      <c r="L679" s="125">
        <f t="shared" si="32"/>
        <v>47500</v>
      </c>
      <c r="M679" s="125">
        <f t="shared" si="33"/>
        <v>0</v>
      </c>
    </row>
    <row r="680" spans="1:13" ht="94.5">
      <c r="A680" s="115" t="s">
        <v>1205</v>
      </c>
      <c r="B680" s="116" t="s">
        <v>90</v>
      </c>
      <c r="C680" s="116" t="s">
        <v>1</v>
      </c>
      <c r="D680" s="116" t="s">
        <v>3</v>
      </c>
      <c r="E680" s="116" t="s">
        <v>3</v>
      </c>
      <c r="F680" s="117">
        <f>F681+F691+F736+F741</f>
        <v>48908377.06</v>
      </c>
      <c r="G680" s="117">
        <f>G691</f>
        <v>13042</v>
      </c>
      <c r="I680" s="125">
        <v>47307080.5</v>
      </c>
      <c r="J680" s="125">
        <v>13042</v>
      </c>
      <c r="L680" s="125">
        <f t="shared" si="32"/>
        <v>-1601296.5600000024</v>
      </c>
      <c r="M680" s="125">
        <f t="shared" si="33"/>
        <v>0</v>
      </c>
    </row>
    <row r="681" spans="1:13" ht="94.5" outlineLevel="1">
      <c r="A681" s="115" t="s">
        <v>634</v>
      </c>
      <c r="B681" s="116" t="s">
        <v>188</v>
      </c>
      <c r="C681" s="116" t="s">
        <v>1</v>
      </c>
      <c r="D681" s="116" t="s">
        <v>3</v>
      </c>
      <c r="E681" s="116" t="s">
        <v>3</v>
      </c>
      <c r="F681" s="117">
        <f>F682</f>
        <v>10222143.87</v>
      </c>
      <c r="G681" s="117"/>
      <c r="I681" s="125">
        <v>10222143.87</v>
      </c>
      <c r="L681" s="125">
        <f t="shared" si="32"/>
        <v>0</v>
      </c>
      <c r="M681" s="125">
        <f t="shared" si="33"/>
        <v>0</v>
      </c>
    </row>
    <row r="682" spans="1:13" ht="141.75" outlineLevel="2">
      <c r="A682" s="108" t="s">
        <v>540</v>
      </c>
      <c r="B682" s="109" t="s">
        <v>189</v>
      </c>
      <c r="C682" s="109" t="s">
        <v>1</v>
      </c>
      <c r="D682" s="109" t="s">
        <v>3</v>
      </c>
      <c r="E682" s="109" t="s">
        <v>3</v>
      </c>
      <c r="F682" s="110">
        <f>F683+F688</f>
        <v>10222143.87</v>
      </c>
      <c r="G682" s="110"/>
      <c r="I682" s="125">
        <v>10222143.87</v>
      </c>
      <c r="L682" s="125">
        <f t="shared" si="32"/>
        <v>0</v>
      </c>
      <c r="M682" s="125">
        <f t="shared" si="33"/>
        <v>0</v>
      </c>
    </row>
    <row r="683" spans="1:13" ht="126" outlineLevel="3">
      <c r="A683" s="108" t="s">
        <v>443</v>
      </c>
      <c r="B683" s="109" t="s">
        <v>190</v>
      </c>
      <c r="C683" s="109" t="s">
        <v>1</v>
      </c>
      <c r="D683" s="109" t="s">
        <v>3</v>
      </c>
      <c r="E683" s="109" t="s">
        <v>3</v>
      </c>
      <c r="F683" s="110">
        <f>F684+F686</f>
        <v>9962143.87</v>
      </c>
      <c r="G683" s="110"/>
      <c r="I683" s="125">
        <v>9962143.87</v>
      </c>
      <c r="L683" s="125">
        <f t="shared" si="32"/>
        <v>0</v>
      </c>
      <c r="M683" s="125">
        <f t="shared" si="33"/>
        <v>0</v>
      </c>
    </row>
    <row r="684" spans="1:13" ht="141.75" outlineLevel="4">
      <c r="A684" s="108" t="s">
        <v>1202</v>
      </c>
      <c r="B684" s="109" t="s">
        <v>190</v>
      </c>
      <c r="C684" s="109" t="s">
        <v>10</v>
      </c>
      <c r="D684" s="109" t="s">
        <v>3</v>
      </c>
      <c r="E684" s="109" t="s">
        <v>3</v>
      </c>
      <c r="F684" s="110">
        <f>F685</f>
        <v>9885644.87</v>
      </c>
      <c r="G684" s="110"/>
      <c r="I684" s="125">
        <v>9885644.87</v>
      </c>
      <c r="L684" s="125">
        <f t="shared" si="32"/>
        <v>0</v>
      </c>
      <c r="M684" s="125">
        <f t="shared" si="33"/>
        <v>0</v>
      </c>
    </row>
    <row r="685" spans="1:13" ht="15.75" outlineLevel="5">
      <c r="A685" s="108" t="s">
        <v>674</v>
      </c>
      <c r="B685" s="109" t="s">
        <v>190</v>
      </c>
      <c r="C685" s="109" t="s">
        <v>10</v>
      </c>
      <c r="D685" s="109" t="s">
        <v>22</v>
      </c>
      <c r="E685" s="109" t="s">
        <v>187</v>
      </c>
      <c r="F685" s="110">
        <f>Приложение_6!F389</f>
        <v>9885644.87</v>
      </c>
      <c r="G685" s="110"/>
      <c r="I685" s="125">
        <v>9885644.87</v>
      </c>
      <c r="L685" s="125">
        <f t="shared" si="32"/>
        <v>0</v>
      </c>
      <c r="M685" s="125">
        <f t="shared" si="33"/>
        <v>0</v>
      </c>
    </row>
    <row r="686" spans="1:13" ht="63" outlineLevel="4">
      <c r="A686" s="108" t="s">
        <v>693</v>
      </c>
      <c r="B686" s="109" t="s">
        <v>190</v>
      </c>
      <c r="C686" s="109" t="s">
        <v>17</v>
      </c>
      <c r="D686" s="109" t="s">
        <v>3</v>
      </c>
      <c r="E686" s="109" t="s">
        <v>3</v>
      </c>
      <c r="F686" s="110">
        <f>F687</f>
        <v>76499</v>
      </c>
      <c r="G686" s="110"/>
      <c r="I686" s="125">
        <v>76499</v>
      </c>
      <c r="L686" s="125">
        <f t="shared" si="32"/>
        <v>0</v>
      </c>
      <c r="M686" s="125">
        <f t="shared" si="33"/>
        <v>0</v>
      </c>
    </row>
    <row r="687" spans="1:13" ht="15.75" outlineLevel="5">
      <c r="A687" s="108" t="s">
        <v>674</v>
      </c>
      <c r="B687" s="109" t="s">
        <v>190</v>
      </c>
      <c r="C687" s="109" t="s">
        <v>17</v>
      </c>
      <c r="D687" s="109" t="s">
        <v>22</v>
      </c>
      <c r="E687" s="109" t="s">
        <v>187</v>
      </c>
      <c r="F687" s="110">
        <f>Приложение_6!F390</f>
        <v>76499</v>
      </c>
      <c r="G687" s="110"/>
      <c r="I687" s="125">
        <v>76499</v>
      </c>
      <c r="L687" s="125">
        <f t="shared" si="32"/>
        <v>0</v>
      </c>
      <c r="M687" s="125">
        <f t="shared" si="33"/>
        <v>0</v>
      </c>
    </row>
    <row r="688" spans="1:13" ht="126" outlineLevel="3">
      <c r="A688" s="108" t="s">
        <v>432</v>
      </c>
      <c r="B688" s="109" t="s">
        <v>191</v>
      </c>
      <c r="C688" s="109" t="s">
        <v>1</v>
      </c>
      <c r="D688" s="109" t="s">
        <v>3</v>
      </c>
      <c r="E688" s="109" t="s">
        <v>3</v>
      </c>
      <c r="F688" s="110">
        <f>F689</f>
        <v>260000</v>
      </c>
      <c r="G688" s="110"/>
      <c r="I688" s="125">
        <v>260000</v>
      </c>
      <c r="L688" s="125">
        <f t="shared" si="32"/>
        <v>0</v>
      </c>
      <c r="M688" s="125">
        <f t="shared" si="33"/>
        <v>0</v>
      </c>
    </row>
    <row r="689" spans="1:13" ht="141.75" outlineLevel="4">
      <c r="A689" s="108" t="s">
        <v>1202</v>
      </c>
      <c r="B689" s="109" t="s">
        <v>191</v>
      </c>
      <c r="C689" s="109" t="s">
        <v>10</v>
      </c>
      <c r="D689" s="109" t="s">
        <v>3</v>
      </c>
      <c r="E689" s="109" t="s">
        <v>3</v>
      </c>
      <c r="F689" s="110">
        <f>F690</f>
        <v>260000</v>
      </c>
      <c r="G689" s="110"/>
      <c r="I689" s="125">
        <v>260000</v>
      </c>
      <c r="L689" s="125">
        <f t="shared" si="32"/>
        <v>0</v>
      </c>
      <c r="M689" s="125">
        <f t="shared" si="33"/>
        <v>0</v>
      </c>
    </row>
    <row r="690" spans="1:13" ht="15.75" outlineLevel="5">
      <c r="A690" s="108" t="s">
        <v>674</v>
      </c>
      <c r="B690" s="109" t="s">
        <v>191</v>
      </c>
      <c r="C690" s="109" t="s">
        <v>10</v>
      </c>
      <c r="D690" s="109" t="s">
        <v>22</v>
      </c>
      <c r="E690" s="109" t="s">
        <v>187</v>
      </c>
      <c r="F690" s="110">
        <f>Приложение_6!F392</f>
        <v>260000</v>
      </c>
      <c r="G690" s="110"/>
      <c r="I690" s="125">
        <v>260000</v>
      </c>
      <c r="L690" s="125">
        <f t="shared" si="32"/>
        <v>0</v>
      </c>
      <c r="M690" s="125">
        <f t="shared" si="33"/>
        <v>0</v>
      </c>
    </row>
    <row r="691" spans="1:13" ht="78.75" outlineLevel="1">
      <c r="A691" s="115" t="s">
        <v>624</v>
      </c>
      <c r="B691" s="116" t="s">
        <v>91</v>
      </c>
      <c r="C691" s="116" t="s">
        <v>1</v>
      </c>
      <c r="D691" s="116" t="s">
        <v>3</v>
      </c>
      <c r="E691" s="116" t="s">
        <v>3</v>
      </c>
      <c r="F691" s="117">
        <f>F692+F697+F707+F711+F727+F732</f>
        <v>16195104.190000001</v>
      </c>
      <c r="G691" s="117">
        <f>G697</f>
        <v>13042</v>
      </c>
      <c r="I691" s="125">
        <v>14593807.63</v>
      </c>
      <c r="J691" s="125">
        <v>13042</v>
      </c>
      <c r="L691" s="125">
        <f t="shared" si="32"/>
        <v>-1601296.5600000005</v>
      </c>
      <c r="M691" s="125">
        <f t="shared" si="33"/>
        <v>0</v>
      </c>
    </row>
    <row r="692" spans="1:13" ht="78.75" outlineLevel="2">
      <c r="A692" s="108" t="s">
        <v>507</v>
      </c>
      <c r="B692" s="109" t="s">
        <v>92</v>
      </c>
      <c r="C692" s="109" t="s">
        <v>1</v>
      </c>
      <c r="D692" s="109" t="s">
        <v>3</v>
      </c>
      <c r="E692" s="109" t="s">
        <v>3</v>
      </c>
      <c r="F692" s="110">
        <f>F693</f>
        <v>100280.49</v>
      </c>
      <c r="G692" s="110"/>
      <c r="I692" s="125">
        <v>119203</v>
      </c>
      <c r="L692" s="125">
        <f t="shared" si="32"/>
        <v>18922.509999999995</v>
      </c>
      <c r="M692" s="125">
        <f t="shared" si="33"/>
        <v>0</v>
      </c>
    </row>
    <row r="693" spans="1:13" ht="31.5" customHeight="1" outlineLevel="3">
      <c r="A693" s="108" t="s">
        <v>441</v>
      </c>
      <c r="B693" s="109" t="s">
        <v>93</v>
      </c>
      <c r="C693" s="109" t="s">
        <v>1</v>
      </c>
      <c r="D693" s="109" t="s">
        <v>3</v>
      </c>
      <c r="E693" s="109" t="s">
        <v>3</v>
      </c>
      <c r="F693" s="110">
        <f>F694</f>
        <v>100280.49</v>
      </c>
      <c r="G693" s="110"/>
      <c r="I693" s="125">
        <v>119203</v>
      </c>
      <c r="L693" s="125">
        <f t="shared" si="32"/>
        <v>18922.509999999995</v>
      </c>
      <c r="M693" s="125">
        <f t="shared" si="33"/>
        <v>0</v>
      </c>
    </row>
    <row r="694" spans="1:13" ht="63" outlineLevel="4">
      <c r="A694" s="108" t="s">
        <v>693</v>
      </c>
      <c r="B694" s="109" t="s">
        <v>93</v>
      </c>
      <c r="C694" s="109" t="s">
        <v>17</v>
      </c>
      <c r="D694" s="109" t="s">
        <v>3</v>
      </c>
      <c r="E694" s="109" t="s">
        <v>3</v>
      </c>
      <c r="F694" s="110">
        <f>F695+F696</f>
        <v>100280.49</v>
      </c>
      <c r="G694" s="110"/>
      <c r="I694" s="125">
        <v>119203</v>
      </c>
      <c r="L694" s="125">
        <f t="shared" si="32"/>
        <v>18922.509999999995</v>
      </c>
      <c r="M694" s="125">
        <f t="shared" si="33"/>
        <v>0</v>
      </c>
    </row>
    <row r="695" spans="1:13" ht="31.5" outlineLevel="5">
      <c r="A695" s="108" t="s">
        <v>668</v>
      </c>
      <c r="B695" s="109" t="s">
        <v>93</v>
      </c>
      <c r="C695" s="109" t="s">
        <v>17</v>
      </c>
      <c r="D695" s="109" t="s">
        <v>2</v>
      </c>
      <c r="E695" s="109" t="s">
        <v>66</v>
      </c>
      <c r="F695" s="110">
        <f>Приложение_6!F187</f>
        <v>77040.49</v>
      </c>
      <c r="G695" s="110"/>
      <c r="I695" s="125">
        <v>95963</v>
      </c>
      <c r="L695" s="125">
        <f t="shared" si="32"/>
        <v>18922.509999999995</v>
      </c>
      <c r="M695" s="125">
        <f t="shared" si="33"/>
        <v>0</v>
      </c>
    </row>
    <row r="696" spans="1:13" ht="15.75" outlineLevel="5">
      <c r="A696" s="108" t="s">
        <v>674</v>
      </c>
      <c r="B696" s="109" t="s">
        <v>93</v>
      </c>
      <c r="C696" s="109" t="s">
        <v>17</v>
      </c>
      <c r="D696" s="109" t="s">
        <v>22</v>
      </c>
      <c r="E696" s="109" t="s">
        <v>187</v>
      </c>
      <c r="F696" s="110">
        <f>Приложение_6!F396</f>
        <v>23240</v>
      </c>
      <c r="G696" s="110"/>
      <c r="I696" s="125">
        <v>23240</v>
      </c>
      <c r="L696" s="125">
        <f t="shared" si="32"/>
        <v>0</v>
      </c>
      <c r="M696" s="125">
        <f t="shared" si="33"/>
        <v>0</v>
      </c>
    </row>
    <row r="697" spans="1:13" ht="63" outlineLevel="2">
      <c r="A697" s="108" t="s">
        <v>508</v>
      </c>
      <c r="B697" s="109" t="s">
        <v>94</v>
      </c>
      <c r="C697" s="109" t="s">
        <v>1</v>
      </c>
      <c r="D697" s="109" t="s">
        <v>3</v>
      </c>
      <c r="E697" s="109" t="s">
        <v>3</v>
      </c>
      <c r="F697" s="110">
        <f>F698+F701+F704</f>
        <v>3416767.03</v>
      </c>
      <c r="G697" s="110">
        <f>G703</f>
        <v>13042</v>
      </c>
      <c r="I697" s="125">
        <v>3567771.47</v>
      </c>
      <c r="J697" s="125">
        <v>13042</v>
      </c>
      <c r="L697" s="125">
        <f t="shared" si="32"/>
        <v>151004.4400000004</v>
      </c>
      <c r="M697" s="125">
        <f t="shared" si="33"/>
        <v>0</v>
      </c>
    </row>
    <row r="698" spans="1:13" ht="31.5" customHeight="1" outlineLevel="3">
      <c r="A698" s="108" t="s">
        <v>441</v>
      </c>
      <c r="B698" s="109" t="s">
        <v>95</v>
      </c>
      <c r="C698" s="109" t="s">
        <v>1</v>
      </c>
      <c r="D698" s="109" t="s">
        <v>3</v>
      </c>
      <c r="E698" s="109" t="s">
        <v>3</v>
      </c>
      <c r="F698" s="110">
        <f>F699</f>
        <v>3403039.25</v>
      </c>
      <c r="G698" s="110"/>
      <c r="I698" s="125">
        <v>3553079.47</v>
      </c>
      <c r="L698" s="125">
        <f t="shared" si="32"/>
        <v>150040.2200000002</v>
      </c>
      <c r="M698" s="125">
        <f t="shared" si="33"/>
        <v>0</v>
      </c>
    </row>
    <row r="699" spans="1:13" ht="63" outlineLevel="4">
      <c r="A699" s="108" t="s">
        <v>693</v>
      </c>
      <c r="B699" s="109" t="s">
        <v>95</v>
      </c>
      <c r="C699" s="109" t="s">
        <v>17</v>
      </c>
      <c r="D699" s="109" t="s">
        <v>3</v>
      </c>
      <c r="E699" s="109" t="s">
        <v>3</v>
      </c>
      <c r="F699" s="110">
        <f>F700</f>
        <v>3403039.25</v>
      </c>
      <c r="G699" s="110"/>
      <c r="I699" s="125">
        <v>3553079.47</v>
      </c>
      <c r="L699" s="125">
        <f t="shared" si="32"/>
        <v>150040.2200000002</v>
      </c>
      <c r="M699" s="125">
        <f t="shared" si="33"/>
        <v>0</v>
      </c>
    </row>
    <row r="700" spans="1:13" ht="31.5" outlineLevel="5">
      <c r="A700" s="108" t="s">
        <v>668</v>
      </c>
      <c r="B700" s="109" t="s">
        <v>95</v>
      </c>
      <c r="C700" s="109" t="s">
        <v>17</v>
      </c>
      <c r="D700" s="109" t="s">
        <v>2</v>
      </c>
      <c r="E700" s="109" t="s">
        <v>66</v>
      </c>
      <c r="F700" s="110">
        <f>Приложение_6!F190</f>
        <v>3403039.25</v>
      </c>
      <c r="G700" s="110"/>
      <c r="I700" s="125">
        <v>3553079.47</v>
      </c>
      <c r="L700" s="125">
        <f t="shared" si="32"/>
        <v>150040.2200000002</v>
      </c>
      <c r="M700" s="125">
        <f t="shared" si="33"/>
        <v>0</v>
      </c>
    </row>
    <row r="701" spans="1:13" ht="110.25" customHeight="1" outlineLevel="3">
      <c r="A701" s="108" t="s">
        <v>442</v>
      </c>
      <c r="B701" s="109" t="s">
        <v>96</v>
      </c>
      <c r="C701" s="109" t="s">
        <v>1</v>
      </c>
      <c r="D701" s="109" t="s">
        <v>3</v>
      </c>
      <c r="E701" s="109" t="s">
        <v>3</v>
      </c>
      <c r="F701" s="110">
        <f>F702</f>
        <v>13042</v>
      </c>
      <c r="G701" s="110">
        <f>G702</f>
        <v>13042</v>
      </c>
      <c r="I701" s="125">
        <v>13042</v>
      </c>
      <c r="J701" s="125">
        <v>13042</v>
      </c>
      <c r="L701" s="125">
        <f t="shared" si="32"/>
        <v>0</v>
      </c>
      <c r="M701" s="125">
        <f t="shared" si="33"/>
        <v>0</v>
      </c>
    </row>
    <row r="702" spans="1:13" ht="63" outlineLevel="4">
      <c r="A702" s="108" t="s">
        <v>693</v>
      </c>
      <c r="B702" s="109" t="s">
        <v>96</v>
      </c>
      <c r="C702" s="109" t="s">
        <v>17</v>
      </c>
      <c r="D702" s="109" t="s">
        <v>3</v>
      </c>
      <c r="E702" s="109" t="s">
        <v>3</v>
      </c>
      <c r="F702" s="110">
        <f>F703</f>
        <v>13042</v>
      </c>
      <c r="G702" s="110">
        <f>G703</f>
        <v>13042</v>
      </c>
      <c r="I702" s="125">
        <v>13042</v>
      </c>
      <c r="J702" s="125">
        <v>13042</v>
      </c>
      <c r="L702" s="125">
        <f t="shared" si="32"/>
        <v>0</v>
      </c>
      <c r="M702" s="125">
        <f t="shared" si="33"/>
        <v>0</v>
      </c>
    </row>
    <row r="703" spans="1:13" ht="31.5" outlineLevel="5">
      <c r="A703" s="108" t="s">
        <v>668</v>
      </c>
      <c r="B703" s="109" t="s">
        <v>96</v>
      </c>
      <c r="C703" s="109" t="s">
        <v>17</v>
      </c>
      <c r="D703" s="109" t="s">
        <v>2</v>
      </c>
      <c r="E703" s="109" t="s">
        <v>66</v>
      </c>
      <c r="F703" s="110">
        <f>Приложение_6!F192</f>
        <v>13042</v>
      </c>
      <c r="G703" s="110">
        <f>F703</f>
        <v>13042</v>
      </c>
      <c r="I703" s="125">
        <v>13042</v>
      </c>
      <c r="J703" s="125">
        <v>13042</v>
      </c>
      <c r="L703" s="125">
        <f t="shared" si="32"/>
        <v>0</v>
      </c>
      <c r="M703" s="125">
        <f t="shared" si="33"/>
        <v>0</v>
      </c>
    </row>
    <row r="704" spans="1:13" ht="110.25" customHeight="1" outlineLevel="3">
      <c r="A704" s="108" t="s">
        <v>442</v>
      </c>
      <c r="B704" s="109" t="s">
        <v>97</v>
      </c>
      <c r="C704" s="109" t="s">
        <v>1</v>
      </c>
      <c r="D704" s="109" t="s">
        <v>3</v>
      </c>
      <c r="E704" s="109" t="s">
        <v>3</v>
      </c>
      <c r="F704" s="110">
        <f>F705</f>
        <v>685.78</v>
      </c>
      <c r="G704" s="110"/>
      <c r="I704" s="125">
        <v>1650</v>
      </c>
      <c r="L704" s="125">
        <f t="shared" si="32"/>
        <v>964.22</v>
      </c>
      <c r="M704" s="125">
        <f t="shared" si="33"/>
        <v>0</v>
      </c>
    </row>
    <row r="705" spans="1:13" ht="63" outlineLevel="4">
      <c r="A705" s="108" t="s">
        <v>693</v>
      </c>
      <c r="B705" s="109" t="s">
        <v>97</v>
      </c>
      <c r="C705" s="109" t="s">
        <v>17</v>
      </c>
      <c r="D705" s="109" t="s">
        <v>3</v>
      </c>
      <c r="E705" s="109" t="s">
        <v>3</v>
      </c>
      <c r="F705" s="110">
        <f>F706</f>
        <v>685.78</v>
      </c>
      <c r="G705" s="110"/>
      <c r="I705" s="125">
        <v>1650</v>
      </c>
      <c r="L705" s="125">
        <f t="shared" si="32"/>
        <v>964.22</v>
      </c>
      <c r="M705" s="125">
        <f t="shared" si="33"/>
        <v>0</v>
      </c>
    </row>
    <row r="706" spans="1:13" ht="31.5" outlineLevel="5">
      <c r="A706" s="108" t="s">
        <v>668</v>
      </c>
      <c r="B706" s="109" t="s">
        <v>97</v>
      </c>
      <c r="C706" s="109" t="s">
        <v>17</v>
      </c>
      <c r="D706" s="109" t="s">
        <v>2</v>
      </c>
      <c r="E706" s="109" t="s">
        <v>66</v>
      </c>
      <c r="F706" s="110">
        <f>Приложение_6!F194</f>
        <v>685.78</v>
      </c>
      <c r="G706" s="110"/>
      <c r="I706" s="125">
        <v>1650</v>
      </c>
      <c r="L706" s="125">
        <f t="shared" si="32"/>
        <v>964.22</v>
      </c>
      <c r="M706" s="125">
        <f t="shared" si="33"/>
        <v>0</v>
      </c>
    </row>
    <row r="707" spans="1:13" ht="63" outlineLevel="2">
      <c r="A707" s="108" t="s">
        <v>509</v>
      </c>
      <c r="B707" s="109" t="s">
        <v>98</v>
      </c>
      <c r="C707" s="109" t="s">
        <v>1</v>
      </c>
      <c r="D707" s="109" t="s">
        <v>3</v>
      </c>
      <c r="E707" s="109" t="s">
        <v>3</v>
      </c>
      <c r="F707" s="110">
        <f>F708</f>
        <v>5000</v>
      </c>
      <c r="G707" s="110"/>
      <c r="I707" s="125">
        <v>14000</v>
      </c>
      <c r="L707" s="125">
        <f t="shared" si="32"/>
        <v>9000</v>
      </c>
      <c r="M707" s="125">
        <f t="shared" si="33"/>
        <v>0</v>
      </c>
    </row>
    <row r="708" spans="1:13" ht="31.5" customHeight="1" outlineLevel="3">
      <c r="A708" s="108" t="s">
        <v>441</v>
      </c>
      <c r="B708" s="109" t="s">
        <v>99</v>
      </c>
      <c r="C708" s="109" t="s">
        <v>1</v>
      </c>
      <c r="D708" s="109" t="s">
        <v>3</v>
      </c>
      <c r="E708" s="109" t="s">
        <v>3</v>
      </c>
      <c r="F708" s="110">
        <f>F709</f>
        <v>5000</v>
      </c>
      <c r="G708" s="110"/>
      <c r="I708" s="125">
        <v>14000</v>
      </c>
      <c r="L708" s="125">
        <f t="shared" si="32"/>
        <v>9000</v>
      </c>
      <c r="M708" s="125">
        <f t="shared" si="33"/>
        <v>0</v>
      </c>
    </row>
    <row r="709" spans="1:13" ht="63" outlineLevel="4">
      <c r="A709" s="108" t="s">
        <v>693</v>
      </c>
      <c r="B709" s="109" t="s">
        <v>99</v>
      </c>
      <c r="C709" s="109" t="s">
        <v>17</v>
      </c>
      <c r="D709" s="109" t="s">
        <v>3</v>
      </c>
      <c r="E709" s="109" t="s">
        <v>3</v>
      </c>
      <c r="F709" s="110">
        <f>F710</f>
        <v>5000</v>
      </c>
      <c r="G709" s="110"/>
      <c r="I709" s="125">
        <v>14000</v>
      </c>
      <c r="L709" s="125">
        <f t="shared" si="32"/>
        <v>9000</v>
      </c>
      <c r="M709" s="125">
        <f t="shared" si="33"/>
        <v>0</v>
      </c>
    </row>
    <row r="710" spans="1:13" ht="31.5" outlineLevel="5">
      <c r="A710" s="108" t="s">
        <v>668</v>
      </c>
      <c r="B710" s="109" t="s">
        <v>99</v>
      </c>
      <c r="C710" s="109" t="s">
        <v>17</v>
      </c>
      <c r="D710" s="109" t="s">
        <v>2</v>
      </c>
      <c r="E710" s="109" t="s">
        <v>66</v>
      </c>
      <c r="F710" s="110">
        <f>Приложение_6!F197</f>
        <v>5000</v>
      </c>
      <c r="G710" s="110"/>
      <c r="I710" s="125">
        <v>14000</v>
      </c>
      <c r="L710" s="125">
        <f t="shared" si="32"/>
        <v>9000</v>
      </c>
      <c r="M710" s="125">
        <f t="shared" si="33"/>
        <v>0</v>
      </c>
    </row>
    <row r="711" spans="1:13" ht="63" outlineLevel="2">
      <c r="A711" s="108" t="s">
        <v>510</v>
      </c>
      <c r="B711" s="109" t="s">
        <v>100</v>
      </c>
      <c r="C711" s="109" t="s">
        <v>1</v>
      </c>
      <c r="D711" s="109" t="s">
        <v>3</v>
      </c>
      <c r="E711" s="109" t="s">
        <v>3</v>
      </c>
      <c r="F711" s="110">
        <f>F712</f>
        <v>12070866.670000002</v>
      </c>
      <c r="G711" s="110"/>
      <c r="I711" s="125">
        <v>10385303.16</v>
      </c>
      <c r="L711" s="125">
        <f t="shared" si="32"/>
        <v>-1685563.5100000016</v>
      </c>
      <c r="M711" s="125">
        <f t="shared" si="33"/>
        <v>0</v>
      </c>
    </row>
    <row r="712" spans="1:13" ht="31.5" customHeight="1" outlineLevel="3">
      <c r="A712" s="108" t="s">
        <v>441</v>
      </c>
      <c r="B712" s="109" t="s">
        <v>101</v>
      </c>
      <c r="C712" s="109" t="s">
        <v>1</v>
      </c>
      <c r="D712" s="109" t="s">
        <v>3</v>
      </c>
      <c r="E712" s="109" t="s">
        <v>3</v>
      </c>
      <c r="F712" s="110">
        <f>F713+F719</f>
        <v>12070866.670000002</v>
      </c>
      <c r="G712" s="110"/>
      <c r="I712" s="125">
        <v>10385303.16</v>
      </c>
      <c r="L712" s="125">
        <f t="shared" si="32"/>
        <v>-1685563.5100000016</v>
      </c>
      <c r="M712" s="125">
        <f t="shared" si="33"/>
        <v>0</v>
      </c>
    </row>
    <row r="713" spans="1:13" ht="63" outlineLevel="4">
      <c r="A713" s="108" t="s">
        <v>693</v>
      </c>
      <c r="B713" s="109" t="s">
        <v>101</v>
      </c>
      <c r="C713" s="109" t="s">
        <v>17</v>
      </c>
      <c r="D713" s="109" t="s">
        <v>3</v>
      </c>
      <c r="E713" s="109" t="s">
        <v>3</v>
      </c>
      <c r="F713" s="110">
        <f>F714+F715+F716+F717+F718</f>
        <v>2845687.39</v>
      </c>
      <c r="G713" s="110"/>
      <c r="I713" s="125">
        <v>2714123.88</v>
      </c>
      <c r="L713" s="125">
        <f t="shared" si="32"/>
        <v>-131563.51000000024</v>
      </c>
      <c r="M713" s="125">
        <f t="shared" si="33"/>
        <v>0</v>
      </c>
    </row>
    <row r="714" spans="1:13" ht="31.5" outlineLevel="5">
      <c r="A714" s="108" t="s">
        <v>668</v>
      </c>
      <c r="B714" s="109" t="s">
        <v>101</v>
      </c>
      <c r="C714" s="109" t="s">
        <v>17</v>
      </c>
      <c r="D714" s="109" t="s">
        <v>2</v>
      </c>
      <c r="E714" s="109" t="s">
        <v>66</v>
      </c>
      <c r="F714" s="110">
        <f>Приложение_6!F200</f>
        <v>1150352.42</v>
      </c>
      <c r="G714" s="110"/>
      <c r="I714" s="125">
        <v>1001182.24</v>
      </c>
      <c r="L714" s="125">
        <f t="shared" si="32"/>
        <v>-149170.17999999993</v>
      </c>
      <c r="M714" s="125">
        <f t="shared" si="33"/>
        <v>0</v>
      </c>
    </row>
    <row r="715" spans="1:13" ht="94.5" outlineLevel="5">
      <c r="A715" s="108" t="s">
        <v>670</v>
      </c>
      <c r="B715" s="109" t="s">
        <v>101</v>
      </c>
      <c r="C715" s="109" t="s">
        <v>17</v>
      </c>
      <c r="D715" s="109" t="s">
        <v>14</v>
      </c>
      <c r="E715" s="109" t="s">
        <v>146</v>
      </c>
      <c r="F715" s="110">
        <f>Приложение_6!F328</f>
        <v>324247.05</v>
      </c>
      <c r="G715" s="110"/>
      <c r="I715" s="125">
        <v>334853.72</v>
      </c>
      <c r="L715" s="125">
        <f t="shared" si="32"/>
        <v>10606.669999999984</v>
      </c>
      <c r="M715" s="125">
        <f t="shared" si="33"/>
        <v>0</v>
      </c>
    </row>
    <row r="716" spans="1:13" ht="15.75" outlineLevel="5">
      <c r="A716" s="108" t="s">
        <v>674</v>
      </c>
      <c r="B716" s="109" t="s">
        <v>101</v>
      </c>
      <c r="C716" s="109" t="s">
        <v>17</v>
      </c>
      <c r="D716" s="109" t="s">
        <v>22</v>
      </c>
      <c r="E716" s="109" t="s">
        <v>187</v>
      </c>
      <c r="F716" s="110">
        <f>Приложение_6!F399</f>
        <v>675880.8</v>
      </c>
      <c r="G716" s="110"/>
      <c r="I716" s="125">
        <v>675880.8</v>
      </c>
      <c r="L716" s="125">
        <f t="shared" si="32"/>
        <v>0</v>
      </c>
      <c r="M716" s="125">
        <f t="shared" si="33"/>
        <v>0</v>
      </c>
    </row>
    <row r="717" spans="1:13" ht="31.5" outlineLevel="5">
      <c r="A717" s="108" t="s">
        <v>675</v>
      </c>
      <c r="B717" s="109" t="s">
        <v>101</v>
      </c>
      <c r="C717" s="109" t="s">
        <v>17</v>
      </c>
      <c r="D717" s="109" t="s">
        <v>22</v>
      </c>
      <c r="E717" s="109" t="s">
        <v>192</v>
      </c>
      <c r="F717" s="110">
        <f>Приложение_6!F408</f>
        <v>683807.12</v>
      </c>
      <c r="G717" s="110"/>
      <c r="I717" s="125">
        <v>690807.12</v>
      </c>
      <c r="L717" s="125">
        <f t="shared" si="32"/>
        <v>7000</v>
      </c>
      <c r="M717" s="125">
        <f t="shared" si="33"/>
        <v>0</v>
      </c>
    </row>
    <row r="718" spans="1:13" ht="47.25" outlineLevel="5">
      <c r="A718" s="108" t="s">
        <v>679</v>
      </c>
      <c r="B718" s="109" t="s">
        <v>101</v>
      </c>
      <c r="C718" s="109" t="s">
        <v>17</v>
      </c>
      <c r="D718" s="109" t="s">
        <v>159</v>
      </c>
      <c r="E718" s="109" t="s">
        <v>159</v>
      </c>
      <c r="F718" s="110">
        <f>Приложение_6!F539</f>
        <v>11400</v>
      </c>
      <c r="G718" s="110"/>
      <c r="I718" s="125">
        <v>11400</v>
      </c>
      <c r="L718" s="125">
        <f t="shared" si="32"/>
        <v>0</v>
      </c>
      <c r="M718" s="125">
        <f t="shared" si="33"/>
        <v>0</v>
      </c>
    </row>
    <row r="719" spans="1:13" ht="78.75" outlineLevel="4">
      <c r="A719" s="108" t="s">
        <v>696</v>
      </c>
      <c r="B719" s="109" t="s">
        <v>101</v>
      </c>
      <c r="C719" s="109" t="s">
        <v>70</v>
      </c>
      <c r="D719" s="109" t="s">
        <v>3</v>
      </c>
      <c r="E719" s="109" t="s">
        <v>3</v>
      </c>
      <c r="F719" s="110">
        <f>F720+F721+F722+F723+F724+F725+F726</f>
        <v>9225179.280000001</v>
      </c>
      <c r="G719" s="110"/>
      <c r="I719" s="125">
        <v>7671179.28</v>
      </c>
      <c r="L719" s="125">
        <f t="shared" si="32"/>
        <v>-1554000.000000001</v>
      </c>
      <c r="M719" s="125">
        <f t="shared" si="33"/>
        <v>0</v>
      </c>
    </row>
    <row r="720" spans="1:13" ht="31.5" outlineLevel="5">
      <c r="A720" s="108" t="s">
        <v>668</v>
      </c>
      <c r="B720" s="109" t="s">
        <v>101</v>
      </c>
      <c r="C720" s="109" t="s">
        <v>70</v>
      </c>
      <c r="D720" s="109" t="s">
        <v>2</v>
      </c>
      <c r="E720" s="109" t="s">
        <v>66</v>
      </c>
      <c r="F720" s="110">
        <f>Приложение_6!F201</f>
        <v>2330551.2800000003</v>
      </c>
      <c r="G720" s="110"/>
      <c r="I720" s="125">
        <v>776551.28</v>
      </c>
      <c r="L720" s="125">
        <f t="shared" si="32"/>
        <v>-1554000.0000000002</v>
      </c>
      <c r="M720" s="125">
        <f t="shared" si="33"/>
        <v>0</v>
      </c>
    </row>
    <row r="721" spans="1:13" ht="15.75" outlineLevel="5">
      <c r="A721" s="108" t="s">
        <v>680</v>
      </c>
      <c r="B721" s="109" t="s">
        <v>101</v>
      </c>
      <c r="C721" s="109" t="s">
        <v>70</v>
      </c>
      <c r="D721" s="109" t="s">
        <v>239</v>
      </c>
      <c r="E721" s="109" t="s">
        <v>2</v>
      </c>
      <c r="F721" s="110">
        <f>Приложение_6!F588</f>
        <v>2392758</v>
      </c>
      <c r="G721" s="110"/>
      <c r="I721" s="125">
        <v>2382758</v>
      </c>
      <c r="L721" s="125">
        <f t="shared" si="32"/>
        <v>-10000</v>
      </c>
      <c r="M721" s="125">
        <f t="shared" si="33"/>
        <v>0</v>
      </c>
    </row>
    <row r="722" spans="1:13" ht="15.75" outlineLevel="5">
      <c r="A722" s="108" t="s">
        <v>681</v>
      </c>
      <c r="B722" s="109" t="s">
        <v>101</v>
      </c>
      <c r="C722" s="109" t="s">
        <v>70</v>
      </c>
      <c r="D722" s="109" t="s">
        <v>239</v>
      </c>
      <c r="E722" s="109" t="s">
        <v>5</v>
      </c>
      <c r="F722" s="110">
        <f>Приложение_6!F633</f>
        <v>983400</v>
      </c>
      <c r="G722" s="110"/>
      <c r="I722" s="125">
        <v>963400</v>
      </c>
      <c r="L722" s="125">
        <f t="shared" si="32"/>
        <v>-20000</v>
      </c>
      <c r="M722" s="125">
        <f t="shared" si="33"/>
        <v>0</v>
      </c>
    </row>
    <row r="723" spans="1:13" ht="31.5" outlineLevel="5">
      <c r="A723" s="108" t="s">
        <v>682</v>
      </c>
      <c r="B723" s="109" t="s">
        <v>101</v>
      </c>
      <c r="C723" s="109" t="s">
        <v>70</v>
      </c>
      <c r="D723" s="109" t="s">
        <v>239</v>
      </c>
      <c r="E723" s="109" t="s">
        <v>14</v>
      </c>
      <c r="F723" s="110">
        <f>Приложение_6!F680</f>
        <v>1650629</v>
      </c>
      <c r="G723" s="110"/>
      <c r="I723" s="125">
        <v>1650629</v>
      </c>
      <c r="L723" s="125">
        <f t="shared" si="32"/>
        <v>0</v>
      </c>
      <c r="M723" s="125">
        <f t="shared" si="33"/>
        <v>0</v>
      </c>
    </row>
    <row r="724" spans="1:13" ht="15.75" outlineLevel="5">
      <c r="A724" s="108" t="s">
        <v>683</v>
      </c>
      <c r="B724" s="109" t="s">
        <v>101</v>
      </c>
      <c r="C724" s="109" t="s">
        <v>70</v>
      </c>
      <c r="D724" s="109" t="s">
        <v>239</v>
      </c>
      <c r="E724" s="109" t="s">
        <v>239</v>
      </c>
      <c r="F724" s="110">
        <f>Приложение_6!F727</f>
        <v>194938</v>
      </c>
      <c r="G724" s="110"/>
      <c r="I724" s="125">
        <v>194938</v>
      </c>
      <c r="L724" s="125">
        <f t="shared" si="32"/>
        <v>0</v>
      </c>
      <c r="M724" s="125">
        <f t="shared" si="33"/>
        <v>0</v>
      </c>
    </row>
    <row r="725" spans="1:13" ht="31.5" outlineLevel="5">
      <c r="A725" s="108" t="s">
        <v>684</v>
      </c>
      <c r="B725" s="109" t="s">
        <v>101</v>
      </c>
      <c r="C725" s="109" t="s">
        <v>70</v>
      </c>
      <c r="D725" s="109" t="s">
        <v>239</v>
      </c>
      <c r="E725" s="109" t="s">
        <v>146</v>
      </c>
      <c r="F725" s="110">
        <f>Приложение_6!F760</f>
        <v>664700</v>
      </c>
      <c r="G725" s="110"/>
      <c r="I725" s="125">
        <v>694700</v>
      </c>
      <c r="L725" s="125">
        <f t="shared" si="32"/>
        <v>30000</v>
      </c>
      <c r="M725" s="125">
        <f t="shared" si="33"/>
        <v>0</v>
      </c>
    </row>
    <row r="726" spans="1:13" ht="15.75" outlineLevel="5">
      <c r="A726" s="108" t="s">
        <v>685</v>
      </c>
      <c r="B726" s="109" t="s">
        <v>101</v>
      </c>
      <c r="C726" s="109" t="s">
        <v>70</v>
      </c>
      <c r="D726" s="109" t="s">
        <v>165</v>
      </c>
      <c r="E726" s="109" t="s">
        <v>2</v>
      </c>
      <c r="F726" s="110">
        <f>Приложение_6!F840</f>
        <v>1008203</v>
      </c>
      <c r="G726" s="110"/>
      <c r="I726" s="125">
        <v>1008203</v>
      </c>
      <c r="L726" s="125">
        <f t="shared" si="32"/>
        <v>0</v>
      </c>
      <c r="M726" s="125">
        <f t="shared" si="33"/>
        <v>0</v>
      </c>
    </row>
    <row r="727" spans="1:13" ht="31.5" outlineLevel="2">
      <c r="A727" s="108" t="s">
        <v>511</v>
      </c>
      <c r="B727" s="109" t="s">
        <v>102</v>
      </c>
      <c r="C727" s="109" t="s">
        <v>1</v>
      </c>
      <c r="D727" s="109" t="s">
        <v>3</v>
      </c>
      <c r="E727" s="109" t="s">
        <v>3</v>
      </c>
      <c r="F727" s="110">
        <f>F728</f>
        <v>147530</v>
      </c>
      <c r="G727" s="110"/>
      <c r="I727" s="125">
        <v>147530</v>
      </c>
      <c r="L727" s="125">
        <f t="shared" si="32"/>
        <v>0</v>
      </c>
      <c r="M727" s="125">
        <f t="shared" si="33"/>
        <v>0</v>
      </c>
    </row>
    <row r="728" spans="1:13" ht="31.5" customHeight="1" outlineLevel="3">
      <c r="A728" s="108" t="s">
        <v>441</v>
      </c>
      <c r="B728" s="109" t="s">
        <v>103</v>
      </c>
      <c r="C728" s="109" t="s">
        <v>1</v>
      </c>
      <c r="D728" s="109" t="s">
        <v>3</v>
      </c>
      <c r="E728" s="109" t="s">
        <v>3</v>
      </c>
      <c r="F728" s="110">
        <f>F729</f>
        <v>147530</v>
      </c>
      <c r="G728" s="110"/>
      <c r="I728" s="125">
        <v>147530</v>
      </c>
      <c r="L728" s="125">
        <f t="shared" si="32"/>
        <v>0</v>
      </c>
      <c r="M728" s="125">
        <f t="shared" si="33"/>
        <v>0</v>
      </c>
    </row>
    <row r="729" spans="1:13" ht="63" outlineLevel="4">
      <c r="A729" s="108" t="s">
        <v>693</v>
      </c>
      <c r="B729" s="109" t="s">
        <v>103</v>
      </c>
      <c r="C729" s="109" t="s">
        <v>17</v>
      </c>
      <c r="D729" s="109" t="s">
        <v>3</v>
      </c>
      <c r="E729" s="109" t="s">
        <v>3</v>
      </c>
      <c r="F729" s="110">
        <f>F730+F731</f>
        <v>147530</v>
      </c>
      <c r="G729" s="110"/>
      <c r="I729" s="125">
        <v>147530</v>
      </c>
      <c r="L729" s="125">
        <f t="shared" si="32"/>
        <v>0</v>
      </c>
      <c r="M729" s="125">
        <f t="shared" si="33"/>
        <v>0</v>
      </c>
    </row>
    <row r="730" spans="1:13" ht="31.5" outlineLevel="5">
      <c r="A730" s="108" t="s">
        <v>668</v>
      </c>
      <c r="B730" s="109" t="s">
        <v>103</v>
      </c>
      <c r="C730" s="109" t="s">
        <v>17</v>
      </c>
      <c r="D730" s="109" t="s">
        <v>2</v>
      </c>
      <c r="E730" s="109" t="s">
        <v>66</v>
      </c>
      <c r="F730" s="110">
        <f>Приложение_6!F204</f>
        <v>2390</v>
      </c>
      <c r="G730" s="110"/>
      <c r="I730" s="125">
        <v>2390</v>
      </c>
      <c r="L730" s="125">
        <f t="shared" si="32"/>
        <v>0</v>
      </c>
      <c r="M730" s="125">
        <f t="shared" si="33"/>
        <v>0</v>
      </c>
    </row>
    <row r="731" spans="1:13" ht="15.75" outlineLevel="5">
      <c r="A731" s="108" t="s">
        <v>674</v>
      </c>
      <c r="B731" s="109" t="s">
        <v>103</v>
      </c>
      <c r="C731" s="109" t="s">
        <v>17</v>
      </c>
      <c r="D731" s="109" t="s">
        <v>22</v>
      </c>
      <c r="E731" s="109" t="s">
        <v>187</v>
      </c>
      <c r="F731" s="110">
        <f>Приложение_6!F402</f>
        <v>145140</v>
      </c>
      <c r="G731" s="110"/>
      <c r="I731" s="125">
        <v>145140</v>
      </c>
      <c r="L731" s="125">
        <f t="shared" si="32"/>
        <v>0</v>
      </c>
      <c r="M731" s="125">
        <f t="shared" si="33"/>
        <v>0</v>
      </c>
    </row>
    <row r="732" spans="1:13" ht="31.5" outlineLevel="2">
      <c r="A732" s="108" t="s">
        <v>512</v>
      </c>
      <c r="B732" s="109" t="s">
        <v>104</v>
      </c>
      <c r="C732" s="109" t="s">
        <v>1</v>
      </c>
      <c r="D732" s="109" t="s">
        <v>3</v>
      </c>
      <c r="E732" s="109" t="s">
        <v>3</v>
      </c>
      <c r="F732" s="110">
        <f>F733</f>
        <v>454660</v>
      </c>
      <c r="G732" s="110"/>
      <c r="I732" s="125">
        <v>360000</v>
      </c>
      <c r="L732" s="125">
        <f aca="true" t="shared" si="34" ref="L732:L800">I732-F732</f>
        <v>-94660</v>
      </c>
      <c r="M732" s="125">
        <f aca="true" t="shared" si="35" ref="M732:M800">J732-G732</f>
        <v>0</v>
      </c>
    </row>
    <row r="733" spans="1:13" ht="31.5" customHeight="1" outlineLevel="3">
      <c r="A733" s="108" t="s">
        <v>441</v>
      </c>
      <c r="B733" s="109" t="s">
        <v>105</v>
      </c>
      <c r="C733" s="109" t="s">
        <v>1</v>
      </c>
      <c r="D733" s="109" t="s">
        <v>3</v>
      </c>
      <c r="E733" s="109" t="s">
        <v>3</v>
      </c>
      <c r="F733" s="110">
        <f>F734</f>
        <v>454660</v>
      </c>
      <c r="G733" s="110"/>
      <c r="I733" s="125">
        <v>360000</v>
      </c>
      <c r="L733" s="125">
        <f t="shared" si="34"/>
        <v>-94660</v>
      </c>
      <c r="M733" s="125">
        <f t="shared" si="35"/>
        <v>0</v>
      </c>
    </row>
    <row r="734" spans="1:13" ht="63" outlineLevel="4">
      <c r="A734" s="108" t="s">
        <v>693</v>
      </c>
      <c r="B734" s="109" t="s">
        <v>105</v>
      </c>
      <c r="C734" s="109" t="s">
        <v>17</v>
      </c>
      <c r="D734" s="109" t="s">
        <v>3</v>
      </c>
      <c r="E734" s="109" t="s">
        <v>3</v>
      </c>
      <c r="F734" s="110">
        <f>F735</f>
        <v>454660</v>
      </c>
      <c r="G734" s="110"/>
      <c r="I734" s="125">
        <v>360000</v>
      </c>
      <c r="L734" s="125">
        <f t="shared" si="34"/>
        <v>-94660</v>
      </c>
      <c r="M734" s="125">
        <f t="shared" si="35"/>
        <v>0</v>
      </c>
    </row>
    <row r="735" spans="1:13" ht="31.5" outlineLevel="5">
      <c r="A735" s="108" t="s">
        <v>668</v>
      </c>
      <c r="B735" s="109" t="s">
        <v>105</v>
      </c>
      <c r="C735" s="109" t="s">
        <v>17</v>
      </c>
      <c r="D735" s="109" t="s">
        <v>2</v>
      </c>
      <c r="E735" s="109" t="s">
        <v>66</v>
      </c>
      <c r="F735" s="110">
        <f>Приложение_6!F207</f>
        <v>454660</v>
      </c>
      <c r="G735" s="110"/>
      <c r="I735" s="125">
        <v>360000</v>
      </c>
      <c r="L735" s="125">
        <f t="shared" si="34"/>
        <v>-94660</v>
      </c>
      <c r="M735" s="125">
        <f t="shared" si="35"/>
        <v>0</v>
      </c>
    </row>
    <row r="736" spans="1:13" ht="141.75" outlineLevel="1">
      <c r="A736" s="115" t="s">
        <v>654</v>
      </c>
      <c r="B736" s="116" t="s">
        <v>407</v>
      </c>
      <c r="C736" s="116" t="s">
        <v>1</v>
      </c>
      <c r="D736" s="116" t="s">
        <v>3</v>
      </c>
      <c r="E736" s="116" t="s">
        <v>3</v>
      </c>
      <c r="F736" s="117">
        <f>F737</f>
        <v>1425000</v>
      </c>
      <c r="G736" s="117"/>
      <c r="I736" s="125">
        <v>1425000</v>
      </c>
      <c r="L736" s="125">
        <f t="shared" si="34"/>
        <v>0</v>
      </c>
      <c r="M736" s="125">
        <f t="shared" si="35"/>
        <v>0</v>
      </c>
    </row>
    <row r="737" spans="1:13" ht="110.25" outlineLevel="2">
      <c r="A737" s="108" t="s">
        <v>611</v>
      </c>
      <c r="B737" s="109" t="s">
        <v>408</v>
      </c>
      <c r="C737" s="109" t="s">
        <v>1</v>
      </c>
      <c r="D737" s="109" t="s">
        <v>3</v>
      </c>
      <c r="E737" s="109" t="s">
        <v>3</v>
      </c>
      <c r="F737" s="110">
        <f>F738</f>
        <v>1425000</v>
      </c>
      <c r="G737" s="110"/>
      <c r="I737" s="125">
        <v>1425000</v>
      </c>
      <c r="L737" s="125">
        <f t="shared" si="34"/>
        <v>0</v>
      </c>
      <c r="M737" s="125">
        <f t="shared" si="35"/>
        <v>0</v>
      </c>
    </row>
    <row r="738" spans="1:13" ht="31.5" customHeight="1" outlineLevel="3">
      <c r="A738" s="108" t="s">
        <v>441</v>
      </c>
      <c r="B738" s="109" t="s">
        <v>409</v>
      </c>
      <c r="C738" s="109" t="s">
        <v>1</v>
      </c>
      <c r="D738" s="109" t="s">
        <v>3</v>
      </c>
      <c r="E738" s="109" t="s">
        <v>3</v>
      </c>
      <c r="F738" s="110">
        <f>F739</f>
        <v>1425000</v>
      </c>
      <c r="G738" s="110"/>
      <c r="I738" s="125">
        <v>1425000</v>
      </c>
      <c r="L738" s="125">
        <f t="shared" si="34"/>
        <v>0</v>
      </c>
      <c r="M738" s="125">
        <f t="shared" si="35"/>
        <v>0</v>
      </c>
    </row>
    <row r="739" spans="1:13" ht="63" outlineLevel="4">
      <c r="A739" s="108" t="s">
        <v>693</v>
      </c>
      <c r="B739" s="109" t="s">
        <v>409</v>
      </c>
      <c r="C739" s="109" t="s">
        <v>17</v>
      </c>
      <c r="D739" s="109" t="s">
        <v>3</v>
      </c>
      <c r="E739" s="109" t="s">
        <v>3</v>
      </c>
      <c r="F739" s="110">
        <f>F740</f>
        <v>1425000</v>
      </c>
      <c r="G739" s="110"/>
      <c r="I739" s="125">
        <v>1425000</v>
      </c>
      <c r="L739" s="125">
        <f t="shared" si="34"/>
        <v>0</v>
      </c>
      <c r="M739" s="125">
        <f t="shared" si="35"/>
        <v>0</v>
      </c>
    </row>
    <row r="740" spans="1:13" ht="31.5" outlineLevel="5">
      <c r="A740" s="108" t="s">
        <v>690</v>
      </c>
      <c r="B740" s="109" t="s">
        <v>409</v>
      </c>
      <c r="C740" s="109" t="s">
        <v>17</v>
      </c>
      <c r="D740" s="109" t="s">
        <v>192</v>
      </c>
      <c r="E740" s="109" t="s">
        <v>5</v>
      </c>
      <c r="F740" s="110">
        <f>Приложение_6!F934</f>
        <v>1425000</v>
      </c>
      <c r="G740" s="110"/>
      <c r="I740" s="125">
        <v>1425000</v>
      </c>
      <c r="L740" s="125">
        <f t="shared" si="34"/>
        <v>0</v>
      </c>
      <c r="M740" s="125">
        <f t="shared" si="35"/>
        <v>0</v>
      </c>
    </row>
    <row r="741" spans="1:13" ht="110.25" outlineLevel="1">
      <c r="A741" s="115" t="s">
        <v>625</v>
      </c>
      <c r="B741" s="116" t="s">
        <v>106</v>
      </c>
      <c r="C741" s="116" t="s">
        <v>1</v>
      </c>
      <c r="D741" s="116" t="s">
        <v>3</v>
      </c>
      <c r="E741" s="116" t="s">
        <v>3</v>
      </c>
      <c r="F741" s="117">
        <f>F742</f>
        <v>21066129</v>
      </c>
      <c r="G741" s="117"/>
      <c r="I741" s="125">
        <v>21066129</v>
      </c>
      <c r="L741" s="125">
        <f t="shared" si="34"/>
        <v>0</v>
      </c>
      <c r="M741" s="125">
        <f t="shared" si="35"/>
        <v>0</v>
      </c>
    </row>
    <row r="742" spans="1:13" ht="63" outlineLevel="2">
      <c r="A742" s="108" t="s">
        <v>513</v>
      </c>
      <c r="B742" s="109" t="s">
        <v>107</v>
      </c>
      <c r="C742" s="109" t="s">
        <v>1</v>
      </c>
      <c r="D742" s="109" t="s">
        <v>3</v>
      </c>
      <c r="E742" s="109" t="s">
        <v>3</v>
      </c>
      <c r="F742" s="110">
        <f>F743+F746</f>
        <v>21066129</v>
      </c>
      <c r="G742" s="110"/>
      <c r="I742" s="125">
        <v>21066129</v>
      </c>
      <c r="L742" s="125">
        <f t="shared" si="34"/>
        <v>0</v>
      </c>
      <c r="M742" s="125">
        <f t="shared" si="35"/>
        <v>0</v>
      </c>
    </row>
    <row r="743" spans="1:13" ht="126" outlineLevel="3">
      <c r="A743" s="108" t="s">
        <v>443</v>
      </c>
      <c r="B743" s="109" t="s">
        <v>108</v>
      </c>
      <c r="C743" s="109" t="s">
        <v>1</v>
      </c>
      <c r="D743" s="109" t="s">
        <v>3</v>
      </c>
      <c r="E743" s="109" t="s">
        <v>3</v>
      </c>
      <c r="F743" s="110">
        <f>F744</f>
        <v>20627809</v>
      </c>
      <c r="G743" s="110"/>
      <c r="I743" s="125">
        <v>20627809</v>
      </c>
      <c r="L743" s="125">
        <f t="shared" si="34"/>
        <v>0</v>
      </c>
      <c r="M743" s="125">
        <f t="shared" si="35"/>
        <v>0</v>
      </c>
    </row>
    <row r="744" spans="1:13" ht="78.75" outlineLevel="4">
      <c r="A744" s="108" t="s">
        <v>696</v>
      </c>
      <c r="B744" s="109" t="s">
        <v>108</v>
      </c>
      <c r="C744" s="109" t="s">
        <v>70</v>
      </c>
      <c r="D744" s="109" t="s">
        <v>3</v>
      </c>
      <c r="E744" s="109" t="s">
        <v>3</v>
      </c>
      <c r="F744" s="110">
        <f>F745</f>
        <v>20627809</v>
      </c>
      <c r="G744" s="110"/>
      <c r="I744" s="125">
        <v>20627809</v>
      </c>
      <c r="L744" s="125">
        <f t="shared" si="34"/>
        <v>0</v>
      </c>
      <c r="M744" s="125">
        <f t="shared" si="35"/>
        <v>0</v>
      </c>
    </row>
    <row r="745" spans="1:13" ht="31.5" outlineLevel="5">
      <c r="A745" s="108" t="s">
        <v>668</v>
      </c>
      <c r="B745" s="109" t="s">
        <v>108</v>
      </c>
      <c r="C745" s="109" t="s">
        <v>70</v>
      </c>
      <c r="D745" s="109" t="s">
        <v>2</v>
      </c>
      <c r="E745" s="109" t="s">
        <v>66</v>
      </c>
      <c r="F745" s="110">
        <f>Приложение_6!F211</f>
        <v>20627809</v>
      </c>
      <c r="G745" s="110"/>
      <c r="I745" s="125">
        <v>20627809</v>
      </c>
      <c r="L745" s="125">
        <f t="shared" si="34"/>
        <v>0</v>
      </c>
      <c r="M745" s="125">
        <f t="shared" si="35"/>
        <v>0</v>
      </c>
    </row>
    <row r="746" spans="1:13" ht="126" outlineLevel="3">
      <c r="A746" s="108" t="s">
        <v>432</v>
      </c>
      <c r="B746" s="109" t="s">
        <v>109</v>
      </c>
      <c r="C746" s="109" t="s">
        <v>1</v>
      </c>
      <c r="D746" s="109" t="s">
        <v>3</v>
      </c>
      <c r="E746" s="109" t="s">
        <v>3</v>
      </c>
      <c r="F746" s="110">
        <f>F747</f>
        <v>438320</v>
      </c>
      <c r="G746" s="110"/>
      <c r="I746" s="125">
        <v>438320</v>
      </c>
      <c r="L746" s="125">
        <f t="shared" si="34"/>
        <v>0</v>
      </c>
      <c r="M746" s="125">
        <f t="shared" si="35"/>
        <v>0</v>
      </c>
    </row>
    <row r="747" spans="1:13" ht="78.75" outlineLevel="4">
      <c r="A747" s="108" t="s">
        <v>696</v>
      </c>
      <c r="B747" s="109" t="s">
        <v>109</v>
      </c>
      <c r="C747" s="109" t="s">
        <v>70</v>
      </c>
      <c r="D747" s="109" t="s">
        <v>3</v>
      </c>
      <c r="E747" s="109" t="s">
        <v>3</v>
      </c>
      <c r="F747" s="110">
        <f>F748</f>
        <v>438320</v>
      </c>
      <c r="G747" s="110"/>
      <c r="I747" s="125">
        <v>438320</v>
      </c>
      <c r="L747" s="125">
        <f t="shared" si="34"/>
        <v>0</v>
      </c>
      <c r="M747" s="125">
        <f t="shared" si="35"/>
        <v>0</v>
      </c>
    </row>
    <row r="748" spans="1:13" ht="31.5" outlineLevel="5">
      <c r="A748" s="108" t="s">
        <v>668</v>
      </c>
      <c r="B748" s="109" t="s">
        <v>109</v>
      </c>
      <c r="C748" s="109" t="s">
        <v>70</v>
      </c>
      <c r="D748" s="109" t="s">
        <v>2</v>
      </c>
      <c r="E748" s="109" t="s">
        <v>66</v>
      </c>
      <c r="F748" s="110">
        <f>Приложение_6!F213</f>
        <v>438320</v>
      </c>
      <c r="G748" s="110"/>
      <c r="I748" s="125">
        <v>438320</v>
      </c>
      <c r="L748" s="125">
        <f t="shared" si="34"/>
        <v>0</v>
      </c>
      <c r="M748" s="125">
        <f t="shared" si="35"/>
        <v>0</v>
      </c>
    </row>
    <row r="749" spans="1:13" ht="141.75">
      <c r="A749" s="115" t="s">
        <v>1204</v>
      </c>
      <c r="B749" s="116" t="s">
        <v>38</v>
      </c>
      <c r="C749" s="116" t="s">
        <v>1</v>
      </c>
      <c r="D749" s="116" t="s">
        <v>3</v>
      </c>
      <c r="E749" s="116" t="s">
        <v>3</v>
      </c>
      <c r="F749" s="117">
        <f>F750+F763</f>
        <v>22544808.990000002</v>
      </c>
      <c r="G749" s="117"/>
      <c r="I749" s="125">
        <v>22544808.99</v>
      </c>
      <c r="L749" s="125">
        <f t="shared" si="34"/>
        <v>0</v>
      </c>
      <c r="M749" s="125">
        <f t="shared" si="35"/>
        <v>0</v>
      </c>
    </row>
    <row r="750" spans="1:13" ht="63" outlineLevel="1">
      <c r="A750" s="108" t="s">
        <v>615</v>
      </c>
      <c r="B750" s="109" t="s">
        <v>39</v>
      </c>
      <c r="C750" s="109" t="s">
        <v>1</v>
      </c>
      <c r="D750" s="109" t="s">
        <v>3</v>
      </c>
      <c r="E750" s="109" t="s">
        <v>3</v>
      </c>
      <c r="F750" s="110">
        <f>F751+F755</f>
        <v>10743162</v>
      </c>
      <c r="G750" s="110"/>
      <c r="I750" s="125">
        <v>10743162</v>
      </c>
      <c r="L750" s="125">
        <f t="shared" si="34"/>
        <v>0</v>
      </c>
      <c r="M750" s="125">
        <f t="shared" si="35"/>
        <v>0</v>
      </c>
    </row>
    <row r="751" spans="1:13" ht="110.25" outlineLevel="2">
      <c r="A751" s="108" t="s">
        <v>495</v>
      </c>
      <c r="B751" s="109" t="s">
        <v>40</v>
      </c>
      <c r="C751" s="109" t="s">
        <v>1</v>
      </c>
      <c r="D751" s="109" t="s">
        <v>3</v>
      </c>
      <c r="E751" s="109" t="s">
        <v>3</v>
      </c>
      <c r="F751" s="110">
        <f>F752+F760</f>
        <v>10740462</v>
      </c>
      <c r="G751" s="110"/>
      <c r="I751" s="125">
        <v>10743162</v>
      </c>
      <c r="L751" s="125">
        <f t="shared" si="34"/>
        <v>2700</v>
      </c>
      <c r="M751" s="125">
        <f t="shared" si="35"/>
        <v>0</v>
      </c>
    </row>
    <row r="752" spans="1:13" ht="63" outlineLevel="3">
      <c r="A752" s="108" t="s">
        <v>434</v>
      </c>
      <c r="B752" s="109" t="s">
        <v>41</v>
      </c>
      <c r="C752" s="109" t="s">
        <v>1</v>
      </c>
      <c r="D752" s="109" t="s">
        <v>3</v>
      </c>
      <c r="E752" s="109" t="s">
        <v>3</v>
      </c>
      <c r="F752" s="110">
        <f>F753</f>
        <v>10372616</v>
      </c>
      <c r="G752" s="110"/>
      <c r="I752" s="125">
        <v>10373316</v>
      </c>
      <c r="L752" s="125">
        <f t="shared" si="34"/>
        <v>700</v>
      </c>
      <c r="M752" s="125">
        <f t="shared" si="35"/>
        <v>0</v>
      </c>
    </row>
    <row r="753" spans="1:13" ht="141.75" outlineLevel="4">
      <c r="A753" s="108" t="s">
        <v>1202</v>
      </c>
      <c r="B753" s="109" t="s">
        <v>41</v>
      </c>
      <c r="C753" s="109" t="s">
        <v>10</v>
      </c>
      <c r="D753" s="109" t="s">
        <v>3</v>
      </c>
      <c r="E753" s="109" t="s">
        <v>3</v>
      </c>
      <c r="F753" s="110">
        <f>F754</f>
        <v>10372616</v>
      </c>
      <c r="G753" s="110"/>
      <c r="I753" s="125">
        <v>10373316</v>
      </c>
      <c r="L753" s="125">
        <f t="shared" si="34"/>
        <v>700</v>
      </c>
      <c r="M753" s="125">
        <f t="shared" si="35"/>
        <v>0</v>
      </c>
    </row>
    <row r="754" spans="1:13" ht="126" outlineLevel="5">
      <c r="A754" s="108" t="s">
        <v>665</v>
      </c>
      <c r="B754" s="109" t="s">
        <v>41</v>
      </c>
      <c r="C754" s="109" t="s">
        <v>10</v>
      </c>
      <c r="D754" s="109" t="s">
        <v>2</v>
      </c>
      <c r="E754" s="109" t="s">
        <v>22</v>
      </c>
      <c r="F754" s="110">
        <f>Приложение_6!F78</f>
        <v>10372616</v>
      </c>
      <c r="G754" s="110"/>
      <c r="I754" s="125">
        <v>10373316</v>
      </c>
      <c r="L754" s="125">
        <f t="shared" si="34"/>
        <v>700</v>
      </c>
      <c r="M754" s="125">
        <f t="shared" si="35"/>
        <v>0</v>
      </c>
    </row>
    <row r="755" spans="1:13" ht="47.25" outlineLevel="5">
      <c r="A755" s="76" t="s">
        <v>430</v>
      </c>
      <c r="B755" s="109" t="s">
        <v>1238</v>
      </c>
      <c r="C755" s="109" t="s">
        <v>1</v>
      </c>
      <c r="D755" s="109" t="s">
        <v>3</v>
      </c>
      <c r="E755" s="109" t="s">
        <v>3</v>
      </c>
      <c r="F755" s="110">
        <f>F756+F758</f>
        <v>2700</v>
      </c>
      <c r="G755" s="110"/>
      <c r="I755" s="125"/>
      <c r="L755" s="125"/>
      <c r="M755" s="125"/>
    </row>
    <row r="756" spans="1:13" ht="141.75" outlineLevel="5">
      <c r="A756" s="76" t="s">
        <v>708</v>
      </c>
      <c r="B756" s="109" t="s">
        <v>1238</v>
      </c>
      <c r="C756" s="109" t="s">
        <v>10</v>
      </c>
      <c r="D756" s="109" t="s">
        <v>3</v>
      </c>
      <c r="E756" s="109" t="s">
        <v>3</v>
      </c>
      <c r="F756" s="110">
        <f>F757</f>
        <v>700</v>
      </c>
      <c r="G756" s="110"/>
      <c r="I756" s="125"/>
      <c r="L756" s="125"/>
      <c r="M756" s="125"/>
    </row>
    <row r="757" spans="1:13" ht="126" outlineLevel="5">
      <c r="A757" s="108" t="s">
        <v>665</v>
      </c>
      <c r="B757" s="109" t="s">
        <v>1238</v>
      </c>
      <c r="C757" s="109" t="s">
        <v>10</v>
      </c>
      <c r="D757" s="109" t="s">
        <v>2</v>
      </c>
      <c r="E757" s="109" t="s">
        <v>22</v>
      </c>
      <c r="F757" s="110">
        <f>Приложение_6!F80</f>
        <v>700</v>
      </c>
      <c r="G757" s="110"/>
      <c r="I757" s="125"/>
      <c r="L757" s="125"/>
      <c r="M757" s="125"/>
    </row>
    <row r="758" spans="1:13" ht="63" outlineLevel="5">
      <c r="A758" s="108" t="s">
        <v>693</v>
      </c>
      <c r="B758" s="109" t="s">
        <v>1238</v>
      </c>
      <c r="C758" s="109" t="s">
        <v>17</v>
      </c>
      <c r="D758" s="109" t="s">
        <v>3</v>
      </c>
      <c r="E758" s="109" t="s">
        <v>3</v>
      </c>
      <c r="F758" s="110">
        <f>F759</f>
        <v>2000</v>
      </c>
      <c r="G758" s="110"/>
      <c r="I758" s="125"/>
      <c r="L758" s="125"/>
      <c r="M758" s="125"/>
    </row>
    <row r="759" spans="1:13" ht="126" outlineLevel="5">
      <c r="A759" s="108" t="s">
        <v>665</v>
      </c>
      <c r="B759" s="109" t="s">
        <v>1238</v>
      </c>
      <c r="C759" s="109" t="s">
        <v>17</v>
      </c>
      <c r="D759" s="109" t="s">
        <v>2</v>
      </c>
      <c r="E759" s="109" t="s">
        <v>22</v>
      </c>
      <c r="F759" s="110">
        <f>Приложение_6!F81</f>
        <v>2000</v>
      </c>
      <c r="G759" s="110"/>
      <c r="I759" s="125"/>
      <c r="L759" s="125"/>
      <c r="M759" s="125"/>
    </row>
    <row r="760" spans="1:13" ht="126" outlineLevel="3">
      <c r="A760" s="108" t="s">
        <v>432</v>
      </c>
      <c r="B760" s="109" t="s">
        <v>42</v>
      </c>
      <c r="C760" s="109" t="s">
        <v>1</v>
      </c>
      <c r="D760" s="109" t="s">
        <v>3</v>
      </c>
      <c r="E760" s="109" t="s">
        <v>3</v>
      </c>
      <c r="F760" s="110">
        <f>F761</f>
        <v>367846</v>
      </c>
      <c r="G760" s="110"/>
      <c r="I760" s="125">
        <v>369846</v>
      </c>
      <c r="L760" s="125">
        <f t="shared" si="34"/>
        <v>2000</v>
      </c>
      <c r="M760" s="125">
        <f t="shared" si="35"/>
        <v>0</v>
      </c>
    </row>
    <row r="761" spans="1:13" ht="141.75" outlineLevel="4">
      <c r="A761" s="108" t="s">
        <v>1202</v>
      </c>
      <c r="B761" s="109" t="s">
        <v>42</v>
      </c>
      <c r="C761" s="109" t="s">
        <v>10</v>
      </c>
      <c r="D761" s="109" t="s">
        <v>3</v>
      </c>
      <c r="E761" s="109" t="s">
        <v>3</v>
      </c>
      <c r="F761" s="110">
        <f>F762</f>
        <v>367846</v>
      </c>
      <c r="G761" s="110"/>
      <c r="I761" s="125">
        <v>369846</v>
      </c>
      <c r="L761" s="125">
        <f t="shared" si="34"/>
        <v>2000</v>
      </c>
      <c r="M761" s="125">
        <f t="shared" si="35"/>
        <v>0</v>
      </c>
    </row>
    <row r="762" spans="1:13" ht="126" outlineLevel="5">
      <c r="A762" s="108" t="s">
        <v>665</v>
      </c>
      <c r="B762" s="109" t="s">
        <v>42</v>
      </c>
      <c r="C762" s="109" t="s">
        <v>10</v>
      </c>
      <c r="D762" s="109" t="s">
        <v>2</v>
      </c>
      <c r="E762" s="109" t="s">
        <v>22</v>
      </c>
      <c r="F762" s="110">
        <f>Приложение_6!F83</f>
        <v>367846</v>
      </c>
      <c r="G762" s="110"/>
      <c r="I762" s="125">
        <v>369846</v>
      </c>
      <c r="L762" s="125">
        <f t="shared" si="34"/>
        <v>2000</v>
      </c>
      <c r="M762" s="125">
        <f t="shared" si="35"/>
        <v>0</v>
      </c>
    </row>
    <row r="763" spans="1:13" ht="47.25" outlineLevel="1">
      <c r="A763" s="108" t="s">
        <v>655</v>
      </c>
      <c r="B763" s="109" t="s">
        <v>410</v>
      </c>
      <c r="C763" s="109" t="s">
        <v>1</v>
      </c>
      <c r="D763" s="109" t="s">
        <v>3</v>
      </c>
      <c r="E763" s="109" t="s">
        <v>3</v>
      </c>
      <c r="F763" s="110">
        <f>F764</f>
        <v>11801646.99</v>
      </c>
      <c r="G763" s="110"/>
      <c r="I763" s="125">
        <v>11801646.99</v>
      </c>
      <c r="L763" s="125">
        <f t="shared" si="34"/>
        <v>0</v>
      </c>
      <c r="M763" s="125">
        <f t="shared" si="35"/>
        <v>0</v>
      </c>
    </row>
    <row r="764" spans="1:13" ht="78.75" outlineLevel="2">
      <c r="A764" s="108" t="s">
        <v>612</v>
      </c>
      <c r="B764" s="109" t="s">
        <v>411</v>
      </c>
      <c r="C764" s="109" t="s">
        <v>1</v>
      </c>
      <c r="D764" s="109" t="s">
        <v>3</v>
      </c>
      <c r="E764" s="109" t="s">
        <v>3</v>
      </c>
      <c r="F764" s="110">
        <f>F765</f>
        <v>11801646.99</v>
      </c>
      <c r="G764" s="110"/>
      <c r="I764" s="125">
        <v>11801646.99</v>
      </c>
      <c r="L764" s="125">
        <f t="shared" si="34"/>
        <v>0</v>
      </c>
      <c r="M764" s="125">
        <f t="shared" si="35"/>
        <v>0</v>
      </c>
    </row>
    <row r="765" spans="1:13" ht="31.5" outlineLevel="3">
      <c r="A765" s="108" t="s">
        <v>429</v>
      </c>
      <c r="B765" s="109" t="s">
        <v>412</v>
      </c>
      <c r="C765" s="109" t="s">
        <v>1</v>
      </c>
      <c r="D765" s="109" t="s">
        <v>3</v>
      </c>
      <c r="E765" s="109" t="s">
        <v>3</v>
      </c>
      <c r="F765" s="110">
        <f>F766</f>
        <v>11801646.99</v>
      </c>
      <c r="G765" s="110"/>
      <c r="I765" s="125">
        <v>11801646.99</v>
      </c>
      <c r="L765" s="125">
        <f t="shared" si="34"/>
        <v>0</v>
      </c>
      <c r="M765" s="125">
        <f t="shared" si="35"/>
        <v>0</v>
      </c>
    </row>
    <row r="766" spans="1:13" ht="47.25" outlineLevel="4">
      <c r="A766" s="108" t="s">
        <v>707</v>
      </c>
      <c r="B766" s="109" t="s">
        <v>412</v>
      </c>
      <c r="C766" s="109" t="s">
        <v>413</v>
      </c>
      <c r="D766" s="109" t="s">
        <v>3</v>
      </c>
      <c r="E766" s="109" t="s">
        <v>3</v>
      </c>
      <c r="F766" s="110">
        <f>F767</f>
        <v>11801646.99</v>
      </c>
      <c r="G766" s="110"/>
      <c r="I766" s="125">
        <v>11801646.99</v>
      </c>
      <c r="L766" s="125">
        <f t="shared" si="34"/>
        <v>0</v>
      </c>
      <c r="M766" s="125">
        <f t="shared" si="35"/>
        <v>0</v>
      </c>
    </row>
    <row r="767" spans="1:13" ht="47.25" outlineLevel="5">
      <c r="A767" s="108" t="s">
        <v>691</v>
      </c>
      <c r="B767" s="109" t="s">
        <v>412</v>
      </c>
      <c r="C767" s="109" t="s">
        <v>413</v>
      </c>
      <c r="D767" s="109" t="s">
        <v>66</v>
      </c>
      <c r="E767" s="109" t="s">
        <v>2</v>
      </c>
      <c r="F767" s="110">
        <f>Приложение_6!F941</f>
        <v>11801646.99</v>
      </c>
      <c r="G767" s="110"/>
      <c r="I767" s="125">
        <v>11801646.99</v>
      </c>
      <c r="L767" s="125">
        <f t="shared" si="34"/>
        <v>0</v>
      </c>
      <c r="M767" s="125">
        <f t="shared" si="35"/>
        <v>0</v>
      </c>
    </row>
    <row r="768" spans="1:13" ht="110.25">
      <c r="A768" s="115" t="s">
        <v>1203</v>
      </c>
      <c r="B768" s="116" t="s">
        <v>6</v>
      </c>
      <c r="C768" s="116" t="s">
        <v>1</v>
      </c>
      <c r="D768" s="116" t="s">
        <v>3</v>
      </c>
      <c r="E768" s="116" t="s">
        <v>3</v>
      </c>
      <c r="F768" s="117">
        <f>F769+F821+F850+F858+F868+F900+F935+F961</f>
        <v>152490623.13</v>
      </c>
      <c r="G768" s="117">
        <f>G769</f>
        <v>4943700</v>
      </c>
      <c r="I768" s="125">
        <v>152473640.81</v>
      </c>
      <c r="J768" s="125">
        <v>4404900</v>
      </c>
      <c r="L768" s="125">
        <f t="shared" si="34"/>
        <v>-16982.319999992847</v>
      </c>
      <c r="M768" s="125">
        <f t="shared" si="35"/>
        <v>-538800</v>
      </c>
    </row>
    <row r="769" spans="1:13" ht="63" outlineLevel="1">
      <c r="A769" s="115" t="s">
        <v>616</v>
      </c>
      <c r="B769" s="116" t="s">
        <v>43</v>
      </c>
      <c r="C769" s="116" t="s">
        <v>1</v>
      </c>
      <c r="D769" s="116" t="s">
        <v>3</v>
      </c>
      <c r="E769" s="116" t="s">
        <v>3</v>
      </c>
      <c r="F769" s="117">
        <f>F770+F788+F794+F803+F809+F815</f>
        <v>35083435.25</v>
      </c>
      <c r="G769" s="117">
        <f>G788+G794+G803+G809+G815</f>
        <v>4943700</v>
      </c>
      <c r="I769" s="125">
        <v>34433635.17</v>
      </c>
      <c r="J769" s="125">
        <v>4404900</v>
      </c>
      <c r="L769" s="125">
        <f t="shared" si="34"/>
        <v>-649800.0799999982</v>
      </c>
      <c r="M769" s="125">
        <f t="shared" si="35"/>
        <v>-538800</v>
      </c>
    </row>
    <row r="770" spans="1:13" ht="110.25" outlineLevel="2">
      <c r="A770" s="108" t="s">
        <v>496</v>
      </c>
      <c r="B770" s="109" t="s">
        <v>44</v>
      </c>
      <c r="C770" s="109" t="s">
        <v>1</v>
      </c>
      <c r="D770" s="109" t="s">
        <v>3</v>
      </c>
      <c r="E770" s="109" t="s">
        <v>3</v>
      </c>
      <c r="F770" s="110">
        <f>F771+F774+F779+F782+F785</f>
        <v>30139735.25</v>
      </c>
      <c r="G770" s="110"/>
      <c r="I770" s="125">
        <v>30028735.17</v>
      </c>
      <c r="L770" s="125">
        <f t="shared" si="34"/>
        <v>-111000.07999999821</v>
      </c>
      <c r="M770" s="125">
        <f t="shared" si="35"/>
        <v>0</v>
      </c>
    </row>
    <row r="771" spans="1:13" ht="47.25" outlineLevel="3">
      <c r="A771" s="108" t="s">
        <v>435</v>
      </c>
      <c r="B771" s="109" t="s">
        <v>45</v>
      </c>
      <c r="C771" s="109" t="s">
        <v>1</v>
      </c>
      <c r="D771" s="109" t="s">
        <v>3</v>
      </c>
      <c r="E771" s="109" t="s">
        <v>3</v>
      </c>
      <c r="F771" s="110">
        <f>F772</f>
        <v>1961844.97</v>
      </c>
      <c r="G771" s="110"/>
      <c r="I771" s="125">
        <v>1925844.89</v>
      </c>
      <c r="L771" s="125">
        <f t="shared" si="34"/>
        <v>-36000.080000000075</v>
      </c>
      <c r="M771" s="125">
        <f t="shared" si="35"/>
        <v>0</v>
      </c>
    </row>
    <row r="772" spans="1:13" ht="141.75" outlineLevel="4">
      <c r="A772" s="108" t="s">
        <v>1202</v>
      </c>
      <c r="B772" s="109" t="s">
        <v>45</v>
      </c>
      <c r="C772" s="109" t="s">
        <v>10</v>
      </c>
      <c r="D772" s="109" t="s">
        <v>3</v>
      </c>
      <c r="E772" s="109" t="s">
        <v>3</v>
      </c>
      <c r="F772" s="110">
        <f>F773</f>
        <v>1961844.97</v>
      </c>
      <c r="G772" s="110"/>
      <c r="I772" s="125">
        <v>1925844.89</v>
      </c>
      <c r="L772" s="125">
        <f t="shared" si="34"/>
        <v>-36000.080000000075</v>
      </c>
      <c r="M772" s="125">
        <f t="shared" si="35"/>
        <v>0</v>
      </c>
    </row>
    <row r="773" spans="1:13" ht="126" outlineLevel="5">
      <c r="A773" s="108" t="s">
        <v>665</v>
      </c>
      <c r="B773" s="109" t="s">
        <v>45</v>
      </c>
      <c r="C773" s="109" t="s">
        <v>10</v>
      </c>
      <c r="D773" s="109" t="s">
        <v>2</v>
      </c>
      <c r="E773" s="109" t="s">
        <v>22</v>
      </c>
      <c r="F773" s="110">
        <f>Приложение_6!F88</f>
        <v>1961844.97</v>
      </c>
      <c r="G773" s="110"/>
      <c r="I773" s="125">
        <v>1925844.89</v>
      </c>
      <c r="L773" s="125">
        <f t="shared" si="34"/>
        <v>-36000.080000000075</v>
      </c>
      <c r="M773" s="125">
        <f t="shared" si="35"/>
        <v>0</v>
      </c>
    </row>
    <row r="774" spans="1:13" ht="63" outlineLevel="3">
      <c r="A774" s="108" t="s">
        <v>434</v>
      </c>
      <c r="B774" s="109" t="s">
        <v>46</v>
      </c>
      <c r="C774" s="109" t="s">
        <v>1</v>
      </c>
      <c r="D774" s="109" t="s">
        <v>3</v>
      </c>
      <c r="E774" s="109" t="s">
        <v>3</v>
      </c>
      <c r="F774" s="110">
        <f>F775+F777</f>
        <v>27210507.77</v>
      </c>
      <c r="G774" s="110"/>
      <c r="I774" s="125">
        <v>27210507.77</v>
      </c>
      <c r="L774" s="125">
        <f t="shared" si="34"/>
        <v>0</v>
      </c>
      <c r="M774" s="125">
        <f t="shared" si="35"/>
        <v>0</v>
      </c>
    </row>
    <row r="775" spans="1:13" ht="141.75" outlineLevel="4">
      <c r="A775" s="108" t="s">
        <v>1202</v>
      </c>
      <c r="B775" s="109" t="s">
        <v>46</v>
      </c>
      <c r="C775" s="109" t="s">
        <v>10</v>
      </c>
      <c r="D775" s="109" t="s">
        <v>3</v>
      </c>
      <c r="E775" s="109" t="s">
        <v>3</v>
      </c>
      <c r="F775" s="110">
        <f>F776</f>
        <v>27090389.31</v>
      </c>
      <c r="G775" s="110"/>
      <c r="I775" s="125">
        <v>27090389.31</v>
      </c>
      <c r="L775" s="125">
        <f t="shared" si="34"/>
        <v>0</v>
      </c>
      <c r="M775" s="125">
        <f t="shared" si="35"/>
        <v>0</v>
      </c>
    </row>
    <row r="776" spans="1:13" ht="126" outlineLevel="5">
      <c r="A776" s="108" t="s">
        <v>665</v>
      </c>
      <c r="B776" s="109" t="s">
        <v>46</v>
      </c>
      <c r="C776" s="109" t="s">
        <v>10</v>
      </c>
      <c r="D776" s="109" t="s">
        <v>2</v>
      </c>
      <c r="E776" s="109" t="s">
        <v>22</v>
      </c>
      <c r="F776" s="110">
        <f>Приложение_6!F90</f>
        <v>27090389.31</v>
      </c>
      <c r="G776" s="110"/>
      <c r="I776" s="125">
        <v>27090389.31</v>
      </c>
      <c r="L776" s="125">
        <f t="shared" si="34"/>
        <v>0</v>
      </c>
      <c r="M776" s="125">
        <f t="shared" si="35"/>
        <v>0</v>
      </c>
    </row>
    <row r="777" spans="1:13" ht="31.5" outlineLevel="4">
      <c r="A777" s="108" t="s">
        <v>694</v>
      </c>
      <c r="B777" s="109" t="s">
        <v>46</v>
      </c>
      <c r="C777" s="109" t="s">
        <v>47</v>
      </c>
      <c r="D777" s="109" t="s">
        <v>3</v>
      </c>
      <c r="E777" s="109" t="s">
        <v>3</v>
      </c>
      <c r="F777" s="110">
        <v>120118.46</v>
      </c>
      <c r="G777" s="110"/>
      <c r="I777" s="125">
        <v>120118.46</v>
      </c>
      <c r="L777" s="125">
        <f t="shared" si="34"/>
        <v>0</v>
      </c>
      <c r="M777" s="125">
        <f t="shared" si="35"/>
        <v>0</v>
      </c>
    </row>
    <row r="778" spans="1:13" ht="126" outlineLevel="5">
      <c r="A778" s="108" t="s">
        <v>665</v>
      </c>
      <c r="B778" s="109" t="s">
        <v>46</v>
      </c>
      <c r="C778" s="109" t="s">
        <v>47</v>
      </c>
      <c r="D778" s="109" t="s">
        <v>2</v>
      </c>
      <c r="E778" s="109" t="s">
        <v>22</v>
      </c>
      <c r="F778" s="110">
        <f>Приложение_6!F91</f>
        <v>120118.46</v>
      </c>
      <c r="G778" s="110"/>
      <c r="I778" s="125">
        <v>120118.46</v>
      </c>
      <c r="L778" s="125">
        <f t="shared" si="34"/>
        <v>0</v>
      </c>
      <c r="M778" s="125">
        <f t="shared" si="35"/>
        <v>0</v>
      </c>
    </row>
    <row r="779" spans="1:13" ht="47.25" outlineLevel="3">
      <c r="A779" s="108" t="s">
        <v>430</v>
      </c>
      <c r="B779" s="109" t="s">
        <v>48</v>
      </c>
      <c r="C779" s="109" t="s">
        <v>1</v>
      </c>
      <c r="D779" s="109" t="s">
        <v>3</v>
      </c>
      <c r="E779" s="109" t="s">
        <v>3</v>
      </c>
      <c r="F779" s="110">
        <f>F780</f>
        <v>3360</v>
      </c>
      <c r="G779" s="110"/>
      <c r="I779" s="125">
        <v>3360</v>
      </c>
      <c r="L779" s="125">
        <f t="shared" si="34"/>
        <v>0</v>
      </c>
      <c r="M779" s="125">
        <f t="shared" si="35"/>
        <v>0</v>
      </c>
    </row>
    <row r="780" spans="1:13" ht="141.75" outlineLevel="4">
      <c r="A780" s="108" t="s">
        <v>1202</v>
      </c>
      <c r="B780" s="109" t="s">
        <v>48</v>
      </c>
      <c r="C780" s="109" t="s">
        <v>10</v>
      </c>
      <c r="D780" s="109" t="s">
        <v>3</v>
      </c>
      <c r="E780" s="109" t="s">
        <v>3</v>
      </c>
      <c r="F780" s="110">
        <f>F781</f>
        <v>3360</v>
      </c>
      <c r="G780" s="110"/>
      <c r="I780" s="125">
        <v>3360</v>
      </c>
      <c r="L780" s="125">
        <f t="shared" si="34"/>
        <v>0</v>
      </c>
      <c r="M780" s="125">
        <f t="shared" si="35"/>
        <v>0</v>
      </c>
    </row>
    <row r="781" spans="1:13" ht="126" outlineLevel="5">
      <c r="A781" s="108" t="s">
        <v>665</v>
      </c>
      <c r="B781" s="109" t="s">
        <v>48</v>
      </c>
      <c r="C781" s="109" t="s">
        <v>10</v>
      </c>
      <c r="D781" s="109" t="s">
        <v>2</v>
      </c>
      <c r="E781" s="109" t="s">
        <v>22</v>
      </c>
      <c r="F781" s="110">
        <f>Приложение_6!F93</f>
        <v>3360</v>
      </c>
      <c r="G781" s="110"/>
      <c r="I781" s="125">
        <v>3360</v>
      </c>
      <c r="L781" s="125">
        <f t="shared" si="34"/>
        <v>0</v>
      </c>
      <c r="M781" s="125">
        <f t="shared" si="35"/>
        <v>0</v>
      </c>
    </row>
    <row r="782" spans="1:13" ht="78.75" outlineLevel="3">
      <c r="A782" s="108" t="s">
        <v>436</v>
      </c>
      <c r="B782" s="109" t="s">
        <v>49</v>
      </c>
      <c r="C782" s="109" t="s">
        <v>1</v>
      </c>
      <c r="D782" s="109" t="s">
        <v>3</v>
      </c>
      <c r="E782" s="109" t="s">
        <v>3</v>
      </c>
      <c r="F782" s="110">
        <f>F783</f>
        <v>466122.51</v>
      </c>
      <c r="G782" s="110"/>
      <c r="I782" s="125">
        <v>466122.51</v>
      </c>
      <c r="L782" s="125">
        <f t="shared" si="34"/>
        <v>0</v>
      </c>
      <c r="M782" s="125">
        <f t="shared" si="35"/>
        <v>0</v>
      </c>
    </row>
    <row r="783" spans="1:13" ht="141.75" outlineLevel="4">
      <c r="A783" s="108" t="s">
        <v>1202</v>
      </c>
      <c r="B783" s="109" t="s">
        <v>49</v>
      </c>
      <c r="C783" s="109" t="s">
        <v>10</v>
      </c>
      <c r="D783" s="109" t="s">
        <v>3</v>
      </c>
      <c r="E783" s="109" t="s">
        <v>3</v>
      </c>
      <c r="F783" s="110">
        <f>F784</f>
        <v>466122.51</v>
      </c>
      <c r="G783" s="110"/>
      <c r="I783" s="125">
        <v>466122.51</v>
      </c>
      <c r="L783" s="125">
        <f t="shared" si="34"/>
        <v>0</v>
      </c>
      <c r="M783" s="125">
        <f t="shared" si="35"/>
        <v>0</v>
      </c>
    </row>
    <row r="784" spans="1:13" ht="126" outlineLevel="5">
      <c r="A784" s="108" t="s">
        <v>665</v>
      </c>
      <c r="B784" s="109" t="s">
        <v>49</v>
      </c>
      <c r="C784" s="109" t="s">
        <v>10</v>
      </c>
      <c r="D784" s="109" t="s">
        <v>2</v>
      </c>
      <c r="E784" s="109" t="s">
        <v>22</v>
      </c>
      <c r="F784" s="110">
        <f>Приложение_6!F95</f>
        <v>466122.51</v>
      </c>
      <c r="G784" s="110"/>
      <c r="I784" s="125">
        <v>466122.51</v>
      </c>
      <c r="L784" s="125">
        <f t="shared" si="34"/>
        <v>0</v>
      </c>
      <c r="M784" s="125">
        <f t="shared" si="35"/>
        <v>0</v>
      </c>
    </row>
    <row r="785" spans="1:13" ht="126" outlineLevel="3">
      <c r="A785" s="108" t="s">
        <v>432</v>
      </c>
      <c r="B785" s="109" t="s">
        <v>50</v>
      </c>
      <c r="C785" s="109" t="s">
        <v>1</v>
      </c>
      <c r="D785" s="109" t="s">
        <v>3</v>
      </c>
      <c r="E785" s="109" t="s">
        <v>3</v>
      </c>
      <c r="F785" s="110">
        <f>F786</f>
        <v>497900</v>
      </c>
      <c r="G785" s="110"/>
      <c r="I785" s="125">
        <v>422900</v>
      </c>
      <c r="L785" s="125">
        <f t="shared" si="34"/>
        <v>-75000</v>
      </c>
      <c r="M785" s="125">
        <f t="shared" si="35"/>
        <v>0</v>
      </c>
    </row>
    <row r="786" spans="1:13" ht="141.75" outlineLevel="4">
      <c r="A786" s="108" t="s">
        <v>1202</v>
      </c>
      <c r="B786" s="109" t="s">
        <v>50</v>
      </c>
      <c r="C786" s="109" t="s">
        <v>10</v>
      </c>
      <c r="D786" s="109" t="s">
        <v>3</v>
      </c>
      <c r="E786" s="109" t="s">
        <v>3</v>
      </c>
      <c r="F786" s="110">
        <f>F787</f>
        <v>497900</v>
      </c>
      <c r="G786" s="110"/>
      <c r="I786" s="125">
        <v>422900</v>
      </c>
      <c r="L786" s="125">
        <f t="shared" si="34"/>
        <v>-75000</v>
      </c>
      <c r="M786" s="125">
        <f t="shared" si="35"/>
        <v>0</v>
      </c>
    </row>
    <row r="787" spans="1:13" ht="126" outlineLevel="5">
      <c r="A787" s="108" t="s">
        <v>665</v>
      </c>
      <c r="B787" s="109" t="s">
        <v>50</v>
      </c>
      <c r="C787" s="109" t="s">
        <v>10</v>
      </c>
      <c r="D787" s="109" t="s">
        <v>2</v>
      </c>
      <c r="E787" s="109" t="s">
        <v>22</v>
      </c>
      <c r="F787" s="110">
        <f>Приложение_6!F97</f>
        <v>497900</v>
      </c>
      <c r="G787" s="110"/>
      <c r="I787" s="125">
        <v>422900</v>
      </c>
      <c r="L787" s="125">
        <f t="shared" si="34"/>
        <v>-75000</v>
      </c>
      <c r="M787" s="125">
        <f t="shared" si="35"/>
        <v>0</v>
      </c>
    </row>
    <row r="788" spans="1:13" ht="63" outlineLevel="2">
      <c r="A788" s="108" t="s">
        <v>525</v>
      </c>
      <c r="B788" s="109" t="s">
        <v>144</v>
      </c>
      <c r="C788" s="109" t="s">
        <v>1</v>
      </c>
      <c r="D788" s="109" t="s">
        <v>3</v>
      </c>
      <c r="E788" s="109" t="s">
        <v>3</v>
      </c>
      <c r="F788" s="110">
        <f>F789</f>
        <v>2669800</v>
      </c>
      <c r="G788" s="110">
        <f>G789</f>
        <v>2669800</v>
      </c>
      <c r="I788" s="125">
        <v>2131000</v>
      </c>
      <c r="J788" s="125">
        <v>2131000</v>
      </c>
      <c r="L788" s="125">
        <f t="shared" si="34"/>
        <v>-538800</v>
      </c>
      <c r="M788" s="125">
        <f t="shared" si="35"/>
        <v>-538800</v>
      </c>
    </row>
    <row r="789" spans="1:13" ht="204.75" outlineLevel="3">
      <c r="A789" s="108" t="s">
        <v>449</v>
      </c>
      <c r="B789" s="109" t="s">
        <v>145</v>
      </c>
      <c r="C789" s="109" t="s">
        <v>1</v>
      </c>
      <c r="D789" s="109" t="s">
        <v>3</v>
      </c>
      <c r="E789" s="109" t="s">
        <v>3</v>
      </c>
      <c r="F789" s="110">
        <f>F790+F792</f>
        <v>2669800</v>
      </c>
      <c r="G789" s="110">
        <f>G790+G792</f>
        <v>2669800</v>
      </c>
      <c r="I789" s="125">
        <v>2131000</v>
      </c>
      <c r="J789" s="125">
        <v>2131000</v>
      </c>
      <c r="L789" s="125">
        <f t="shared" si="34"/>
        <v>-538800</v>
      </c>
      <c r="M789" s="125">
        <f t="shared" si="35"/>
        <v>-538800</v>
      </c>
    </row>
    <row r="790" spans="1:13" ht="141.75" outlineLevel="4">
      <c r="A790" s="108" t="s">
        <v>1202</v>
      </c>
      <c r="B790" s="109" t="s">
        <v>145</v>
      </c>
      <c r="C790" s="109" t="s">
        <v>10</v>
      </c>
      <c r="D790" s="109" t="s">
        <v>3</v>
      </c>
      <c r="E790" s="109" t="s">
        <v>3</v>
      </c>
      <c r="F790" s="110">
        <f>F791</f>
        <v>1772478.95</v>
      </c>
      <c r="G790" s="110">
        <f>G791</f>
        <v>1772478.95</v>
      </c>
      <c r="I790" s="125">
        <v>1772478.95</v>
      </c>
      <c r="J790" s="125">
        <v>1772478.95</v>
      </c>
      <c r="L790" s="125">
        <f t="shared" si="34"/>
        <v>0</v>
      </c>
      <c r="M790" s="125">
        <f t="shared" si="35"/>
        <v>0</v>
      </c>
    </row>
    <row r="791" spans="1:13" ht="15.75" outlineLevel="5">
      <c r="A791" s="108" t="s">
        <v>669</v>
      </c>
      <c r="B791" s="109" t="s">
        <v>145</v>
      </c>
      <c r="C791" s="109" t="s">
        <v>10</v>
      </c>
      <c r="D791" s="109" t="s">
        <v>14</v>
      </c>
      <c r="E791" s="109" t="s">
        <v>22</v>
      </c>
      <c r="F791" s="110">
        <f>Приложение_6!F296</f>
        <v>1772478.95</v>
      </c>
      <c r="G791" s="110">
        <f>F791</f>
        <v>1772478.95</v>
      </c>
      <c r="I791" s="125">
        <v>1772478.95</v>
      </c>
      <c r="J791" s="125">
        <v>1772478.95</v>
      </c>
      <c r="L791" s="125">
        <f t="shared" si="34"/>
        <v>0</v>
      </c>
      <c r="M791" s="125">
        <f t="shared" si="35"/>
        <v>0</v>
      </c>
    </row>
    <row r="792" spans="1:13" ht="63" outlineLevel="4">
      <c r="A792" s="108" t="s">
        <v>693</v>
      </c>
      <c r="B792" s="109" t="s">
        <v>145</v>
      </c>
      <c r="C792" s="109" t="s">
        <v>17</v>
      </c>
      <c r="D792" s="109" t="s">
        <v>3</v>
      </c>
      <c r="E792" s="109" t="s">
        <v>3</v>
      </c>
      <c r="F792" s="110">
        <f>F793</f>
        <v>897321.05</v>
      </c>
      <c r="G792" s="110">
        <f>G793</f>
        <v>897321.05</v>
      </c>
      <c r="I792" s="125">
        <v>358521.05</v>
      </c>
      <c r="J792" s="125">
        <v>358521.05</v>
      </c>
      <c r="L792" s="125">
        <f t="shared" si="34"/>
        <v>-538800</v>
      </c>
      <c r="M792" s="125">
        <f t="shared" si="35"/>
        <v>-538800</v>
      </c>
    </row>
    <row r="793" spans="1:13" ht="15.75" outlineLevel="5">
      <c r="A793" s="108" t="s">
        <v>669</v>
      </c>
      <c r="B793" s="109" t="s">
        <v>145</v>
      </c>
      <c r="C793" s="109" t="s">
        <v>17</v>
      </c>
      <c r="D793" s="109" t="s">
        <v>14</v>
      </c>
      <c r="E793" s="109" t="s">
        <v>22</v>
      </c>
      <c r="F793" s="110">
        <f>Приложение_6!F297</f>
        <v>897321.05</v>
      </c>
      <c r="G793" s="110">
        <f>F793</f>
        <v>897321.05</v>
      </c>
      <c r="I793" s="125">
        <v>358521.05</v>
      </c>
      <c r="J793" s="125">
        <v>358521.05</v>
      </c>
      <c r="L793" s="125">
        <f t="shared" si="34"/>
        <v>-538800</v>
      </c>
      <c r="M793" s="125">
        <f t="shared" si="35"/>
        <v>-538800</v>
      </c>
    </row>
    <row r="794" spans="1:13" ht="63" outlineLevel="2">
      <c r="A794" s="108" t="s">
        <v>514</v>
      </c>
      <c r="B794" s="109" t="s">
        <v>110</v>
      </c>
      <c r="C794" s="109" t="s">
        <v>1</v>
      </c>
      <c r="D794" s="109" t="s">
        <v>3</v>
      </c>
      <c r="E794" s="109" t="s">
        <v>3</v>
      </c>
      <c r="F794" s="110">
        <f>F795++F798</f>
        <v>771000</v>
      </c>
      <c r="G794" s="110">
        <f>G795++G798</f>
        <v>771000</v>
      </c>
      <c r="I794" s="125">
        <v>771000</v>
      </c>
      <c r="J794" s="125">
        <v>771000</v>
      </c>
      <c r="L794" s="125">
        <f t="shared" si="34"/>
        <v>0</v>
      </c>
      <c r="M794" s="125">
        <f t="shared" si="35"/>
        <v>0</v>
      </c>
    </row>
    <row r="795" spans="1:13" ht="236.25" outlineLevel="3">
      <c r="A795" s="108" t="s">
        <v>444</v>
      </c>
      <c r="B795" s="109" t="s">
        <v>111</v>
      </c>
      <c r="C795" s="109" t="s">
        <v>1</v>
      </c>
      <c r="D795" s="109" t="s">
        <v>3</v>
      </c>
      <c r="E795" s="109" t="s">
        <v>3</v>
      </c>
      <c r="F795" s="110">
        <f>F796</f>
        <v>6000</v>
      </c>
      <c r="G795" s="110">
        <f>G796</f>
        <v>6000</v>
      </c>
      <c r="I795" s="125">
        <v>6000</v>
      </c>
      <c r="J795" s="125">
        <v>6000</v>
      </c>
      <c r="L795" s="125">
        <f t="shared" si="34"/>
        <v>0</v>
      </c>
      <c r="M795" s="125">
        <f t="shared" si="35"/>
        <v>0</v>
      </c>
    </row>
    <row r="796" spans="1:13" ht="63" outlineLevel="4">
      <c r="A796" s="108" t="s">
        <v>693</v>
      </c>
      <c r="B796" s="109" t="s">
        <v>111</v>
      </c>
      <c r="C796" s="109" t="s">
        <v>17</v>
      </c>
      <c r="D796" s="109" t="s">
        <v>3</v>
      </c>
      <c r="E796" s="109" t="s">
        <v>3</v>
      </c>
      <c r="F796" s="110">
        <f>F797</f>
        <v>6000</v>
      </c>
      <c r="G796" s="110">
        <f>G797</f>
        <v>6000</v>
      </c>
      <c r="I796" s="125">
        <v>6000</v>
      </c>
      <c r="J796" s="125">
        <v>6000</v>
      </c>
      <c r="L796" s="125">
        <f t="shared" si="34"/>
        <v>0</v>
      </c>
      <c r="M796" s="125">
        <f t="shared" si="35"/>
        <v>0</v>
      </c>
    </row>
    <row r="797" spans="1:13" ht="31.5" outlineLevel="5">
      <c r="A797" s="108" t="s">
        <v>668</v>
      </c>
      <c r="B797" s="109" t="s">
        <v>111</v>
      </c>
      <c r="C797" s="109" t="s">
        <v>17</v>
      </c>
      <c r="D797" s="109" t="s">
        <v>2</v>
      </c>
      <c r="E797" s="109" t="s">
        <v>66</v>
      </c>
      <c r="F797" s="110">
        <f>Приложение_6!F218</f>
        <v>6000</v>
      </c>
      <c r="G797" s="110">
        <f>F797</f>
        <v>6000</v>
      </c>
      <c r="I797" s="125">
        <v>6000</v>
      </c>
      <c r="J797" s="125">
        <v>6000</v>
      </c>
      <c r="L797" s="125">
        <f t="shared" si="34"/>
        <v>0</v>
      </c>
      <c r="M797" s="125">
        <f t="shared" si="35"/>
        <v>0</v>
      </c>
    </row>
    <row r="798" spans="1:13" ht="63" outlineLevel="3">
      <c r="A798" s="108" t="s">
        <v>445</v>
      </c>
      <c r="B798" s="109" t="s">
        <v>112</v>
      </c>
      <c r="C798" s="109" t="s">
        <v>1</v>
      </c>
      <c r="D798" s="109" t="s">
        <v>3</v>
      </c>
      <c r="E798" s="109" t="s">
        <v>3</v>
      </c>
      <c r="F798" s="110">
        <f>F799+F801</f>
        <v>765000</v>
      </c>
      <c r="G798" s="110">
        <f>G799+G801</f>
        <v>765000</v>
      </c>
      <c r="I798" s="125">
        <v>765000</v>
      </c>
      <c r="J798" s="125">
        <v>765000</v>
      </c>
      <c r="L798" s="125">
        <f t="shared" si="34"/>
        <v>0</v>
      </c>
      <c r="M798" s="125">
        <f t="shared" si="35"/>
        <v>0</v>
      </c>
    </row>
    <row r="799" spans="1:13" ht="141.75" outlineLevel="4">
      <c r="A799" s="108" t="s">
        <v>1202</v>
      </c>
      <c r="B799" s="109" t="s">
        <v>112</v>
      </c>
      <c r="C799" s="109" t="s">
        <v>10</v>
      </c>
      <c r="D799" s="109" t="s">
        <v>3</v>
      </c>
      <c r="E799" s="109" t="s">
        <v>3</v>
      </c>
      <c r="F799" s="110">
        <f>F800</f>
        <v>698220.45</v>
      </c>
      <c r="G799" s="110">
        <f>G800</f>
        <v>698220.45</v>
      </c>
      <c r="I799" s="125">
        <v>698220.45</v>
      </c>
      <c r="J799" s="125">
        <v>698220.45</v>
      </c>
      <c r="L799" s="125">
        <f t="shared" si="34"/>
        <v>0</v>
      </c>
      <c r="M799" s="125">
        <f t="shared" si="35"/>
        <v>0</v>
      </c>
    </row>
    <row r="800" spans="1:13" ht="31.5" outlineLevel="5">
      <c r="A800" s="108" t="s">
        <v>668</v>
      </c>
      <c r="B800" s="109" t="s">
        <v>112</v>
      </c>
      <c r="C800" s="109" t="s">
        <v>10</v>
      </c>
      <c r="D800" s="109" t="s">
        <v>2</v>
      </c>
      <c r="E800" s="109" t="s">
        <v>66</v>
      </c>
      <c r="F800" s="110">
        <f>Приложение_6!F220</f>
        <v>698220.45</v>
      </c>
      <c r="G800" s="110">
        <f>F800</f>
        <v>698220.45</v>
      </c>
      <c r="I800" s="125">
        <v>698220.45</v>
      </c>
      <c r="J800" s="125">
        <v>698220.45</v>
      </c>
      <c r="L800" s="125">
        <f t="shared" si="34"/>
        <v>0</v>
      </c>
      <c r="M800" s="125">
        <f t="shared" si="35"/>
        <v>0</v>
      </c>
    </row>
    <row r="801" spans="1:13" ht="63" outlineLevel="4">
      <c r="A801" s="108" t="s">
        <v>693</v>
      </c>
      <c r="B801" s="109" t="s">
        <v>112</v>
      </c>
      <c r="C801" s="109" t="s">
        <v>17</v>
      </c>
      <c r="D801" s="109" t="s">
        <v>3</v>
      </c>
      <c r="E801" s="109" t="s">
        <v>3</v>
      </c>
      <c r="F801" s="110">
        <f>F802</f>
        <v>66779.55</v>
      </c>
      <c r="G801" s="110">
        <f>G802</f>
        <v>66779.55</v>
      </c>
      <c r="I801" s="125">
        <v>66779.55</v>
      </c>
      <c r="J801" s="125">
        <v>66779.55</v>
      </c>
      <c r="L801" s="125">
        <f aca="true" t="shared" si="36" ref="L801:L874">I801-F801</f>
        <v>0</v>
      </c>
      <c r="M801" s="125">
        <f aca="true" t="shared" si="37" ref="M801:M874">J801-G801</f>
        <v>0</v>
      </c>
    </row>
    <row r="802" spans="1:13" ht="31.5" outlineLevel="5">
      <c r="A802" s="108" t="s">
        <v>668</v>
      </c>
      <c r="B802" s="109" t="s">
        <v>112</v>
      </c>
      <c r="C802" s="109" t="s">
        <v>17</v>
      </c>
      <c r="D802" s="109" t="s">
        <v>2</v>
      </c>
      <c r="E802" s="109" t="s">
        <v>66</v>
      </c>
      <c r="F802" s="110">
        <f>Приложение_6!F221</f>
        <v>66779.55</v>
      </c>
      <c r="G802" s="110">
        <f>F802</f>
        <v>66779.55</v>
      </c>
      <c r="I802" s="125">
        <v>66779.55</v>
      </c>
      <c r="J802" s="125">
        <v>66779.55</v>
      </c>
      <c r="L802" s="125">
        <f t="shared" si="36"/>
        <v>0</v>
      </c>
      <c r="M802" s="125">
        <f t="shared" si="37"/>
        <v>0</v>
      </c>
    </row>
    <row r="803" spans="1:13" ht="94.5" outlineLevel="2">
      <c r="A803" s="108" t="s">
        <v>607</v>
      </c>
      <c r="B803" s="109" t="s">
        <v>398</v>
      </c>
      <c r="C803" s="109" t="s">
        <v>1</v>
      </c>
      <c r="D803" s="109" t="s">
        <v>3</v>
      </c>
      <c r="E803" s="109" t="s">
        <v>3</v>
      </c>
      <c r="F803" s="110">
        <f>F804</f>
        <v>1321500</v>
      </c>
      <c r="G803" s="110">
        <f>G804</f>
        <v>1321500</v>
      </c>
      <c r="I803" s="125">
        <v>1321500</v>
      </c>
      <c r="J803" s="125">
        <v>1321500</v>
      </c>
      <c r="L803" s="125">
        <f t="shared" si="36"/>
        <v>0</v>
      </c>
      <c r="M803" s="125">
        <f t="shared" si="37"/>
        <v>0</v>
      </c>
    </row>
    <row r="804" spans="1:13" ht="94.5" outlineLevel="3">
      <c r="A804" s="108" t="s">
        <v>484</v>
      </c>
      <c r="B804" s="109" t="s">
        <v>399</v>
      </c>
      <c r="C804" s="109" t="s">
        <v>1</v>
      </c>
      <c r="D804" s="109" t="s">
        <v>3</v>
      </c>
      <c r="E804" s="109" t="s">
        <v>3</v>
      </c>
      <c r="F804" s="110">
        <f>F805+F807</f>
        <v>1321500</v>
      </c>
      <c r="G804" s="110">
        <f>G805+G807</f>
        <v>1321500</v>
      </c>
      <c r="I804" s="125">
        <v>1321500</v>
      </c>
      <c r="J804" s="125">
        <v>1321500</v>
      </c>
      <c r="L804" s="125">
        <f t="shared" si="36"/>
        <v>0</v>
      </c>
      <c r="M804" s="125">
        <f t="shared" si="37"/>
        <v>0</v>
      </c>
    </row>
    <row r="805" spans="1:13" ht="141.75" outlineLevel="4">
      <c r="A805" s="108" t="s">
        <v>1202</v>
      </c>
      <c r="B805" s="109" t="s">
        <v>399</v>
      </c>
      <c r="C805" s="109" t="s">
        <v>10</v>
      </c>
      <c r="D805" s="109" t="s">
        <v>3</v>
      </c>
      <c r="E805" s="109" t="s">
        <v>3</v>
      </c>
      <c r="F805" s="110">
        <f>F806</f>
        <v>1204628.17</v>
      </c>
      <c r="G805" s="110">
        <f>G806</f>
        <v>1204628.17</v>
      </c>
      <c r="I805" s="125">
        <v>1185628.17</v>
      </c>
      <c r="J805" s="125">
        <v>1185628.17</v>
      </c>
      <c r="L805" s="125">
        <f t="shared" si="36"/>
        <v>-19000</v>
      </c>
      <c r="M805" s="125">
        <f t="shared" si="37"/>
        <v>-19000</v>
      </c>
    </row>
    <row r="806" spans="1:13" ht="15.75" outlineLevel="5">
      <c r="A806" s="108" t="s">
        <v>688</v>
      </c>
      <c r="B806" s="109" t="s">
        <v>399</v>
      </c>
      <c r="C806" s="109" t="s">
        <v>10</v>
      </c>
      <c r="D806" s="109" t="s">
        <v>187</v>
      </c>
      <c r="E806" s="109" t="s">
        <v>22</v>
      </c>
      <c r="F806" s="110">
        <f>Приложение_6!F910</f>
        <v>1204628.17</v>
      </c>
      <c r="G806" s="110">
        <f>F806</f>
        <v>1204628.17</v>
      </c>
      <c r="I806" s="125">
        <v>1185628.17</v>
      </c>
      <c r="J806" s="125">
        <v>1185628.17</v>
      </c>
      <c r="L806" s="125">
        <f t="shared" si="36"/>
        <v>-19000</v>
      </c>
      <c r="M806" s="125">
        <f t="shared" si="37"/>
        <v>-19000</v>
      </c>
    </row>
    <row r="807" spans="1:13" ht="63" outlineLevel="4">
      <c r="A807" s="108" t="s">
        <v>693</v>
      </c>
      <c r="B807" s="109" t="s">
        <v>399</v>
      </c>
      <c r="C807" s="109" t="s">
        <v>17</v>
      </c>
      <c r="D807" s="109" t="s">
        <v>3</v>
      </c>
      <c r="E807" s="109" t="s">
        <v>3</v>
      </c>
      <c r="F807" s="110">
        <f>F808</f>
        <v>116871.82999999999</v>
      </c>
      <c r="G807" s="110">
        <f>G808</f>
        <v>116871.82999999999</v>
      </c>
      <c r="I807" s="125">
        <v>135871.83</v>
      </c>
      <c r="J807" s="125">
        <v>135871.83</v>
      </c>
      <c r="L807" s="125">
        <f t="shared" si="36"/>
        <v>19000</v>
      </c>
      <c r="M807" s="125">
        <f t="shared" si="37"/>
        <v>19000</v>
      </c>
    </row>
    <row r="808" spans="1:13" ht="15.75" outlineLevel="5">
      <c r="A808" s="108" t="s">
        <v>688</v>
      </c>
      <c r="B808" s="109" t="s">
        <v>399</v>
      </c>
      <c r="C808" s="109" t="s">
        <v>17</v>
      </c>
      <c r="D808" s="109" t="s">
        <v>187</v>
      </c>
      <c r="E808" s="109" t="s">
        <v>22</v>
      </c>
      <c r="F808" s="110">
        <f>Приложение_6!F911</f>
        <v>116871.82999999999</v>
      </c>
      <c r="G808" s="110">
        <f>F808</f>
        <v>116871.82999999999</v>
      </c>
      <c r="I808" s="125">
        <v>135871.83</v>
      </c>
      <c r="J808" s="125">
        <v>135871.83</v>
      </c>
      <c r="L808" s="125">
        <f t="shared" si="36"/>
        <v>19000</v>
      </c>
      <c r="M808" s="125">
        <f t="shared" si="37"/>
        <v>19000</v>
      </c>
    </row>
    <row r="809" spans="1:13" ht="189" outlineLevel="2">
      <c r="A809" s="108" t="s">
        <v>608</v>
      </c>
      <c r="B809" s="109" t="s">
        <v>400</v>
      </c>
      <c r="C809" s="109" t="s">
        <v>1</v>
      </c>
      <c r="D809" s="109" t="s">
        <v>3</v>
      </c>
      <c r="E809" s="109" t="s">
        <v>3</v>
      </c>
      <c r="F809" s="110">
        <f>F810</f>
        <v>145200</v>
      </c>
      <c r="G809" s="110">
        <f>G810</f>
        <v>145200</v>
      </c>
      <c r="I809" s="125">
        <v>145200</v>
      </c>
      <c r="J809" s="125">
        <v>145200</v>
      </c>
      <c r="L809" s="125">
        <f t="shared" si="36"/>
        <v>0</v>
      </c>
      <c r="M809" s="125">
        <f t="shared" si="37"/>
        <v>0</v>
      </c>
    </row>
    <row r="810" spans="1:13" ht="189" outlineLevel="3">
      <c r="A810" s="108" t="s">
        <v>485</v>
      </c>
      <c r="B810" s="109" t="s">
        <v>401</v>
      </c>
      <c r="C810" s="109" t="s">
        <v>1</v>
      </c>
      <c r="D810" s="109" t="s">
        <v>3</v>
      </c>
      <c r="E810" s="109" t="s">
        <v>3</v>
      </c>
      <c r="F810" s="110">
        <f>F811+F813</f>
        <v>145200</v>
      </c>
      <c r="G810" s="110">
        <f>G811+G813</f>
        <v>145200</v>
      </c>
      <c r="I810" s="125">
        <v>145200</v>
      </c>
      <c r="J810" s="125">
        <v>145200</v>
      </c>
      <c r="L810" s="125">
        <f t="shared" si="36"/>
        <v>0</v>
      </c>
      <c r="M810" s="125">
        <f t="shared" si="37"/>
        <v>0</v>
      </c>
    </row>
    <row r="811" spans="1:13" ht="141.75" outlineLevel="4">
      <c r="A811" s="108" t="s">
        <v>1202</v>
      </c>
      <c r="B811" s="109" t="s">
        <v>401</v>
      </c>
      <c r="C811" s="109" t="s">
        <v>10</v>
      </c>
      <c r="D811" s="109" t="s">
        <v>3</v>
      </c>
      <c r="E811" s="109" t="s">
        <v>3</v>
      </c>
      <c r="F811" s="110">
        <f>F812</f>
        <v>128488.7</v>
      </c>
      <c r="G811" s="110">
        <f>G812</f>
        <v>128488.7</v>
      </c>
      <c r="I811" s="125">
        <v>128488.7</v>
      </c>
      <c r="J811" s="125">
        <v>128488.7</v>
      </c>
      <c r="L811" s="125">
        <f t="shared" si="36"/>
        <v>0</v>
      </c>
      <c r="M811" s="125">
        <f t="shared" si="37"/>
        <v>0</v>
      </c>
    </row>
    <row r="812" spans="1:13" ht="15.75" outlineLevel="5">
      <c r="A812" s="108" t="s">
        <v>688</v>
      </c>
      <c r="B812" s="109" t="s">
        <v>401</v>
      </c>
      <c r="C812" s="109" t="s">
        <v>10</v>
      </c>
      <c r="D812" s="109" t="s">
        <v>187</v>
      </c>
      <c r="E812" s="109" t="s">
        <v>22</v>
      </c>
      <c r="F812" s="110">
        <f>Приложение_6!F914</f>
        <v>128488.7</v>
      </c>
      <c r="G812" s="110">
        <f>F812</f>
        <v>128488.7</v>
      </c>
      <c r="I812" s="125">
        <v>128488.7</v>
      </c>
      <c r="J812" s="125">
        <v>128488.7</v>
      </c>
      <c r="L812" s="125">
        <f t="shared" si="36"/>
        <v>0</v>
      </c>
      <c r="M812" s="125">
        <f t="shared" si="37"/>
        <v>0</v>
      </c>
    </row>
    <row r="813" spans="1:13" ht="63" outlineLevel="4">
      <c r="A813" s="108" t="s">
        <v>693</v>
      </c>
      <c r="B813" s="109" t="s">
        <v>401</v>
      </c>
      <c r="C813" s="109" t="s">
        <v>17</v>
      </c>
      <c r="D813" s="109" t="s">
        <v>3</v>
      </c>
      <c r="E813" s="109" t="s">
        <v>3</v>
      </c>
      <c r="F813" s="110">
        <f>F814</f>
        <v>16711.3</v>
      </c>
      <c r="G813" s="110">
        <f>G814</f>
        <v>16711.3</v>
      </c>
      <c r="I813" s="125">
        <v>16711.3</v>
      </c>
      <c r="J813" s="125">
        <v>16711.3</v>
      </c>
      <c r="L813" s="125">
        <f t="shared" si="36"/>
        <v>0</v>
      </c>
      <c r="M813" s="125">
        <f t="shared" si="37"/>
        <v>0</v>
      </c>
    </row>
    <row r="814" spans="1:13" ht="15.75" outlineLevel="5">
      <c r="A814" s="108" t="s">
        <v>688</v>
      </c>
      <c r="B814" s="109" t="s">
        <v>401</v>
      </c>
      <c r="C814" s="109" t="s">
        <v>17</v>
      </c>
      <c r="D814" s="109" t="s">
        <v>187</v>
      </c>
      <c r="E814" s="109" t="s">
        <v>22</v>
      </c>
      <c r="F814" s="110">
        <f>Приложение_6!F915</f>
        <v>16711.3</v>
      </c>
      <c r="G814" s="110">
        <f>F814</f>
        <v>16711.3</v>
      </c>
      <c r="I814" s="125">
        <v>16711.3</v>
      </c>
      <c r="J814" s="125">
        <v>16711.3</v>
      </c>
      <c r="L814" s="125">
        <f t="shared" si="36"/>
        <v>0</v>
      </c>
      <c r="M814" s="125">
        <f t="shared" si="37"/>
        <v>0</v>
      </c>
    </row>
    <row r="815" spans="1:13" ht="94.5" customHeight="1" outlineLevel="2">
      <c r="A815" s="108" t="s">
        <v>541</v>
      </c>
      <c r="B815" s="109" t="s">
        <v>193</v>
      </c>
      <c r="C815" s="109" t="s">
        <v>1</v>
      </c>
      <c r="D815" s="109" t="s">
        <v>3</v>
      </c>
      <c r="E815" s="109" t="s">
        <v>3</v>
      </c>
      <c r="F815" s="110">
        <f>F816</f>
        <v>36200</v>
      </c>
      <c r="G815" s="110">
        <f>G816</f>
        <v>36200</v>
      </c>
      <c r="I815" s="125">
        <v>36200</v>
      </c>
      <c r="J815" s="125">
        <v>36200</v>
      </c>
      <c r="L815" s="125">
        <f t="shared" si="36"/>
        <v>0</v>
      </c>
      <c r="M815" s="125">
        <f t="shared" si="37"/>
        <v>0</v>
      </c>
    </row>
    <row r="816" spans="1:13" ht="173.25" outlineLevel="3">
      <c r="A816" s="108" t="s">
        <v>457</v>
      </c>
      <c r="B816" s="109" t="s">
        <v>194</v>
      </c>
      <c r="C816" s="109" t="s">
        <v>1</v>
      </c>
      <c r="D816" s="109" t="s">
        <v>3</v>
      </c>
      <c r="E816" s="109" t="s">
        <v>3</v>
      </c>
      <c r="F816" s="110">
        <f>F817+F819</f>
        <v>36200</v>
      </c>
      <c r="G816" s="110">
        <f>G817+G819</f>
        <v>36200</v>
      </c>
      <c r="I816" s="125">
        <v>36200</v>
      </c>
      <c r="J816" s="125">
        <v>36200</v>
      </c>
      <c r="L816" s="125">
        <f t="shared" si="36"/>
        <v>0</v>
      </c>
      <c r="M816" s="125">
        <f t="shared" si="37"/>
        <v>0</v>
      </c>
    </row>
    <row r="817" spans="1:13" ht="141.75" outlineLevel="4">
      <c r="A817" s="108" t="s">
        <v>1202</v>
      </c>
      <c r="B817" s="109" t="s">
        <v>194</v>
      </c>
      <c r="C817" s="109" t="s">
        <v>10</v>
      </c>
      <c r="D817" s="109" t="s">
        <v>3</v>
      </c>
      <c r="E817" s="109" t="s">
        <v>3</v>
      </c>
      <c r="F817" s="110">
        <f>F818</f>
        <v>32122.44</v>
      </c>
      <c r="G817" s="110">
        <f>G818</f>
        <v>32122.44</v>
      </c>
      <c r="I817" s="125">
        <v>32122.44</v>
      </c>
      <c r="J817" s="125">
        <v>32122.44</v>
      </c>
      <c r="L817" s="125">
        <f t="shared" si="36"/>
        <v>0</v>
      </c>
      <c r="M817" s="125">
        <f t="shared" si="37"/>
        <v>0</v>
      </c>
    </row>
    <row r="818" spans="1:13" ht="31.5" outlineLevel="5">
      <c r="A818" s="108" t="s">
        <v>675</v>
      </c>
      <c r="B818" s="109" t="s">
        <v>194</v>
      </c>
      <c r="C818" s="109" t="s">
        <v>10</v>
      </c>
      <c r="D818" s="109" t="s">
        <v>22</v>
      </c>
      <c r="E818" s="109" t="s">
        <v>192</v>
      </c>
      <c r="F818" s="110">
        <f>Приложение_6!F413</f>
        <v>32122.44</v>
      </c>
      <c r="G818" s="110">
        <f>F818</f>
        <v>32122.44</v>
      </c>
      <c r="I818" s="125">
        <v>32122.44</v>
      </c>
      <c r="J818" s="125">
        <v>32122.44</v>
      </c>
      <c r="L818" s="125">
        <f t="shared" si="36"/>
        <v>0</v>
      </c>
      <c r="M818" s="125">
        <f t="shared" si="37"/>
        <v>0</v>
      </c>
    </row>
    <row r="819" spans="1:13" ht="63" outlineLevel="4">
      <c r="A819" s="108" t="s">
        <v>693</v>
      </c>
      <c r="B819" s="109" t="s">
        <v>194</v>
      </c>
      <c r="C819" s="109" t="s">
        <v>17</v>
      </c>
      <c r="D819" s="109" t="s">
        <v>3</v>
      </c>
      <c r="E819" s="109" t="s">
        <v>3</v>
      </c>
      <c r="F819" s="110">
        <f>F820</f>
        <v>4077.56</v>
      </c>
      <c r="G819" s="110">
        <f>G820</f>
        <v>4077.56</v>
      </c>
      <c r="I819" s="125">
        <v>4077.56</v>
      </c>
      <c r="J819" s="125">
        <v>4077.56</v>
      </c>
      <c r="L819" s="125">
        <f t="shared" si="36"/>
        <v>0</v>
      </c>
      <c r="M819" s="125">
        <f t="shared" si="37"/>
        <v>0</v>
      </c>
    </row>
    <row r="820" spans="1:13" ht="31.5" outlineLevel="5">
      <c r="A820" s="108" t="s">
        <v>675</v>
      </c>
      <c r="B820" s="109" t="s">
        <v>194</v>
      </c>
      <c r="C820" s="109" t="s">
        <v>17</v>
      </c>
      <c r="D820" s="109" t="s">
        <v>22</v>
      </c>
      <c r="E820" s="109" t="s">
        <v>192</v>
      </c>
      <c r="F820" s="110">
        <f>Приложение_6!F414</f>
        <v>4077.56</v>
      </c>
      <c r="G820" s="110">
        <f>F820</f>
        <v>4077.56</v>
      </c>
      <c r="I820" s="125">
        <v>4077.56</v>
      </c>
      <c r="J820" s="125">
        <v>4077.56</v>
      </c>
      <c r="L820" s="125">
        <f t="shared" si="36"/>
        <v>0</v>
      </c>
      <c r="M820" s="125">
        <f t="shared" si="37"/>
        <v>0</v>
      </c>
    </row>
    <row r="821" spans="1:13" ht="94.5" outlineLevel="1">
      <c r="A821" s="115" t="s">
        <v>617</v>
      </c>
      <c r="B821" s="116" t="s">
        <v>51</v>
      </c>
      <c r="C821" s="116" t="s">
        <v>1</v>
      </c>
      <c r="D821" s="116" t="s">
        <v>3</v>
      </c>
      <c r="E821" s="116" t="s">
        <v>3</v>
      </c>
      <c r="F821" s="117">
        <f>F822+F834+F838+F842+F846</f>
        <v>16022699.86</v>
      </c>
      <c r="G821" s="117"/>
      <c r="I821" s="125">
        <v>16600699.86</v>
      </c>
      <c r="L821" s="125">
        <f t="shared" si="36"/>
        <v>578000</v>
      </c>
      <c r="M821" s="125">
        <f t="shared" si="37"/>
        <v>0</v>
      </c>
    </row>
    <row r="822" spans="1:13" ht="47.25" outlineLevel="2">
      <c r="A822" s="108" t="s">
        <v>497</v>
      </c>
      <c r="B822" s="109" t="s">
        <v>52</v>
      </c>
      <c r="C822" s="109" t="s">
        <v>1</v>
      </c>
      <c r="D822" s="109" t="s">
        <v>3</v>
      </c>
      <c r="E822" s="109" t="s">
        <v>3</v>
      </c>
      <c r="F822" s="110">
        <f>F823+F826+F831</f>
        <v>12046134.84</v>
      </c>
      <c r="G822" s="110"/>
      <c r="I822" s="125">
        <v>12044134.84</v>
      </c>
      <c r="L822" s="125">
        <f t="shared" si="36"/>
        <v>-2000</v>
      </c>
      <c r="M822" s="125">
        <f t="shared" si="37"/>
        <v>0</v>
      </c>
    </row>
    <row r="823" spans="1:13" ht="63" outlineLevel="3">
      <c r="A823" s="108" t="s">
        <v>434</v>
      </c>
      <c r="B823" s="109" t="s">
        <v>53</v>
      </c>
      <c r="C823" s="109" t="s">
        <v>1</v>
      </c>
      <c r="D823" s="109" t="s">
        <v>3</v>
      </c>
      <c r="E823" s="109" t="s">
        <v>3</v>
      </c>
      <c r="F823" s="110">
        <f>F824</f>
        <v>11794269.84</v>
      </c>
      <c r="G823" s="110"/>
      <c r="I823" s="125">
        <v>11794269.84</v>
      </c>
      <c r="L823" s="125">
        <f t="shared" si="36"/>
        <v>0</v>
      </c>
      <c r="M823" s="125">
        <f t="shared" si="37"/>
        <v>0</v>
      </c>
    </row>
    <row r="824" spans="1:13" ht="141.75" outlineLevel="4">
      <c r="A824" s="108" t="s">
        <v>1202</v>
      </c>
      <c r="B824" s="109" t="s">
        <v>53</v>
      </c>
      <c r="C824" s="109" t="s">
        <v>10</v>
      </c>
      <c r="D824" s="109" t="s">
        <v>3</v>
      </c>
      <c r="E824" s="109" t="s">
        <v>3</v>
      </c>
      <c r="F824" s="110">
        <f>F825</f>
        <v>11794269.84</v>
      </c>
      <c r="G824" s="110"/>
      <c r="I824" s="125">
        <v>11794269.84</v>
      </c>
      <c r="L824" s="125">
        <f t="shared" si="36"/>
        <v>0</v>
      </c>
      <c r="M824" s="125">
        <f t="shared" si="37"/>
        <v>0</v>
      </c>
    </row>
    <row r="825" spans="1:13" ht="126" outlineLevel="5">
      <c r="A825" s="108" t="s">
        <v>665</v>
      </c>
      <c r="B825" s="109" t="s">
        <v>53</v>
      </c>
      <c r="C825" s="109" t="s">
        <v>10</v>
      </c>
      <c r="D825" s="109" t="s">
        <v>2</v>
      </c>
      <c r="E825" s="109" t="s">
        <v>22</v>
      </c>
      <c r="F825" s="110">
        <f>Приложение_6!F101</f>
        <v>11794269.84</v>
      </c>
      <c r="G825" s="110"/>
      <c r="I825" s="125">
        <v>11794269.84</v>
      </c>
      <c r="L825" s="125">
        <f t="shared" si="36"/>
        <v>0</v>
      </c>
      <c r="M825" s="125">
        <f t="shared" si="37"/>
        <v>0</v>
      </c>
    </row>
    <row r="826" spans="1:13" ht="47.25" outlineLevel="3">
      <c r="A826" s="108" t="s">
        <v>430</v>
      </c>
      <c r="B826" s="109" t="s">
        <v>54</v>
      </c>
      <c r="C826" s="109" t="s">
        <v>1</v>
      </c>
      <c r="D826" s="109" t="s">
        <v>3</v>
      </c>
      <c r="E826" s="109" t="s">
        <v>3</v>
      </c>
      <c r="F826" s="110">
        <f>F827+F829</f>
        <v>2900</v>
      </c>
      <c r="G826" s="110"/>
      <c r="I826" s="121">
        <v>900</v>
      </c>
      <c r="L826" s="125">
        <f t="shared" si="36"/>
        <v>-2000</v>
      </c>
      <c r="M826" s="125">
        <f t="shared" si="37"/>
        <v>0</v>
      </c>
    </row>
    <row r="827" spans="1:13" ht="141.75" outlineLevel="4">
      <c r="A827" s="108" t="s">
        <v>1202</v>
      </c>
      <c r="B827" s="109" t="s">
        <v>54</v>
      </c>
      <c r="C827" s="109" t="s">
        <v>10</v>
      </c>
      <c r="D827" s="109" t="s">
        <v>3</v>
      </c>
      <c r="E827" s="109" t="s">
        <v>3</v>
      </c>
      <c r="F827" s="110">
        <f>F828</f>
        <v>900</v>
      </c>
      <c r="G827" s="110"/>
      <c r="I827" s="121">
        <v>900</v>
      </c>
      <c r="L827" s="125">
        <f t="shared" si="36"/>
        <v>0</v>
      </c>
      <c r="M827" s="125">
        <f t="shared" si="37"/>
        <v>0</v>
      </c>
    </row>
    <row r="828" spans="1:13" ht="126" outlineLevel="5">
      <c r="A828" s="108" t="s">
        <v>665</v>
      </c>
      <c r="B828" s="109" t="s">
        <v>54</v>
      </c>
      <c r="C828" s="109" t="s">
        <v>10</v>
      </c>
      <c r="D828" s="109" t="s">
        <v>2</v>
      </c>
      <c r="E828" s="109" t="s">
        <v>22</v>
      </c>
      <c r="F828" s="110">
        <f>Приложение_6!F103</f>
        <v>900</v>
      </c>
      <c r="G828" s="110"/>
      <c r="I828" s="121">
        <v>900</v>
      </c>
      <c r="L828" s="125">
        <f t="shared" si="36"/>
        <v>0</v>
      </c>
      <c r="M828" s="125">
        <f t="shared" si="37"/>
        <v>0</v>
      </c>
    </row>
    <row r="829" spans="1:13" ht="63" outlineLevel="5">
      <c r="A829" s="76" t="s">
        <v>693</v>
      </c>
      <c r="B829" s="109" t="s">
        <v>54</v>
      </c>
      <c r="C829" s="109" t="s">
        <v>17</v>
      </c>
      <c r="D829" s="109" t="s">
        <v>3</v>
      </c>
      <c r="E829" s="109" t="s">
        <v>3</v>
      </c>
      <c r="F829" s="110">
        <f>F830</f>
        <v>2000</v>
      </c>
      <c r="G829" s="110"/>
      <c r="L829" s="125"/>
      <c r="M829" s="125"/>
    </row>
    <row r="830" spans="1:13" ht="126" outlineLevel="5">
      <c r="A830" s="108" t="s">
        <v>665</v>
      </c>
      <c r="B830" s="109" t="s">
        <v>54</v>
      </c>
      <c r="C830" s="109" t="s">
        <v>17</v>
      </c>
      <c r="D830" s="109" t="s">
        <v>2</v>
      </c>
      <c r="E830" s="109" t="s">
        <v>22</v>
      </c>
      <c r="F830" s="110">
        <f>'Приложение_7 '!G305</f>
        <v>2000</v>
      </c>
      <c r="G830" s="110"/>
      <c r="L830" s="125"/>
      <c r="M830" s="125"/>
    </row>
    <row r="831" spans="1:13" ht="126" outlineLevel="3">
      <c r="A831" s="108" t="s">
        <v>432</v>
      </c>
      <c r="B831" s="109" t="s">
        <v>55</v>
      </c>
      <c r="C831" s="109" t="s">
        <v>1</v>
      </c>
      <c r="D831" s="109" t="s">
        <v>3</v>
      </c>
      <c r="E831" s="109" t="s">
        <v>3</v>
      </c>
      <c r="F831" s="110">
        <f>F832</f>
        <v>248965</v>
      </c>
      <c r="G831" s="110"/>
      <c r="I831" s="125">
        <v>248965</v>
      </c>
      <c r="L831" s="125">
        <f t="shared" si="36"/>
        <v>0</v>
      </c>
      <c r="M831" s="125">
        <f t="shared" si="37"/>
        <v>0</v>
      </c>
    </row>
    <row r="832" spans="1:13" ht="141.75" outlineLevel="4">
      <c r="A832" s="108" t="s">
        <v>1202</v>
      </c>
      <c r="B832" s="109" t="s">
        <v>55</v>
      </c>
      <c r="C832" s="109" t="s">
        <v>10</v>
      </c>
      <c r="D832" s="109" t="s">
        <v>3</v>
      </c>
      <c r="E832" s="109" t="s">
        <v>3</v>
      </c>
      <c r="F832" s="110">
        <f>F833</f>
        <v>248965</v>
      </c>
      <c r="G832" s="110"/>
      <c r="I832" s="125">
        <v>248965</v>
      </c>
      <c r="L832" s="125">
        <f t="shared" si="36"/>
        <v>0</v>
      </c>
      <c r="M832" s="125">
        <f t="shared" si="37"/>
        <v>0</v>
      </c>
    </row>
    <row r="833" spans="1:13" ht="126" outlineLevel="5">
      <c r="A833" s="108" t="s">
        <v>665</v>
      </c>
      <c r="B833" s="109" t="s">
        <v>55</v>
      </c>
      <c r="C833" s="109" t="s">
        <v>10</v>
      </c>
      <c r="D833" s="109" t="s">
        <v>2</v>
      </c>
      <c r="E833" s="109" t="s">
        <v>22</v>
      </c>
      <c r="F833" s="110">
        <f>Приложение_6!F106</f>
        <v>248965</v>
      </c>
      <c r="G833" s="110"/>
      <c r="I833" s="125">
        <v>248965</v>
      </c>
      <c r="L833" s="125">
        <f t="shared" si="36"/>
        <v>0</v>
      </c>
      <c r="M833" s="125">
        <f t="shared" si="37"/>
        <v>0</v>
      </c>
    </row>
    <row r="834" spans="1:13" ht="126" outlineLevel="2">
      <c r="A834" s="108" t="s">
        <v>542</v>
      </c>
      <c r="B834" s="109" t="s">
        <v>195</v>
      </c>
      <c r="C834" s="109" t="s">
        <v>1</v>
      </c>
      <c r="D834" s="109" t="s">
        <v>3</v>
      </c>
      <c r="E834" s="109" t="s">
        <v>3</v>
      </c>
      <c r="F834" s="110">
        <f>F835</f>
        <v>1494624</v>
      </c>
      <c r="G834" s="110"/>
      <c r="I834" s="125">
        <v>4141040</v>
      </c>
      <c r="L834" s="125">
        <f t="shared" si="36"/>
        <v>2646416</v>
      </c>
      <c r="M834" s="125">
        <f t="shared" si="37"/>
        <v>0</v>
      </c>
    </row>
    <row r="835" spans="1:13" ht="47.25" outlineLevel="3">
      <c r="A835" s="108" t="s">
        <v>458</v>
      </c>
      <c r="B835" s="109" t="s">
        <v>196</v>
      </c>
      <c r="C835" s="109" t="s">
        <v>1</v>
      </c>
      <c r="D835" s="109" t="s">
        <v>3</v>
      </c>
      <c r="E835" s="109" t="s">
        <v>3</v>
      </c>
      <c r="F835" s="110">
        <f>F836</f>
        <v>1494624</v>
      </c>
      <c r="G835" s="110"/>
      <c r="I835" s="125">
        <v>4141040</v>
      </c>
      <c r="L835" s="125">
        <f t="shared" si="36"/>
        <v>2646416</v>
      </c>
      <c r="M835" s="125">
        <f t="shared" si="37"/>
        <v>0</v>
      </c>
    </row>
    <row r="836" spans="1:13" ht="63" outlineLevel="4">
      <c r="A836" s="108" t="s">
        <v>693</v>
      </c>
      <c r="B836" s="109" t="s">
        <v>196</v>
      </c>
      <c r="C836" s="109" t="s">
        <v>17</v>
      </c>
      <c r="D836" s="109" t="s">
        <v>3</v>
      </c>
      <c r="E836" s="109" t="s">
        <v>3</v>
      </c>
      <c r="F836" s="110">
        <f>F837</f>
        <v>1494624</v>
      </c>
      <c r="G836" s="110"/>
      <c r="I836" s="125">
        <v>4141040</v>
      </c>
      <c r="L836" s="125">
        <f t="shared" si="36"/>
        <v>2646416</v>
      </c>
      <c r="M836" s="125">
        <f t="shared" si="37"/>
        <v>0</v>
      </c>
    </row>
    <row r="837" spans="1:13" ht="31.5" outlineLevel="5">
      <c r="A837" s="108" t="s">
        <v>675</v>
      </c>
      <c r="B837" s="109" t="s">
        <v>196</v>
      </c>
      <c r="C837" s="109" t="s">
        <v>17</v>
      </c>
      <c r="D837" s="109" t="s">
        <v>22</v>
      </c>
      <c r="E837" s="109" t="s">
        <v>192</v>
      </c>
      <c r="F837" s="110">
        <f>Приложение_6!F418</f>
        <v>1494624</v>
      </c>
      <c r="G837" s="110"/>
      <c r="I837" s="125">
        <v>4141040</v>
      </c>
      <c r="L837" s="125">
        <f t="shared" si="36"/>
        <v>2646416</v>
      </c>
      <c r="M837" s="125">
        <f t="shared" si="37"/>
        <v>0</v>
      </c>
    </row>
    <row r="838" spans="1:13" ht="126" outlineLevel="2">
      <c r="A838" s="108" t="s">
        <v>515</v>
      </c>
      <c r="B838" s="109" t="s">
        <v>113</v>
      </c>
      <c r="C838" s="109" t="s">
        <v>1</v>
      </c>
      <c r="D838" s="109" t="s">
        <v>3</v>
      </c>
      <c r="E838" s="109" t="s">
        <v>3</v>
      </c>
      <c r="F838" s="110">
        <f>F839</f>
        <v>181941.02000000002</v>
      </c>
      <c r="G838" s="110"/>
      <c r="I838" s="125">
        <v>415525.02</v>
      </c>
      <c r="L838" s="125">
        <f t="shared" si="36"/>
        <v>233584</v>
      </c>
      <c r="M838" s="125">
        <f t="shared" si="37"/>
        <v>0</v>
      </c>
    </row>
    <row r="839" spans="1:13" ht="94.5" outlineLevel="3">
      <c r="A839" s="108" t="s">
        <v>446</v>
      </c>
      <c r="B839" s="109" t="s">
        <v>114</v>
      </c>
      <c r="C839" s="109" t="s">
        <v>1</v>
      </c>
      <c r="D839" s="109" t="s">
        <v>3</v>
      </c>
      <c r="E839" s="109" t="s">
        <v>3</v>
      </c>
      <c r="F839" s="110">
        <f>F840</f>
        <v>181941.02000000002</v>
      </c>
      <c r="G839" s="110"/>
      <c r="I839" s="125">
        <v>415525.02</v>
      </c>
      <c r="L839" s="125">
        <f t="shared" si="36"/>
        <v>233584</v>
      </c>
      <c r="M839" s="125">
        <f t="shared" si="37"/>
        <v>0</v>
      </c>
    </row>
    <row r="840" spans="1:13" ht="63" outlineLevel="4">
      <c r="A840" s="108" t="s">
        <v>693</v>
      </c>
      <c r="B840" s="109" t="s">
        <v>114</v>
      </c>
      <c r="C840" s="109" t="s">
        <v>17</v>
      </c>
      <c r="D840" s="109" t="s">
        <v>3</v>
      </c>
      <c r="E840" s="109" t="s">
        <v>3</v>
      </c>
      <c r="F840" s="110">
        <f>F841</f>
        <v>181941.02000000002</v>
      </c>
      <c r="G840" s="110"/>
      <c r="I840" s="125">
        <v>415525.02</v>
      </c>
      <c r="L840" s="125">
        <f t="shared" si="36"/>
        <v>233584</v>
      </c>
      <c r="M840" s="125">
        <f t="shared" si="37"/>
        <v>0</v>
      </c>
    </row>
    <row r="841" spans="1:13" ht="31.5" outlineLevel="5">
      <c r="A841" s="108" t="s">
        <v>668</v>
      </c>
      <c r="B841" s="109" t="s">
        <v>114</v>
      </c>
      <c r="C841" s="109" t="s">
        <v>17</v>
      </c>
      <c r="D841" s="109" t="s">
        <v>2</v>
      </c>
      <c r="E841" s="109" t="s">
        <v>66</v>
      </c>
      <c r="F841" s="110">
        <f>Приложение_6!F225</f>
        <v>181941.02000000002</v>
      </c>
      <c r="G841" s="110"/>
      <c r="I841" s="125">
        <v>415525.02</v>
      </c>
      <c r="L841" s="125">
        <f t="shared" si="36"/>
        <v>233584</v>
      </c>
      <c r="M841" s="125">
        <f t="shared" si="37"/>
        <v>0</v>
      </c>
    </row>
    <row r="842" spans="1:13" ht="204.75" outlineLevel="5">
      <c r="A842" s="76" t="s">
        <v>1228</v>
      </c>
      <c r="B842" s="77" t="s">
        <v>1229</v>
      </c>
      <c r="C842" s="77" t="s">
        <v>1</v>
      </c>
      <c r="D842" s="109" t="s">
        <v>3</v>
      </c>
      <c r="E842" s="109" t="s">
        <v>3</v>
      </c>
      <c r="F842" s="110">
        <f>F843</f>
        <v>1800000</v>
      </c>
      <c r="G842" s="110"/>
      <c r="I842" s="125"/>
      <c r="L842" s="125"/>
      <c r="M842" s="125"/>
    </row>
    <row r="843" spans="1:13" ht="47.25" outlineLevel="5">
      <c r="A843" s="76" t="s">
        <v>458</v>
      </c>
      <c r="B843" s="77" t="s">
        <v>1230</v>
      </c>
      <c r="C843" s="77" t="s">
        <v>1</v>
      </c>
      <c r="D843" s="109" t="s">
        <v>3</v>
      </c>
      <c r="E843" s="109" t="s">
        <v>3</v>
      </c>
      <c r="F843" s="110">
        <f>F844</f>
        <v>1800000</v>
      </c>
      <c r="G843" s="110"/>
      <c r="I843" s="125"/>
      <c r="L843" s="125"/>
      <c r="M843" s="125"/>
    </row>
    <row r="844" spans="1:13" ht="63" outlineLevel="5">
      <c r="A844" s="76" t="s">
        <v>693</v>
      </c>
      <c r="B844" s="77" t="s">
        <v>1230</v>
      </c>
      <c r="C844" s="77" t="s">
        <v>17</v>
      </c>
      <c r="D844" s="109" t="s">
        <v>3</v>
      </c>
      <c r="E844" s="109" t="s">
        <v>3</v>
      </c>
      <c r="F844" s="110">
        <f>F845</f>
        <v>1800000</v>
      </c>
      <c r="G844" s="110"/>
      <c r="I844" s="125"/>
      <c r="L844" s="125"/>
      <c r="M844" s="125"/>
    </row>
    <row r="845" spans="1:13" ht="31.5" outlineLevel="5">
      <c r="A845" s="108" t="s">
        <v>675</v>
      </c>
      <c r="B845" s="77" t="s">
        <v>1230</v>
      </c>
      <c r="C845" s="77" t="s">
        <v>17</v>
      </c>
      <c r="D845" s="109" t="s">
        <v>22</v>
      </c>
      <c r="E845" s="109" t="s">
        <v>192</v>
      </c>
      <c r="F845" s="110">
        <f>Приложение_6!F421</f>
        <v>1800000</v>
      </c>
      <c r="G845" s="110"/>
      <c r="I845" s="125"/>
      <c r="L845" s="125"/>
      <c r="M845" s="125"/>
    </row>
    <row r="846" spans="1:13" ht="126" outlineLevel="5">
      <c r="A846" s="108" t="s">
        <v>1291</v>
      </c>
      <c r="B846" s="77" t="s">
        <v>1292</v>
      </c>
      <c r="C846" s="77" t="s">
        <v>1</v>
      </c>
      <c r="D846" s="109" t="s">
        <v>3</v>
      </c>
      <c r="E846" s="109" t="s">
        <v>3</v>
      </c>
      <c r="F846" s="110">
        <f>F847</f>
        <v>500000</v>
      </c>
      <c r="G846" s="110"/>
      <c r="I846" s="125"/>
      <c r="L846" s="125"/>
      <c r="M846" s="125"/>
    </row>
    <row r="847" spans="1:13" ht="47.25" outlineLevel="5">
      <c r="A847" s="76" t="s">
        <v>458</v>
      </c>
      <c r="B847" s="77" t="s">
        <v>1293</v>
      </c>
      <c r="C847" s="77" t="s">
        <v>1</v>
      </c>
      <c r="D847" s="109" t="s">
        <v>3</v>
      </c>
      <c r="E847" s="109" t="s">
        <v>3</v>
      </c>
      <c r="F847" s="110">
        <f>F848</f>
        <v>500000</v>
      </c>
      <c r="G847" s="110"/>
      <c r="I847" s="125"/>
      <c r="L847" s="125"/>
      <c r="M847" s="125"/>
    </row>
    <row r="848" spans="1:13" ht="63" outlineLevel="5">
      <c r="A848" s="76" t="s">
        <v>693</v>
      </c>
      <c r="B848" s="77" t="s">
        <v>1293</v>
      </c>
      <c r="C848" s="77" t="s">
        <v>17</v>
      </c>
      <c r="D848" s="109" t="s">
        <v>3</v>
      </c>
      <c r="E848" s="109" t="s">
        <v>3</v>
      </c>
      <c r="F848" s="110">
        <f>F849</f>
        <v>500000</v>
      </c>
      <c r="G848" s="110"/>
      <c r="I848" s="125"/>
      <c r="L848" s="125"/>
      <c r="M848" s="125"/>
    </row>
    <row r="849" spans="1:13" ht="31.5" outlineLevel="5">
      <c r="A849" s="108" t="s">
        <v>675</v>
      </c>
      <c r="B849" s="77" t="s">
        <v>1293</v>
      </c>
      <c r="C849" s="77" t="s">
        <v>17</v>
      </c>
      <c r="D849" s="109" t="s">
        <v>22</v>
      </c>
      <c r="E849" s="109" t="s">
        <v>192</v>
      </c>
      <c r="F849" s="110">
        <f>Приложение_6!F424</f>
        <v>500000</v>
      </c>
      <c r="G849" s="110"/>
      <c r="I849" s="125"/>
      <c r="L849" s="125"/>
      <c r="M849" s="125"/>
    </row>
    <row r="850" spans="1:13" ht="94.5" outlineLevel="1">
      <c r="A850" s="115" t="s">
        <v>618</v>
      </c>
      <c r="B850" s="116" t="s">
        <v>56</v>
      </c>
      <c r="C850" s="116" t="s">
        <v>1</v>
      </c>
      <c r="D850" s="116" t="s">
        <v>3</v>
      </c>
      <c r="E850" s="116" t="s">
        <v>3</v>
      </c>
      <c r="F850" s="117">
        <f>F851</f>
        <v>7864886.96</v>
      </c>
      <c r="G850" s="117"/>
      <c r="I850" s="125">
        <v>7864886.96</v>
      </c>
      <c r="L850" s="125">
        <f t="shared" si="36"/>
        <v>0</v>
      </c>
      <c r="M850" s="125">
        <f t="shared" si="37"/>
        <v>0</v>
      </c>
    </row>
    <row r="851" spans="1:13" ht="78.75" outlineLevel="2">
      <c r="A851" s="108" t="s">
        <v>498</v>
      </c>
      <c r="B851" s="109" t="s">
        <v>57</v>
      </c>
      <c r="C851" s="109" t="s">
        <v>1</v>
      </c>
      <c r="D851" s="109" t="s">
        <v>3</v>
      </c>
      <c r="E851" s="109" t="s">
        <v>3</v>
      </c>
      <c r="F851" s="110">
        <f>F852+F855</f>
        <v>7864886.96</v>
      </c>
      <c r="G851" s="110"/>
      <c r="I851" s="125">
        <v>7864886.96</v>
      </c>
      <c r="L851" s="125">
        <f t="shared" si="36"/>
        <v>0</v>
      </c>
      <c r="M851" s="125">
        <f t="shared" si="37"/>
        <v>0</v>
      </c>
    </row>
    <row r="852" spans="1:13" ht="63" outlineLevel="3">
      <c r="A852" s="108" t="s">
        <v>434</v>
      </c>
      <c r="B852" s="109" t="s">
        <v>58</v>
      </c>
      <c r="C852" s="109" t="s">
        <v>1</v>
      </c>
      <c r="D852" s="109" t="s">
        <v>3</v>
      </c>
      <c r="E852" s="109" t="s">
        <v>3</v>
      </c>
      <c r="F852" s="110">
        <f>F853</f>
        <v>7759523.42</v>
      </c>
      <c r="G852" s="110"/>
      <c r="I852" s="125">
        <v>7759523.42</v>
      </c>
      <c r="L852" s="125">
        <f t="shared" si="36"/>
        <v>0</v>
      </c>
      <c r="M852" s="125">
        <f t="shared" si="37"/>
        <v>0</v>
      </c>
    </row>
    <row r="853" spans="1:13" ht="141.75" outlineLevel="4">
      <c r="A853" s="108" t="s">
        <v>1202</v>
      </c>
      <c r="B853" s="109" t="s">
        <v>58</v>
      </c>
      <c r="C853" s="109" t="s">
        <v>10</v>
      </c>
      <c r="D853" s="109" t="s">
        <v>3</v>
      </c>
      <c r="E853" s="109" t="s">
        <v>3</v>
      </c>
      <c r="F853" s="110">
        <f>F854</f>
        <v>7759523.42</v>
      </c>
      <c r="G853" s="110"/>
      <c r="I853" s="125">
        <v>7759523.42</v>
      </c>
      <c r="L853" s="125">
        <f t="shared" si="36"/>
        <v>0</v>
      </c>
      <c r="M853" s="125">
        <f t="shared" si="37"/>
        <v>0</v>
      </c>
    </row>
    <row r="854" spans="1:13" ht="126" outlineLevel="5">
      <c r="A854" s="108" t="s">
        <v>665</v>
      </c>
      <c r="B854" s="109" t="s">
        <v>58</v>
      </c>
      <c r="C854" s="109" t="s">
        <v>10</v>
      </c>
      <c r="D854" s="109" t="s">
        <v>2</v>
      </c>
      <c r="E854" s="109" t="s">
        <v>22</v>
      </c>
      <c r="F854" s="110">
        <f>Приложение_6!F110</f>
        <v>7759523.42</v>
      </c>
      <c r="G854" s="110"/>
      <c r="I854" s="125">
        <v>7759523.42</v>
      </c>
      <c r="L854" s="125">
        <f t="shared" si="36"/>
        <v>0</v>
      </c>
      <c r="M854" s="125">
        <f t="shared" si="37"/>
        <v>0</v>
      </c>
    </row>
    <row r="855" spans="1:13" ht="126" outlineLevel="3">
      <c r="A855" s="108" t="s">
        <v>432</v>
      </c>
      <c r="B855" s="109" t="s">
        <v>59</v>
      </c>
      <c r="C855" s="109" t="s">
        <v>1</v>
      </c>
      <c r="D855" s="109" t="s">
        <v>3</v>
      </c>
      <c r="E855" s="109" t="s">
        <v>3</v>
      </c>
      <c r="F855" s="110">
        <f>F856</f>
        <v>105363.54</v>
      </c>
      <c r="G855" s="110"/>
      <c r="I855" s="125">
        <v>105363.54</v>
      </c>
      <c r="L855" s="125">
        <f t="shared" si="36"/>
        <v>0</v>
      </c>
      <c r="M855" s="125">
        <f t="shared" si="37"/>
        <v>0</v>
      </c>
    </row>
    <row r="856" spans="1:13" ht="141.75" outlineLevel="4">
      <c r="A856" s="108" t="s">
        <v>1202</v>
      </c>
      <c r="B856" s="109" t="s">
        <v>59</v>
      </c>
      <c r="C856" s="109" t="s">
        <v>10</v>
      </c>
      <c r="D856" s="109" t="s">
        <v>3</v>
      </c>
      <c r="E856" s="109" t="s">
        <v>3</v>
      </c>
      <c r="F856" s="110">
        <f>F857</f>
        <v>105363.54</v>
      </c>
      <c r="G856" s="110"/>
      <c r="I856" s="125">
        <v>105363.54</v>
      </c>
      <c r="L856" s="125">
        <f t="shared" si="36"/>
        <v>0</v>
      </c>
      <c r="M856" s="125">
        <f t="shared" si="37"/>
        <v>0</v>
      </c>
    </row>
    <row r="857" spans="1:13" ht="126" outlineLevel="5">
      <c r="A857" s="108" t="s">
        <v>665</v>
      </c>
      <c r="B857" s="109" t="s">
        <v>59</v>
      </c>
      <c r="C857" s="109" t="s">
        <v>10</v>
      </c>
      <c r="D857" s="109" t="s">
        <v>2</v>
      </c>
      <c r="E857" s="109" t="s">
        <v>22</v>
      </c>
      <c r="F857" s="110">
        <f>Приложение_6!F112</f>
        <v>105363.54</v>
      </c>
      <c r="G857" s="110"/>
      <c r="I857" s="125">
        <v>105363.54</v>
      </c>
      <c r="L857" s="125">
        <f t="shared" si="36"/>
        <v>0</v>
      </c>
      <c r="M857" s="125">
        <f t="shared" si="37"/>
        <v>0</v>
      </c>
    </row>
    <row r="858" spans="1:13" ht="31.5" outlineLevel="1">
      <c r="A858" s="115" t="s">
        <v>626</v>
      </c>
      <c r="B858" s="116" t="s">
        <v>115</v>
      </c>
      <c r="C858" s="116" t="s">
        <v>1</v>
      </c>
      <c r="D858" s="116" t="s">
        <v>3</v>
      </c>
      <c r="E858" s="116" t="s">
        <v>3</v>
      </c>
      <c r="F858" s="117">
        <f>F859</f>
        <v>8050035.49</v>
      </c>
      <c r="G858" s="117"/>
      <c r="I858" s="125">
        <v>8050035.49</v>
      </c>
      <c r="L858" s="125">
        <f t="shared" si="36"/>
        <v>0</v>
      </c>
      <c r="M858" s="125">
        <f t="shared" si="37"/>
        <v>0</v>
      </c>
    </row>
    <row r="859" spans="1:13" ht="63" outlineLevel="2">
      <c r="A859" s="108" t="s">
        <v>516</v>
      </c>
      <c r="B859" s="109" t="s">
        <v>116</v>
      </c>
      <c r="C859" s="109" t="s">
        <v>1</v>
      </c>
      <c r="D859" s="109" t="s">
        <v>3</v>
      </c>
      <c r="E859" s="109" t="s">
        <v>3</v>
      </c>
      <c r="F859" s="110">
        <f>F860+F865</f>
        <v>8050035.49</v>
      </c>
      <c r="G859" s="110"/>
      <c r="I859" s="125">
        <v>8050035.49</v>
      </c>
      <c r="L859" s="125">
        <f t="shared" si="36"/>
        <v>0</v>
      </c>
      <c r="M859" s="125">
        <f t="shared" si="37"/>
        <v>0</v>
      </c>
    </row>
    <row r="860" spans="1:13" ht="126" outlineLevel="3">
      <c r="A860" s="108" t="s">
        <v>443</v>
      </c>
      <c r="B860" s="109" t="s">
        <v>117</v>
      </c>
      <c r="C860" s="109" t="s">
        <v>1</v>
      </c>
      <c r="D860" s="109" t="s">
        <v>3</v>
      </c>
      <c r="E860" s="109" t="s">
        <v>3</v>
      </c>
      <c r="F860" s="110">
        <f>F861+F863</f>
        <v>7907648.49</v>
      </c>
      <c r="G860" s="110"/>
      <c r="I860" s="125">
        <v>7907648.49</v>
      </c>
      <c r="L860" s="125">
        <f t="shared" si="36"/>
        <v>0</v>
      </c>
      <c r="M860" s="125">
        <f t="shared" si="37"/>
        <v>0</v>
      </c>
    </row>
    <row r="861" spans="1:13" ht="141.75" outlineLevel="4">
      <c r="A861" s="108" t="s">
        <v>1202</v>
      </c>
      <c r="B861" s="109" t="s">
        <v>117</v>
      </c>
      <c r="C861" s="109" t="s">
        <v>10</v>
      </c>
      <c r="D861" s="109" t="s">
        <v>3</v>
      </c>
      <c r="E861" s="109" t="s">
        <v>3</v>
      </c>
      <c r="F861" s="110">
        <f>F862</f>
        <v>6312377.99</v>
      </c>
      <c r="G861" s="110"/>
      <c r="I861" s="125">
        <v>6312377.99</v>
      </c>
      <c r="L861" s="125">
        <f t="shared" si="36"/>
        <v>0</v>
      </c>
      <c r="M861" s="125">
        <f t="shared" si="37"/>
        <v>0</v>
      </c>
    </row>
    <row r="862" spans="1:13" ht="31.5" outlineLevel="5">
      <c r="A862" s="108" t="s">
        <v>668</v>
      </c>
      <c r="B862" s="109" t="s">
        <v>117</v>
      </c>
      <c r="C862" s="109" t="s">
        <v>10</v>
      </c>
      <c r="D862" s="109" t="s">
        <v>2</v>
      </c>
      <c r="E862" s="109" t="s">
        <v>66</v>
      </c>
      <c r="F862" s="110">
        <f>Приложение_6!F229</f>
        <v>6312377.99</v>
      </c>
      <c r="G862" s="110"/>
      <c r="I862" s="125">
        <v>6312377.99</v>
      </c>
      <c r="L862" s="125">
        <f t="shared" si="36"/>
        <v>0</v>
      </c>
      <c r="M862" s="125">
        <f t="shared" si="37"/>
        <v>0</v>
      </c>
    </row>
    <row r="863" spans="1:13" ht="63" outlineLevel="4">
      <c r="A863" s="108" t="s">
        <v>693</v>
      </c>
      <c r="B863" s="109" t="s">
        <v>117</v>
      </c>
      <c r="C863" s="109" t="s">
        <v>17</v>
      </c>
      <c r="D863" s="109" t="s">
        <v>3</v>
      </c>
      <c r="E863" s="109" t="s">
        <v>3</v>
      </c>
      <c r="F863" s="110">
        <f>F864</f>
        <v>1595270.5</v>
      </c>
      <c r="G863" s="110"/>
      <c r="I863" s="125">
        <v>1595270.5</v>
      </c>
      <c r="L863" s="125">
        <f t="shared" si="36"/>
        <v>0</v>
      </c>
      <c r="M863" s="125">
        <f t="shared" si="37"/>
        <v>0</v>
      </c>
    </row>
    <row r="864" spans="1:13" ht="31.5" outlineLevel="5">
      <c r="A864" s="108" t="s">
        <v>668</v>
      </c>
      <c r="B864" s="109" t="s">
        <v>117</v>
      </c>
      <c r="C864" s="109" t="s">
        <v>17</v>
      </c>
      <c r="D864" s="109" t="s">
        <v>2</v>
      </c>
      <c r="E864" s="109" t="s">
        <v>66</v>
      </c>
      <c r="F864" s="110">
        <f>Приложение_6!F230</f>
        <v>1595270.5</v>
      </c>
      <c r="G864" s="110"/>
      <c r="I864" s="125">
        <v>1595270.5</v>
      </c>
      <c r="L864" s="125">
        <f t="shared" si="36"/>
        <v>0</v>
      </c>
      <c r="M864" s="125">
        <f t="shared" si="37"/>
        <v>0</v>
      </c>
    </row>
    <row r="865" spans="1:13" ht="126" outlineLevel="3">
      <c r="A865" s="108" t="s">
        <v>432</v>
      </c>
      <c r="B865" s="109" t="s">
        <v>118</v>
      </c>
      <c r="C865" s="109" t="s">
        <v>1</v>
      </c>
      <c r="D865" s="109" t="s">
        <v>3</v>
      </c>
      <c r="E865" s="109" t="s">
        <v>3</v>
      </c>
      <c r="F865" s="110">
        <f>F866</f>
        <v>142387</v>
      </c>
      <c r="G865" s="110"/>
      <c r="I865" s="125">
        <v>142387</v>
      </c>
      <c r="L865" s="125">
        <f t="shared" si="36"/>
        <v>0</v>
      </c>
      <c r="M865" s="125">
        <f t="shared" si="37"/>
        <v>0</v>
      </c>
    </row>
    <row r="866" spans="1:13" ht="141.75" outlineLevel="4">
      <c r="A866" s="108" t="s">
        <v>1202</v>
      </c>
      <c r="B866" s="109" t="s">
        <v>118</v>
      </c>
      <c r="C866" s="109" t="s">
        <v>10</v>
      </c>
      <c r="D866" s="109" t="s">
        <v>3</v>
      </c>
      <c r="E866" s="109" t="s">
        <v>3</v>
      </c>
      <c r="F866" s="110">
        <f>F867</f>
        <v>142387</v>
      </c>
      <c r="G866" s="110"/>
      <c r="I866" s="125">
        <v>142387</v>
      </c>
      <c r="L866" s="125">
        <f t="shared" si="36"/>
        <v>0</v>
      </c>
      <c r="M866" s="125">
        <f t="shared" si="37"/>
        <v>0</v>
      </c>
    </row>
    <row r="867" spans="1:13" ht="31.5" outlineLevel="5">
      <c r="A867" s="108" t="s">
        <v>668</v>
      </c>
      <c r="B867" s="109" t="s">
        <v>118</v>
      </c>
      <c r="C867" s="109" t="s">
        <v>10</v>
      </c>
      <c r="D867" s="109" t="s">
        <v>2</v>
      </c>
      <c r="E867" s="109" t="s">
        <v>66</v>
      </c>
      <c r="F867" s="110">
        <f>Приложение_6!F232</f>
        <v>142387</v>
      </c>
      <c r="G867" s="110"/>
      <c r="I867" s="125">
        <v>142387</v>
      </c>
      <c r="L867" s="125">
        <f t="shared" si="36"/>
        <v>0</v>
      </c>
      <c r="M867" s="125">
        <f t="shared" si="37"/>
        <v>0</v>
      </c>
    </row>
    <row r="868" spans="1:13" ht="110.25" customHeight="1" outlineLevel="1">
      <c r="A868" s="115" t="s">
        <v>627</v>
      </c>
      <c r="B868" s="116" t="s">
        <v>119</v>
      </c>
      <c r="C868" s="116" t="s">
        <v>1</v>
      </c>
      <c r="D868" s="116" t="s">
        <v>3</v>
      </c>
      <c r="E868" s="116" t="s">
        <v>3</v>
      </c>
      <c r="F868" s="117">
        <f>F869+F880+F884+F890+F896</f>
        <v>28409365.49</v>
      </c>
      <c r="G868" s="117"/>
      <c r="I868" s="125">
        <v>27264965.49</v>
      </c>
      <c r="L868" s="125">
        <f t="shared" si="36"/>
        <v>-1144400</v>
      </c>
      <c r="M868" s="125">
        <f t="shared" si="37"/>
        <v>0</v>
      </c>
    </row>
    <row r="869" spans="1:13" ht="159.75" customHeight="1" outlineLevel="2">
      <c r="A869" s="108" t="s">
        <v>517</v>
      </c>
      <c r="B869" s="109" t="s">
        <v>120</v>
      </c>
      <c r="C869" s="109" t="s">
        <v>1</v>
      </c>
      <c r="D869" s="109" t="s">
        <v>3</v>
      </c>
      <c r="E869" s="109" t="s">
        <v>3</v>
      </c>
      <c r="F869" s="110">
        <f>F870+F877</f>
        <v>20196796.09</v>
      </c>
      <c r="G869" s="110"/>
      <c r="I869" s="125">
        <v>19184396.09</v>
      </c>
      <c r="L869" s="125">
        <f t="shared" si="36"/>
        <v>-1012400</v>
      </c>
      <c r="M869" s="125">
        <f t="shared" si="37"/>
        <v>0</v>
      </c>
    </row>
    <row r="870" spans="1:13" ht="126" outlineLevel="3">
      <c r="A870" s="108" t="s">
        <v>443</v>
      </c>
      <c r="B870" s="109" t="s">
        <v>121</v>
      </c>
      <c r="C870" s="109" t="s">
        <v>1</v>
      </c>
      <c r="D870" s="109" t="s">
        <v>3</v>
      </c>
      <c r="E870" s="109" t="s">
        <v>3</v>
      </c>
      <c r="F870" s="110">
        <f>F871+F873+F875</f>
        <v>19751490.51</v>
      </c>
      <c r="G870" s="110"/>
      <c r="I870" s="125">
        <v>18739090.51</v>
      </c>
      <c r="L870" s="125">
        <f t="shared" si="36"/>
        <v>-1012400</v>
      </c>
      <c r="M870" s="125">
        <f t="shared" si="37"/>
        <v>0</v>
      </c>
    </row>
    <row r="871" spans="1:13" ht="141.75" outlineLevel="4">
      <c r="A871" s="108" t="s">
        <v>1202</v>
      </c>
      <c r="B871" s="109" t="s">
        <v>121</v>
      </c>
      <c r="C871" s="109" t="s">
        <v>10</v>
      </c>
      <c r="D871" s="109" t="s">
        <v>3</v>
      </c>
      <c r="E871" s="109" t="s">
        <v>3</v>
      </c>
      <c r="F871" s="110">
        <f>F872</f>
        <v>18566169.360000003</v>
      </c>
      <c r="G871" s="110"/>
      <c r="I871" s="125">
        <v>17709740.98</v>
      </c>
      <c r="L871" s="125">
        <f t="shared" si="36"/>
        <v>-856428.3800000027</v>
      </c>
      <c r="M871" s="125">
        <f t="shared" si="37"/>
        <v>0</v>
      </c>
    </row>
    <row r="872" spans="1:13" ht="31.5" outlineLevel="5">
      <c r="A872" s="108" t="s">
        <v>668</v>
      </c>
      <c r="B872" s="109" t="s">
        <v>121</v>
      </c>
      <c r="C872" s="109" t="s">
        <v>10</v>
      </c>
      <c r="D872" s="109" t="s">
        <v>2</v>
      </c>
      <c r="E872" s="109" t="s">
        <v>66</v>
      </c>
      <c r="F872" s="110">
        <f>Приложение_6!F236</f>
        <v>18566169.360000003</v>
      </c>
      <c r="G872" s="110"/>
      <c r="I872" s="125">
        <v>17709740.98</v>
      </c>
      <c r="L872" s="125">
        <f t="shared" si="36"/>
        <v>-856428.3800000027</v>
      </c>
      <c r="M872" s="125">
        <f t="shared" si="37"/>
        <v>0</v>
      </c>
    </row>
    <row r="873" spans="1:13" ht="63" outlineLevel="4">
      <c r="A873" s="108" t="s">
        <v>693</v>
      </c>
      <c r="B873" s="109" t="s">
        <v>121</v>
      </c>
      <c r="C873" s="109" t="s">
        <v>17</v>
      </c>
      <c r="D873" s="109" t="s">
        <v>3</v>
      </c>
      <c r="E873" s="109" t="s">
        <v>3</v>
      </c>
      <c r="F873" s="110">
        <f>F874</f>
        <v>1182521.15</v>
      </c>
      <c r="G873" s="110"/>
      <c r="I873" s="125">
        <v>1029349.53</v>
      </c>
      <c r="L873" s="125">
        <f t="shared" si="36"/>
        <v>-153171.61999999988</v>
      </c>
      <c r="M873" s="125">
        <f t="shared" si="37"/>
        <v>0</v>
      </c>
    </row>
    <row r="874" spans="1:13" ht="31.5" outlineLevel="5">
      <c r="A874" s="108" t="s">
        <v>668</v>
      </c>
      <c r="B874" s="109" t="s">
        <v>121</v>
      </c>
      <c r="C874" s="109" t="s">
        <v>17</v>
      </c>
      <c r="D874" s="109" t="s">
        <v>2</v>
      </c>
      <c r="E874" s="109" t="s">
        <v>66</v>
      </c>
      <c r="F874" s="110">
        <f>Приложение_6!F237</f>
        <v>1182521.15</v>
      </c>
      <c r="G874" s="110"/>
      <c r="I874" s="125">
        <v>1029349.53</v>
      </c>
      <c r="L874" s="125">
        <f t="shared" si="36"/>
        <v>-153171.61999999988</v>
      </c>
      <c r="M874" s="125">
        <f t="shared" si="37"/>
        <v>0</v>
      </c>
    </row>
    <row r="875" spans="1:13" ht="31.5" outlineLevel="5">
      <c r="A875" s="19" t="s">
        <v>695</v>
      </c>
      <c r="B875" s="109" t="s">
        <v>121</v>
      </c>
      <c r="C875" s="109" t="s">
        <v>65</v>
      </c>
      <c r="D875" s="109" t="s">
        <v>3</v>
      </c>
      <c r="E875" s="109" t="s">
        <v>3</v>
      </c>
      <c r="F875" s="110">
        <f>F876</f>
        <v>2800</v>
      </c>
      <c r="G875" s="110"/>
      <c r="I875" s="125"/>
      <c r="L875" s="125"/>
      <c r="M875" s="125"/>
    </row>
    <row r="876" spans="1:13" ht="31.5" outlineLevel="5">
      <c r="A876" s="108" t="s">
        <v>668</v>
      </c>
      <c r="B876" s="109" t="s">
        <v>121</v>
      </c>
      <c r="C876" s="109" t="s">
        <v>65</v>
      </c>
      <c r="D876" s="109" t="s">
        <v>2</v>
      </c>
      <c r="E876" s="109" t="s">
        <v>66</v>
      </c>
      <c r="F876" s="110">
        <f>Приложение_6!F238</f>
        <v>2800</v>
      </c>
      <c r="G876" s="110"/>
      <c r="I876" s="125"/>
      <c r="L876" s="125"/>
      <c r="M876" s="125"/>
    </row>
    <row r="877" spans="1:13" ht="126" outlineLevel="3">
      <c r="A877" s="108" t="s">
        <v>432</v>
      </c>
      <c r="B877" s="109" t="s">
        <v>122</v>
      </c>
      <c r="C877" s="109" t="s">
        <v>1</v>
      </c>
      <c r="D877" s="109" t="s">
        <v>3</v>
      </c>
      <c r="E877" s="109" t="s">
        <v>3</v>
      </c>
      <c r="F877" s="110">
        <f>F878</f>
        <v>445305.58</v>
      </c>
      <c r="G877" s="110"/>
      <c r="I877" s="125">
        <v>445305.58</v>
      </c>
      <c r="L877" s="125">
        <f aca="true" t="shared" si="38" ref="L877:L945">I877-F877</f>
        <v>0</v>
      </c>
      <c r="M877" s="125">
        <f aca="true" t="shared" si="39" ref="M877:M945">J877-G877</f>
        <v>0</v>
      </c>
    </row>
    <row r="878" spans="1:13" ht="141.75" outlineLevel="4">
      <c r="A878" s="108" t="s">
        <v>1202</v>
      </c>
      <c r="B878" s="109" t="s">
        <v>122</v>
      </c>
      <c r="C878" s="109" t="s">
        <v>10</v>
      </c>
      <c r="D878" s="109" t="s">
        <v>3</v>
      </c>
      <c r="E878" s="109" t="s">
        <v>3</v>
      </c>
      <c r="F878" s="110">
        <f>F879</f>
        <v>445305.58</v>
      </c>
      <c r="G878" s="110"/>
      <c r="I878" s="125">
        <v>445305.58</v>
      </c>
      <c r="L878" s="125">
        <f t="shared" si="38"/>
        <v>0</v>
      </c>
      <c r="M878" s="125">
        <f t="shared" si="39"/>
        <v>0</v>
      </c>
    </row>
    <row r="879" spans="1:13" ht="31.5" outlineLevel="5">
      <c r="A879" s="108" t="s">
        <v>668</v>
      </c>
      <c r="B879" s="109" t="s">
        <v>122</v>
      </c>
      <c r="C879" s="109" t="s">
        <v>10</v>
      </c>
      <c r="D879" s="109" t="s">
        <v>2</v>
      </c>
      <c r="E879" s="109" t="s">
        <v>66</v>
      </c>
      <c r="F879" s="110">
        <f>Приложение_6!F240</f>
        <v>445305.58</v>
      </c>
      <c r="G879" s="110"/>
      <c r="I879" s="125">
        <v>445305.58</v>
      </c>
      <c r="L879" s="125">
        <f t="shared" si="38"/>
        <v>0</v>
      </c>
      <c r="M879" s="125">
        <f t="shared" si="39"/>
        <v>0</v>
      </c>
    </row>
    <row r="880" spans="1:13" ht="94.5" outlineLevel="2">
      <c r="A880" s="108" t="s">
        <v>518</v>
      </c>
      <c r="B880" s="109" t="s">
        <v>123</v>
      </c>
      <c r="C880" s="109" t="s">
        <v>1</v>
      </c>
      <c r="D880" s="109" t="s">
        <v>3</v>
      </c>
      <c r="E880" s="109" t="s">
        <v>3</v>
      </c>
      <c r="F880" s="110">
        <f>F881</f>
        <v>35908</v>
      </c>
      <c r="G880" s="110"/>
      <c r="I880" s="125">
        <v>35908</v>
      </c>
      <c r="L880" s="125">
        <f t="shared" si="38"/>
        <v>0</v>
      </c>
      <c r="M880" s="125">
        <f t="shared" si="39"/>
        <v>0</v>
      </c>
    </row>
    <row r="881" spans="1:13" ht="126" outlineLevel="3">
      <c r="A881" s="108" t="s">
        <v>443</v>
      </c>
      <c r="B881" s="109" t="s">
        <v>124</v>
      </c>
      <c r="C881" s="109" t="s">
        <v>1</v>
      </c>
      <c r="D881" s="109" t="s">
        <v>3</v>
      </c>
      <c r="E881" s="109" t="s">
        <v>3</v>
      </c>
      <c r="F881" s="110">
        <f>F882</f>
        <v>35908</v>
      </c>
      <c r="G881" s="110"/>
      <c r="I881" s="125">
        <v>35908</v>
      </c>
      <c r="L881" s="125">
        <f t="shared" si="38"/>
        <v>0</v>
      </c>
      <c r="M881" s="125">
        <f t="shared" si="39"/>
        <v>0</v>
      </c>
    </row>
    <row r="882" spans="1:13" ht="63" outlineLevel="4">
      <c r="A882" s="108" t="s">
        <v>693</v>
      </c>
      <c r="B882" s="109" t="s">
        <v>124</v>
      </c>
      <c r="C882" s="109" t="s">
        <v>17</v>
      </c>
      <c r="D882" s="109" t="s">
        <v>3</v>
      </c>
      <c r="E882" s="109" t="s">
        <v>3</v>
      </c>
      <c r="F882" s="110">
        <f>F883</f>
        <v>35908</v>
      </c>
      <c r="G882" s="110"/>
      <c r="I882" s="125">
        <v>35908</v>
      </c>
      <c r="L882" s="125">
        <f t="shared" si="38"/>
        <v>0</v>
      </c>
      <c r="M882" s="125">
        <f t="shared" si="39"/>
        <v>0</v>
      </c>
    </row>
    <row r="883" spans="1:13" ht="31.5" outlineLevel="5">
      <c r="A883" s="108" t="s">
        <v>668</v>
      </c>
      <c r="B883" s="109" t="s">
        <v>124</v>
      </c>
      <c r="C883" s="109" t="s">
        <v>17</v>
      </c>
      <c r="D883" s="109" t="s">
        <v>2</v>
      </c>
      <c r="E883" s="109" t="s">
        <v>66</v>
      </c>
      <c r="F883" s="110">
        <f>Приложение_6!F243</f>
        <v>35908</v>
      </c>
      <c r="G883" s="110"/>
      <c r="I883" s="125">
        <v>35908</v>
      </c>
      <c r="L883" s="125">
        <f t="shared" si="38"/>
        <v>0</v>
      </c>
      <c r="M883" s="125">
        <f t="shared" si="39"/>
        <v>0</v>
      </c>
    </row>
    <row r="884" spans="1:13" ht="78.75" outlineLevel="2">
      <c r="A884" s="108" t="s">
        <v>519</v>
      </c>
      <c r="B884" s="109" t="s">
        <v>125</v>
      </c>
      <c r="C884" s="109" t="s">
        <v>1</v>
      </c>
      <c r="D884" s="109" t="s">
        <v>3</v>
      </c>
      <c r="E884" s="109" t="s">
        <v>3</v>
      </c>
      <c r="F884" s="110">
        <f>F885</f>
        <v>5588721.359999999</v>
      </c>
      <c r="G884" s="110"/>
      <c r="I884" s="125">
        <v>5588721.36</v>
      </c>
      <c r="L884" s="125">
        <f t="shared" si="38"/>
        <v>0</v>
      </c>
      <c r="M884" s="125">
        <f t="shared" si="39"/>
        <v>0</v>
      </c>
    </row>
    <row r="885" spans="1:13" ht="126" outlineLevel="3">
      <c r="A885" s="108" t="s">
        <v>443</v>
      </c>
      <c r="B885" s="109" t="s">
        <v>126</v>
      </c>
      <c r="C885" s="109" t="s">
        <v>1</v>
      </c>
      <c r="D885" s="109" t="s">
        <v>3</v>
      </c>
      <c r="E885" s="109" t="s">
        <v>3</v>
      </c>
      <c r="F885" s="110">
        <f>F886+F888</f>
        <v>5588721.359999999</v>
      </c>
      <c r="G885" s="110"/>
      <c r="I885" s="125">
        <v>5588721.36</v>
      </c>
      <c r="L885" s="125">
        <f t="shared" si="38"/>
        <v>0</v>
      </c>
      <c r="M885" s="125">
        <f t="shared" si="39"/>
        <v>0</v>
      </c>
    </row>
    <row r="886" spans="1:13" ht="141.75" outlineLevel="4">
      <c r="A886" s="108" t="s">
        <v>1202</v>
      </c>
      <c r="B886" s="109" t="s">
        <v>126</v>
      </c>
      <c r="C886" s="109" t="s">
        <v>10</v>
      </c>
      <c r="D886" s="109" t="s">
        <v>3</v>
      </c>
      <c r="E886" s="109" t="s">
        <v>3</v>
      </c>
      <c r="F886" s="110">
        <f>F887</f>
        <v>5040338.6</v>
      </c>
      <c r="G886" s="110"/>
      <c r="I886" s="125">
        <v>5040338.6</v>
      </c>
      <c r="L886" s="125">
        <f t="shared" si="38"/>
        <v>0</v>
      </c>
      <c r="M886" s="125">
        <f t="shared" si="39"/>
        <v>0</v>
      </c>
    </row>
    <row r="887" spans="1:13" ht="31.5" outlineLevel="5">
      <c r="A887" s="108" t="s">
        <v>668</v>
      </c>
      <c r="B887" s="109" t="s">
        <v>126</v>
      </c>
      <c r="C887" s="109" t="s">
        <v>10</v>
      </c>
      <c r="D887" s="109" t="s">
        <v>2</v>
      </c>
      <c r="E887" s="109" t="s">
        <v>66</v>
      </c>
      <c r="F887" s="110">
        <f>Приложение_6!F246</f>
        <v>5040338.6</v>
      </c>
      <c r="G887" s="110"/>
      <c r="I887" s="125">
        <v>5040338.6</v>
      </c>
      <c r="L887" s="125">
        <f t="shared" si="38"/>
        <v>0</v>
      </c>
      <c r="M887" s="125">
        <f t="shared" si="39"/>
        <v>0</v>
      </c>
    </row>
    <row r="888" spans="1:13" ht="63" outlineLevel="4">
      <c r="A888" s="108" t="s">
        <v>693</v>
      </c>
      <c r="B888" s="109" t="s">
        <v>126</v>
      </c>
      <c r="C888" s="109" t="s">
        <v>17</v>
      </c>
      <c r="D888" s="109" t="s">
        <v>3</v>
      </c>
      <c r="E888" s="109" t="s">
        <v>3</v>
      </c>
      <c r="F888" s="110">
        <f>F889</f>
        <v>548382.76</v>
      </c>
      <c r="G888" s="110"/>
      <c r="I888" s="125">
        <v>548382.76</v>
      </c>
      <c r="L888" s="125">
        <f t="shared" si="38"/>
        <v>0</v>
      </c>
      <c r="M888" s="125">
        <f t="shared" si="39"/>
        <v>0</v>
      </c>
    </row>
    <row r="889" spans="1:13" ht="31.5" outlineLevel="5">
      <c r="A889" s="108" t="s">
        <v>668</v>
      </c>
      <c r="B889" s="109" t="s">
        <v>126</v>
      </c>
      <c r="C889" s="109" t="s">
        <v>17</v>
      </c>
      <c r="D889" s="109" t="s">
        <v>2</v>
      </c>
      <c r="E889" s="109" t="s">
        <v>66</v>
      </c>
      <c r="F889" s="110">
        <f>Приложение_6!F247</f>
        <v>548382.76</v>
      </c>
      <c r="G889" s="110"/>
      <c r="I889" s="125">
        <v>548382.76</v>
      </c>
      <c r="L889" s="125">
        <f t="shared" si="38"/>
        <v>0</v>
      </c>
      <c r="M889" s="125">
        <f t="shared" si="39"/>
        <v>0</v>
      </c>
    </row>
    <row r="890" spans="1:13" ht="94.5" customHeight="1" outlineLevel="2">
      <c r="A890" s="108" t="s">
        <v>520</v>
      </c>
      <c r="B890" s="109" t="s">
        <v>127</v>
      </c>
      <c r="C890" s="109" t="s">
        <v>1</v>
      </c>
      <c r="D890" s="109" t="s">
        <v>3</v>
      </c>
      <c r="E890" s="109" t="s">
        <v>3</v>
      </c>
      <c r="F890" s="110">
        <f>F891</f>
        <v>472380</v>
      </c>
      <c r="G890" s="110"/>
      <c r="I890" s="125">
        <v>340380</v>
      </c>
      <c r="L890" s="125">
        <f t="shared" si="38"/>
        <v>-132000</v>
      </c>
      <c r="M890" s="125">
        <f t="shared" si="39"/>
        <v>0</v>
      </c>
    </row>
    <row r="891" spans="1:13" ht="31.5" customHeight="1" outlineLevel="3">
      <c r="A891" s="108" t="s">
        <v>441</v>
      </c>
      <c r="B891" s="109" t="s">
        <v>128</v>
      </c>
      <c r="C891" s="109" t="s">
        <v>1</v>
      </c>
      <c r="D891" s="109" t="s">
        <v>3</v>
      </c>
      <c r="E891" s="109" t="s">
        <v>3</v>
      </c>
      <c r="F891" s="110">
        <f>F892+F894</f>
        <v>472380</v>
      </c>
      <c r="G891" s="110"/>
      <c r="I891" s="125">
        <v>340380</v>
      </c>
      <c r="L891" s="125">
        <f t="shared" si="38"/>
        <v>-132000</v>
      </c>
      <c r="M891" s="125">
        <f t="shared" si="39"/>
        <v>0</v>
      </c>
    </row>
    <row r="892" spans="1:13" ht="31.5" outlineLevel="4">
      <c r="A892" s="108" t="s">
        <v>694</v>
      </c>
      <c r="B892" s="109" t="s">
        <v>128</v>
      </c>
      <c r="C892" s="109" t="s">
        <v>47</v>
      </c>
      <c r="D892" s="109" t="s">
        <v>3</v>
      </c>
      <c r="E892" s="109" t="s">
        <v>3</v>
      </c>
      <c r="F892" s="110">
        <f>F893</f>
        <v>340380</v>
      </c>
      <c r="G892" s="110"/>
      <c r="I892" s="125">
        <v>340380</v>
      </c>
      <c r="L892" s="125">
        <f t="shared" si="38"/>
        <v>0</v>
      </c>
      <c r="M892" s="125">
        <f t="shared" si="39"/>
        <v>0</v>
      </c>
    </row>
    <row r="893" spans="1:13" ht="31.5" outlineLevel="5">
      <c r="A893" s="108" t="s">
        <v>668</v>
      </c>
      <c r="B893" s="109" t="s">
        <v>128</v>
      </c>
      <c r="C893" s="109" t="s">
        <v>47</v>
      </c>
      <c r="D893" s="109" t="s">
        <v>2</v>
      </c>
      <c r="E893" s="109" t="s">
        <v>66</v>
      </c>
      <c r="F893" s="110">
        <f>Приложение_6!F250</f>
        <v>340380</v>
      </c>
      <c r="G893" s="110"/>
      <c r="I893" s="125">
        <v>340380</v>
      </c>
      <c r="L893" s="125">
        <f t="shared" si="38"/>
        <v>0</v>
      </c>
      <c r="M893" s="125">
        <f t="shared" si="39"/>
        <v>0</v>
      </c>
    </row>
    <row r="894" spans="1:13" ht="31.5" outlineLevel="5">
      <c r="A894" s="19" t="s">
        <v>695</v>
      </c>
      <c r="B894" s="109" t="s">
        <v>128</v>
      </c>
      <c r="C894" s="109" t="s">
        <v>65</v>
      </c>
      <c r="D894" s="109" t="s">
        <v>3</v>
      </c>
      <c r="E894" s="109" t="s">
        <v>3</v>
      </c>
      <c r="F894" s="110">
        <f>F895</f>
        <v>132000</v>
      </c>
      <c r="G894" s="110"/>
      <c r="I894" s="125"/>
      <c r="L894" s="125"/>
      <c r="M894" s="125"/>
    </row>
    <row r="895" spans="1:13" ht="31.5" outlineLevel="5">
      <c r="A895" s="108" t="s">
        <v>668</v>
      </c>
      <c r="B895" s="109" t="s">
        <v>128</v>
      </c>
      <c r="C895" s="109" t="s">
        <v>65</v>
      </c>
      <c r="D895" s="109" t="s">
        <v>2</v>
      </c>
      <c r="E895" s="109" t="s">
        <v>66</v>
      </c>
      <c r="F895" s="110">
        <f>Приложение_6!F251</f>
        <v>132000</v>
      </c>
      <c r="G895" s="110"/>
      <c r="I895" s="125"/>
      <c r="L895" s="125"/>
      <c r="M895" s="125"/>
    </row>
    <row r="896" spans="1:13" ht="110.25" outlineLevel="2">
      <c r="A896" s="108" t="s">
        <v>521</v>
      </c>
      <c r="B896" s="109" t="s">
        <v>129</v>
      </c>
      <c r="C896" s="109" t="s">
        <v>1</v>
      </c>
      <c r="D896" s="109" t="s">
        <v>3</v>
      </c>
      <c r="E896" s="109" t="s">
        <v>3</v>
      </c>
      <c r="F896" s="110">
        <f>F897</f>
        <v>2115560.04</v>
      </c>
      <c r="G896" s="110"/>
      <c r="I896" s="125">
        <v>2115560.04</v>
      </c>
      <c r="L896" s="125">
        <f t="shared" si="38"/>
        <v>0</v>
      </c>
      <c r="M896" s="125">
        <f t="shared" si="39"/>
        <v>0</v>
      </c>
    </row>
    <row r="897" spans="1:13" ht="126" outlineLevel="3">
      <c r="A897" s="108" t="s">
        <v>443</v>
      </c>
      <c r="B897" s="109" t="s">
        <v>130</v>
      </c>
      <c r="C897" s="109" t="s">
        <v>1</v>
      </c>
      <c r="D897" s="109" t="s">
        <v>3</v>
      </c>
      <c r="E897" s="109" t="s">
        <v>3</v>
      </c>
      <c r="F897" s="110">
        <f>F898</f>
        <v>2115560.04</v>
      </c>
      <c r="G897" s="110"/>
      <c r="I897" s="125">
        <v>2115560.04</v>
      </c>
      <c r="L897" s="125">
        <f t="shared" si="38"/>
        <v>0</v>
      </c>
      <c r="M897" s="125">
        <f t="shared" si="39"/>
        <v>0</v>
      </c>
    </row>
    <row r="898" spans="1:13" ht="141.75" outlineLevel="4">
      <c r="A898" s="108" t="s">
        <v>1202</v>
      </c>
      <c r="B898" s="109" t="s">
        <v>130</v>
      </c>
      <c r="C898" s="109" t="s">
        <v>10</v>
      </c>
      <c r="D898" s="109" t="s">
        <v>3</v>
      </c>
      <c r="E898" s="109" t="s">
        <v>3</v>
      </c>
      <c r="F898" s="110">
        <f>F899</f>
        <v>2115560.04</v>
      </c>
      <c r="G898" s="110"/>
      <c r="I898" s="125">
        <v>2115560.04</v>
      </c>
      <c r="L898" s="125">
        <f t="shared" si="38"/>
        <v>0</v>
      </c>
      <c r="M898" s="125">
        <f t="shared" si="39"/>
        <v>0</v>
      </c>
    </row>
    <row r="899" spans="1:13" ht="31.5" outlineLevel="5">
      <c r="A899" s="108" t="s">
        <v>668</v>
      </c>
      <c r="B899" s="109" t="s">
        <v>130</v>
      </c>
      <c r="C899" s="109" t="s">
        <v>10</v>
      </c>
      <c r="D899" s="109" t="s">
        <v>2</v>
      </c>
      <c r="E899" s="109" t="s">
        <v>66</v>
      </c>
      <c r="F899" s="110">
        <f>Приложение_6!F254</f>
        <v>2115560.04</v>
      </c>
      <c r="G899" s="110"/>
      <c r="I899" s="125">
        <v>2115560.04</v>
      </c>
      <c r="L899" s="125">
        <f t="shared" si="38"/>
        <v>0</v>
      </c>
      <c r="M899" s="125">
        <f t="shared" si="39"/>
        <v>0</v>
      </c>
    </row>
    <row r="900" spans="1:13" ht="63" outlineLevel="1">
      <c r="A900" s="115" t="s">
        <v>628</v>
      </c>
      <c r="B900" s="116" t="s">
        <v>131</v>
      </c>
      <c r="C900" s="116" t="s">
        <v>1</v>
      </c>
      <c r="D900" s="116" t="s">
        <v>3</v>
      </c>
      <c r="E900" s="116" t="s">
        <v>3</v>
      </c>
      <c r="F900" s="117">
        <f>F901+F912+F923</f>
        <v>33569566.31</v>
      </c>
      <c r="G900" s="117"/>
      <c r="I900" s="125">
        <v>33446282.56</v>
      </c>
      <c r="L900" s="125">
        <f t="shared" si="38"/>
        <v>-123283.75000000373</v>
      </c>
      <c r="M900" s="125">
        <f t="shared" si="39"/>
        <v>0</v>
      </c>
    </row>
    <row r="901" spans="1:13" ht="47.25" outlineLevel="2">
      <c r="A901" s="108" t="s">
        <v>522</v>
      </c>
      <c r="B901" s="109" t="s">
        <v>132</v>
      </c>
      <c r="C901" s="109" t="s">
        <v>1</v>
      </c>
      <c r="D901" s="109" t="s">
        <v>3</v>
      </c>
      <c r="E901" s="109" t="s">
        <v>3</v>
      </c>
      <c r="F901" s="110">
        <f>F902+F909</f>
        <v>9813848.05</v>
      </c>
      <c r="G901" s="110"/>
      <c r="I901" s="125">
        <v>9775521.4</v>
      </c>
      <c r="L901" s="125">
        <f t="shared" si="38"/>
        <v>-38326.65000000037</v>
      </c>
      <c r="M901" s="125">
        <f t="shared" si="39"/>
        <v>0</v>
      </c>
    </row>
    <row r="902" spans="1:13" ht="126" outlineLevel="3">
      <c r="A902" s="108" t="s">
        <v>443</v>
      </c>
      <c r="B902" s="109" t="s">
        <v>133</v>
      </c>
      <c r="C902" s="109" t="s">
        <v>1</v>
      </c>
      <c r="D902" s="109" t="s">
        <v>3</v>
      </c>
      <c r="E902" s="109" t="s">
        <v>3</v>
      </c>
      <c r="F902" s="110">
        <f>F903+F905+F907</f>
        <v>9692926.73</v>
      </c>
      <c r="G902" s="110"/>
      <c r="I902" s="125">
        <v>9693021.4</v>
      </c>
      <c r="L902" s="125">
        <f t="shared" si="38"/>
        <v>94.6699999999255</v>
      </c>
      <c r="M902" s="125">
        <f t="shared" si="39"/>
        <v>0</v>
      </c>
    </row>
    <row r="903" spans="1:13" ht="141.75" outlineLevel="4">
      <c r="A903" s="108" t="s">
        <v>1202</v>
      </c>
      <c r="B903" s="109" t="s">
        <v>133</v>
      </c>
      <c r="C903" s="109" t="s">
        <v>10</v>
      </c>
      <c r="D903" s="109" t="s">
        <v>3</v>
      </c>
      <c r="E903" s="109" t="s">
        <v>3</v>
      </c>
      <c r="F903" s="110">
        <f>F904</f>
        <v>7012313.76</v>
      </c>
      <c r="G903" s="110"/>
      <c r="I903" s="125">
        <v>7012313.76</v>
      </c>
      <c r="L903" s="125">
        <f t="shared" si="38"/>
        <v>0</v>
      </c>
      <c r="M903" s="125">
        <f t="shared" si="39"/>
        <v>0</v>
      </c>
    </row>
    <row r="904" spans="1:13" ht="31.5" outlineLevel="5">
      <c r="A904" s="108" t="s">
        <v>668</v>
      </c>
      <c r="B904" s="109" t="s">
        <v>133</v>
      </c>
      <c r="C904" s="109" t="s">
        <v>10</v>
      </c>
      <c r="D904" s="109" t="s">
        <v>2</v>
      </c>
      <c r="E904" s="109" t="s">
        <v>66</v>
      </c>
      <c r="F904" s="110">
        <f>Приложение_6!F258</f>
        <v>7012313.76</v>
      </c>
      <c r="G904" s="110"/>
      <c r="I904" s="125">
        <v>7012313.76</v>
      </c>
      <c r="L904" s="125">
        <f t="shared" si="38"/>
        <v>0</v>
      </c>
      <c r="M904" s="125">
        <f t="shared" si="39"/>
        <v>0</v>
      </c>
    </row>
    <row r="905" spans="1:13" ht="63" outlineLevel="4">
      <c r="A905" s="108" t="s">
        <v>693</v>
      </c>
      <c r="B905" s="109" t="s">
        <v>133</v>
      </c>
      <c r="C905" s="109" t="s">
        <v>17</v>
      </c>
      <c r="D905" s="109" t="s">
        <v>3</v>
      </c>
      <c r="E905" s="109" t="s">
        <v>3</v>
      </c>
      <c r="F905" s="110">
        <f>F906</f>
        <v>2636813.97</v>
      </c>
      <c r="G905" s="110"/>
      <c r="I905" s="125">
        <v>2636908.64</v>
      </c>
      <c r="L905" s="125">
        <f t="shared" si="38"/>
        <v>94.6699999999255</v>
      </c>
      <c r="M905" s="125">
        <f t="shared" si="39"/>
        <v>0</v>
      </c>
    </row>
    <row r="906" spans="1:13" ht="31.5" outlineLevel="5">
      <c r="A906" s="108" t="s">
        <v>668</v>
      </c>
      <c r="B906" s="109" t="s">
        <v>133</v>
      </c>
      <c r="C906" s="109" t="s">
        <v>17</v>
      </c>
      <c r="D906" s="109" t="s">
        <v>2</v>
      </c>
      <c r="E906" s="109" t="s">
        <v>66</v>
      </c>
      <c r="F906" s="110">
        <f>Приложение_6!F259</f>
        <v>2636813.97</v>
      </c>
      <c r="G906" s="110"/>
      <c r="I906" s="125">
        <v>2636908.64</v>
      </c>
      <c r="L906" s="125">
        <f t="shared" si="38"/>
        <v>94.6699999999255</v>
      </c>
      <c r="M906" s="125">
        <f t="shared" si="39"/>
        <v>0</v>
      </c>
    </row>
    <row r="907" spans="1:13" ht="31.5" outlineLevel="4">
      <c r="A907" s="108" t="s">
        <v>695</v>
      </c>
      <c r="B907" s="109" t="s">
        <v>133</v>
      </c>
      <c r="C907" s="109" t="s">
        <v>65</v>
      </c>
      <c r="D907" s="109" t="s">
        <v>3</v>
      </c>
      <c r="E907" s="109" t="s">
        <v>3</v>
      </c>
      <c r="F907" s="110">
        <f>F908</f>
        <v>43799</v>
      </c>
      <c r="G907" s="110"/>
      <c r="I907" s="125">
        <v>43799</v>
      </c>
      <c r="L907" s="125">
        <f t="shared" si="38"/>
        <v>0</v>
      </c>
      <c r="M907" s="125">
        <f t="shared" si="39"/>
        <v>0</v>
      </c>
    </row>
    <row r="908" spans="1:13" ht="31.5" outlineLevel="5">
      <c r="A908" s="108" t="s">
        <v>668</v>
      </c>
      <c r="B908" s="109" t="s">
        <v>133</v>
      </c>
      <c r="C908" s="109" t="s">
        <v>65</v>
      </c>
      <c r="D908" s="109" t="s">
        <v>2</v>
      </c>
      <c r="E908" s="109" t="s">
        <v>66</v>
      </c>
      <c r="F908" s="110">
        <f>Приложение_6!F260</f>
        <v>43799</v>
      </c>
      <c r="G908" s="110"/>
      <c r="I908" s="125">
        <v>43799</v>
      </c>
      <c r="L908" s="125">
        <f t="shared" si="38"/>
        <v>0</v>
      </c>
      <c r="M908" s="125">
        <f t="shared" si="39"/>
        <v>0</v>
      </c>
    </row>
    <row r="909" spans="1:13" ht="126" outlineLevel="3">
      <c r="A909" s="108" t="s">
        <v>432</v>
      </c>
      <c r="B909" s="109" t="s">
        <v>134</v>
      </c>
      <c r="C909" s="109" t="s">
        <v>1</v>
      </c>
      <c r="D909" s="109" t="s">
        <v>3</v>
      </c>
      <c r="E909" s="109" t="s">
        <v>3</v>
      </c>
      <c r="F909" s="110">
        <f>F910</f>
        <v>120921.32</v>
      </c>
      <c r="G909" s="110"/>
      <c r="I909" s="125">
        <v>82500</v>
      </c>
      <c r="L909" s="125">
        <f t="shared" si="38"/>
        <v>-38421.32000000001</v>
      </c>
      <c r="M909" s="125">
        <f t="shared" si="39"/>
        <v>0</v>
      </c>
    </row>
    <row r="910" spans="1:13" ht="141.75" outlineLevel="4">
      <c r="A910" s="108" t="s">
        <v>1202</v>
      </c>
      <c r="B910" s="109" t="s">
        <v>134</v>
      </c>
      <c r="C910" s="109" t="s">
        <v>10</v>
      </c>
      <c r="D910" s="109" t="s">
        <v>3</v>
      </c>
      <c r="E910" s="109" t="s">
        <v>3</v>
      </c>
      <c r="F910" s="110">
        <f>F911</f>
        <v>120921.32</v>
      </c>
      <c r="G910" s="110"/>
      <c r="I910" s="125">
        <v>82500</v>
      </c>
      <c r="L910" s="125">
        <f t="shared" si="38"/>
        <v>-38421.32000000001</v>
      </c>
      <c r="M910" s="125">
        <f t="shared" si="39"/>
        <v>0</v>
      </c>
    </row>
    <row r="911" spans="1:13" ht="31.5" outlineLevel="5">
      <c r="A911" s="108" t="s">
        <v>668</v>
      </c>
      <c r="B911" s="109" t="s">
        <v>134</v>
      </c>
      <c r="C911" s="109" t="s">
        <v>10</v>
      </c>
      <c r="D911" s="109" t="s">
        <v>2</v>
      </c>
      <c r="E911" s="109" t="s">
        <v>66</v>
      </c>
      <c r="F911" s="110">
        <f>Приложение_6!F262</f>
        <v>120921.32</v>
      </c>
      <c r="G911" s="110"/>
      <c r="I911" s="125">
        <v>82500</v>
      </c>
      <c r="L911" s="125">
        <f t="shared" si="38"/>
        <v>-38421.32000000001</v>
      </c>
      <c r="M911" s="125">
        <f t="shared" si="39"/>
        <v>0</v>
      </c>
    </row>
    <row r="912" spans="1:13" ht="94.5" outlineLevel="2">
      <c r="A912" s="108" t="s">
        <v>523</v>
      </c>
      <c r="B912" s="109" t="s">
        <v>135</v>
      </c>
      <c r="C912" s="109" t="s">
        <v>1</v>
      </c>
      <c r="D912" s="109" t="s">
        <v>3</v>
      </c>
      <c r="E912" s="109" t="s">
        <v>3</v>
      </c>
      <c r="F912" s="110">
        <f>F913+F920</f>
        <v>20595358.24</v>
      </c>
      <c r="G912" s="110"/>
      <c r="I912" s="125">
        <v>20503573.51</v>
      </c>
      <c r="L912" s="125">
        <f t="shared" si="38"/>
        <v>-91784.72999999672</v>
      </c>
      <c r="M912" s="125">
        <f t="shared" si="39"/>
        <v>0</v>
      </c>
    </row>
    <row r="913" spans="1:13" ht="126" outlineLevel="3">
      <c r="A913" s="108" t="s">
        <v>443</v>
      </c>
      <c r="B913" s="109" t="s">
        <v>136</v>
      </c>
      <c r="C913" s="109" t="s">
        <v>1</v>
      </c>
      <c r="D913" s="109" t="s">
        <v>3</v>
      </c>
      <c r="E913" s="109" t="s">
        <v>3</v>
      </c>
      <c r="F913" s="110">
        <f>F914+F916+F918</f>
        <v>20315768.18</v>
      </c>
      <c r="G913" s="110"/>
      <c r="I913" s="125">
        <v>20336073.51</v>
      </c>
      <c r="L913" s="125">
        <f t="shared" si="38"/>
        <v>20305.330000001937</v>
      </c>
      <c r="M913" s="125">
        <f t="shared" si="39"/>
        <v>0</v>
      </c>
    </row>
    <row r="914" spans="1:13" ht="141.75" outlineLevel="4">
      <c r="A914" s="108" t="s">
        <v>1202</v>
      </c>
      <c r="B914" s="109" t="s">
        <v>136</v>
      </c>
      <c r="C914" s="109" t="s">
        <v>10</v>
      </c>
      <c r="D914" s="109" t="s">
        <v>3</v>
      </c>
      <c r="E914" s="109" t="s">
        <v>3</v>
      </c>
      <c r="F914" s="110">
        <f>F915</f>
        <v>11607347.55</v>
      </c>
      <c r="G914" s="110"/>
      <c r="I914" s="125">
        <v>11601322.55</v>
      </c>
      <c r="L914" s="125">
        <f t="shared" si="38"/>
        <v>-6025</v>
      </c>
      <c r="M914" s="125">
        <f t="shared" si="39"/>
        <v>0</v>
      </c>
    </row>
    <row r="915" spans="1:13" ht="31.5" outlineLevel="5">
      <c r="A915" s="108" t="s">
        <v>668</v>
      </c>
      <c r="B915" s="109" t="s">
        <v>136</v>
      </c>
      <c r="C915" s="109" t="s">
        <v>10</v>
      </c>
      <c r="D915" s="109" t="s">
        <v>2</v>
      </c>
      <c r="E915" s="109" t="s">
        <v>66</v>
      </c>
      <c r="F915" s="110">
        <f>Приложение_6!F265</f>
        <v>11607347.55</v>
      </c>
      <c r="G915" s="110"/>
      <c r="I915" s="125">
        <v>11601322.55</v>
      </c>
      <c r="L915" s="125">
        <f t="shared" si="38"/>
        <v>-6025</v>
      </c>
      <c r="M915" s="125">
        <f t="shared" si="39"/>
        <v>0</v>
      </c>
    </row>
    <row r="916" spans="1:13" ht="63" outlineLevel="4">
      <c r="A916" s="108" t="s">
        <v>693</v>
      </c>
      <c r="B916" s="109" t="s">
        <v>136</v>
      </c>
      <c r="C916" s="109" t="s">
        <v>17</v>
      </c>
      <c r="D916" s="109" t="s">
        <v>3</v>
      </c>
      <c r="E916" s="109" t="s">
        <v>3</v>
      </c>
      <c r="F916" s="110">
        <f>F917</f>
        <v>8679767.63</v>
      </c>
      <c r="G916" s="110"/>
      <c r="I916" s="125">
        <v>8706362.96</v>
      </c>
      <c r="L916" s="125">
        <f t="shared" si="38"/>
        <v>26595.330000000075</v>
      </c>
      <c r="M916" s="125">
        <f t="shared" si="39"/>
        <v>0</v>
      </c>
    </row>
    <row r="917" spans="1:13" ht="31.5" outlineLevel="5">
      <c r="A917" s="108" t="s">
        <v>668</v>
      </c>
      <c r="B917" s="109" t="s">
        <v>136</v>
      </c>
      <c r="C917" s="109" t="s">
        <v>17</v>
      </c>
      <c r="D917" s="109" t="s">
        <v>2</v>
      </c>
      <c r="E917" s="109" t="s">
        <v>66</v>
      </c>
      <c r="F917" s="110">
        <f>Приложение_6!F266</f>
        <v>8679767.63</v>
      </c>
      <c r="G917" s="110"/>
      <c r="I917" s="125">
        <v>8706362.96</v>
      </c>
      <c r="L917" s="125">
        <f t="shared" si="38"/>
        <v>26595.330000000075</v>
      </c>
      <c r="M917" s="125">
        <f t="shared" si="39"/>
        <v>0</v>
      </c>
    </row>
    <row r="918" spans="1:13" ht="31.5" outlineLevel="4">
      <c r="A918" s="108" t="s">
        <v>695</v>
      </c>
      <c r="B918" s="109" t="s">
        <v>136</v>
      </c>
      <c r="C918" s="109" t="s">
        <v>65</v>
      </c>
      <c r="D918" s="109" t="s">
        <v>3</v>
      </c>
      <c r="E918" s="109" t="s">
        <v>3</v>
      </c>
      <c r="F918" s="110">
        <f>F919</f>
        <v>28653</v>
      </c>
      <c r="G918" s="110"/>
      <c r="I918" s="125">
        <v>28388</v>
      </c>
      <c r="L918" s="125">
        <f t="shared" si="38"/>
        <v>-265</v>
      </c>
      <c r="M918" s="125">
        <f t="shared" si="39"/>
        <v>0</v>
      </c>
    </row>
    <row r="919" spans="1:13" ht="31.5" outlineLevel="5">
      <c r="A919" s="108" t="s">
        <v>668</v>
      </c>
      <c r="B919" s="109" t="s">
        <v>136</v>
      </c>
      <c r="C919" s="109" t="s">
        <v>65</v>
      </c>
      <c r="D919" s="109" t="s">
        <v>2</v>
      </c>
      <c r="E919" s="109" t="s">
        <v>66</v>
      </c>
      <c r="F919" s="110">
        <f>Приложение_6!F267</f>
        <v>28653</v>
      </c>
      <c r="G919" s="110"/>
      <c r="I919" s="125">
        <v>28388</v>
      </c>
      <c r="L919" s="125">
        <f t="shared" si="38"/>
        <v>-265</v>
      </c>
      <c r="M919" s="125">
        <f t="shared" si="39"/>
        <v>0</v>
      </c>
    </row>
    <row r="920" spans="1:13" ht="126" outlineLevel="3">
      <c r="A920" s="108" t="s">
        <v>432</v>
      </c>
      <c r="B920" s="109" t="s">
        <v>137</v>
      </c>
      <c r="C920" s="109" t="s">
        <v>1</v>
      </c>
      <c r="D920" s="109" t="s">
        <v>3</v>
      </c>
      <c r="E920" s="109" t="s">
        <v>3</v>
      </c>
      <c r="F920" s="110">
        <f>F921</f>
        <v>279590.06</v>
      </c>
      <c r="G920" s="110"/>
      <c r="I920" s="125">
        <v>167500</v>
      </c>
      <c r="L920" s="125">
        <f t="shared" si="38"/>
        <v>-112090.06</v>
      </c>
      <c r="M920" s="125">
        <f t="shared" si="39"/>
        <v>0</v>
      </c>
    </row>
    <row r="921" spans="1:13" ht="141.75" outlineLevel="4">
      <c r="A921" s="108" t="s">
        <v>1202</v>
      </c>
      <c r="B921" s="109" t="s">
        <v>137</v>
      </c>
      <c r="C921" s="109" t="s">
        <v>10</v>
      </c>
      <c r="D921" s="109" t="s">
        <v>3</v>
      </c>
      <c r="E921" s="109" t="s">
        <v>3</v>
      </c>
      <c r="F921" s="110">
        <f>F922</f>
        <v>279590.06</v>
      </c>
      <c r="G921" s="110"/>
      <c r="I921" s="125">
        <v>167500</v>
      </c>
      <c r="L921" s="125">
        <f t="shared" si="38"/>
        <v>-112090.06</v>
      </c>
      <c r="M921" s="125">
        <f t="shared" si="39"/>
        <v>0</v>
      </c>
    </row>
    <row r="922" spans="1:13" ht="31.5" outlineLevel="5">
      <c r="A922" s="108" t="s">
        <v>668</v>
      </c>
      <c r="B922" s="109" t="s">
        <v>137</v>
      </c>
      <c r="C922" s="109" t="s">
        <v>10</v>
      </c>
      <c r="D922" s="109" t="s">
        <v>2</v>
      </c>
      <c r="E922" s="109" t="s">
        <v>66</v>
      </c>
      <c r="F922" s="110">
        <f>Приложение_6!F269</f>
        <v>279590.06</v>
      </c>
      <c r="G922" s="110"/>
      <c r="I922" s="125">
        <v>167500</v>
      </c>
      <c r="L922" s="125">
        <f t="shared" si="38"/>
        <v>-112090.06</v>
      </c>
      <c r="M922" s="125">
        <f t="shared" si="39"/>
        <v>0</v>
      </c>
    </row>
    <row r="923" spans="1:13" ht="63" outlineLevel="2">
      <c r="A923" s="108" t="s">
        <v>524</v>
      </c>
      <c r="B923" s="109" t="s">
        <v>138</v>
      </c>
      <c r="C923" s="109" t="s">
        <v>1</v>
      </c>
      <c r="D923" s="109" t="s">
        <v>3</v>
      </c>
      <c r="E923" s="109" t="s">
        <v>3</v>
      </c>
      <c r="F923" s="110">
        <f>F924+F932+F929</f>
        <v>3160360.0199999996</v>
      </c>
      <c r="G923" s="110"/>
      <c r="I923" s="125">
        <v>3167187.65</v>
      </c>
      <c r="L923" s="125">
        <f t="shared" si="38"/>
        <v>6827.630000000354</v>
      </c>
      <c r="M923" s="125">
        <f t="shared" si="39"/>
        <v>0</v>
      </c>
    </row>
    <row r="924" spans="1:13" ht="126" outlineLevel="3">
      <c r="A924" s="108" t="s">
        <v>443</v>
      </c>
      <c r="B924" s="109" t="s">
        <v>139</v>
      </c>
      <c r="C924" s="109" t="s">
        <v>1</v>
      </c>
      <c r="D924" s="109" t="s">
        <v>3</v>
      </c>
      <c r="E924" s="109" t="s">
        <v>3</v>
      </c>
      <c r="F924" s="110">
        <f>F925+F927</f>
        <v>2262456.57</v>
      </c>
      <c r="G924" s="110"/>
      <c r="I924" s="125">
        <v>2315008</v>
      </c>
      <c r="L924" s="125">
        <f t="shared" si="38"/>
        <v>52551.43000000017</v>
      </c>
      <c r="M924" s="125">
        <f t="shared" si="39"/>
        <v>0</v>
      </c>
    </row>
    <row r="925" spans="1:13" ht="141.75" outlineLevel="4">
      <c r="A925" s="108" t="s">
        <v>1202</v>
      </c>
      <c r="B925" s="109" t="s">
        <v>139</v>
      </c>
      <c r="C925" s="109" t="s">
        <v>10</v>
      </c>
      <c r="D925" s="109" t="s">
        <v>3</v>
      </c>
      <c r="E925" s="109" t="s">
        <v>3</v>
      </c>
      <c r="F925" s="110">
        <f>F926</f>
        <v>1466478</v>
      </c>
      <c r="G925" s="110"/>
      <c r="I925" s="125">
        <v>1466478</v>
      </c>
      <c r="L925" s="125">
        <f t="shared" si="38"/>
        <v>0</v>
      </c>
      <c r="M925" s="125">
        <f t="shared" si="39"/>
        <v>0</v>
      </c>
    </row>
    <row r="926" spans="1:13" ht="31.5" outlineLevel="5">
      <c r="A926" s="108" t="s">
        <v>668</v>
      </c>
      <c r="B926" s="109" t="s">
        <v>139</v>
      </c>
      <c r="C926" s="109" t="s">
        <v>10</v>
      </c>
      <c r="D926" s="109" t="s">
        <v>2</v>
      </c>
      <c r="E926" s="109" t="s">
        <v>66</v>
      </c>
      <c r="F926" s="110">
        <f>Приложение_6!F272</f>
        <v>1466478</v>
      </c>
      <c r="G926" s="110"/>
      <c r="I926" s="125">
        <v>1466478</v>
      </c>
      <c r="L926" s="125">
        <f t="shared" si="38"/>
        <v>0</v>
      </c>
      <c r="M926" s="125">
        <f t="shared" si="39"/>
        <v>0</v>
      </c>
    </row>
    <row r="927" spans="1:13" ht="63" outlineLevel="4">
      <c r="A927" s="108" t="s">
        <v>693</v>
      </c>
      <c r="B927" s="109" t="s">
        <v>139</v>
      </c>
      <c r="C927" s="109" t="s">
        <v>17</v>
      </c>
      <c r="D927" s="109" t="s">
        <v>3</v>
      </c>
      <c r="E927" s="109" t="s">
        <v>3</v>
      </c>
      <c r="F927" s="110">
        <f>F928</f>
        <v>795978.57</v>
      </c>
      <c r="G927" s="110"/>
      <c r="I927" s="125">
        <v>848530</v>
      </c>
      <c r="L927" s="125">
        <f t="shared" si="38"/>
        <v>52551.43000000005</v>
      </c>
      <c r="M927" s="125">
        <f t="shared" si="39"/>
        <v>0</v>
      </c>
    </row>
    <row r="928" spans="1:13" ht="31.5" outlineLevel="5">
      <c r="A928" s="108" t="s">
        <v>668</v>
      </c>
      <c r="B928" s="109" t="s">
        <v>139</v>
      </c>
      <c r="C928" s="109" t="s">
        <v>17</v>
      </c>
      <c r="D928" s="109" t="s">
        <v>2</v>
      </c>
      <c r="E928" s="109" t="s">
        <v>66</v>
      </c>
      <c r="F928" s="110">
        <f>Приложение_6!F273</f>
        <v>795978.57</v>
      </c>
      <c r="G928" s="110"/>
      <c r="I928" s="125">
        <v>848530</v>
      </c>
      <c r="L928" s="125">
        <f t="shared" si="38"/>
        <v>52551.43000000005</v>
      </c>
      <c r="M928" s="125">
        <f t="shared" si="39"/>
        <v>0</v>
      </c>
    </row>
    <row r="929" spans="1:13" ht="126" outlineLevel="5">
      <c r="A929" s="108" t="s">
        <v>432</v>
      </c>
      <c r="B929" s="109" t="s">
        <v>1290</v>
      </c>
      <c r="C929" s="109" t="s">
        <v>1</v>
      </c>
      <c r="D929" s="109" t="s">
        <v>3</v>
      </c>
      <c r="E929" s="109" t="s">
        <v>3</v>
      </c>
      <c r="F929" s="110">
        <f>F930</f>
        <v>45723.8</v>
      </c>
      <c r="G929" s="110"/>
      <c r="I929" s="125"/>
      <c r="L929" s="125"/>
      <c r="M929" s="125"/>
    </row>
    <row r="930" spans="1:13" ht="141.75" outlineLevel="5">
      <c r="A930" s="108" t="s">
        <v>1202</v>
      </c>
      <c r="B930" s="109" t="s">
        <v>1290</v>
      </c>
      <c r="C930" s="109" t="s">
        <v>10</v>
      </c>
      <c r="D930" s="109" t="s">
        <v>3</v>
      </c>
      <c r="E930" s="109" t="s">
        <v>3</v>
      </c>
      <c r="F930" s="110">
        <f>F931</f>
        <v>45723.8</v>
      </c>
      <c r="G930" s="110"/>
      <c r="I930" s="125"/>
      <c r="L930" s="125"/>
      <c r="M930" s="125"/>
    </row>
    <row r="931" spans="1:13" ht="31.5" outlineLevel="5">
      <c r="A931" s="108" t="s">
        <v>668</v>
      </c>
      <c r="B931" s="109" t="s">
        <v>1290</v>
      </c>
      <c r="C931" s="109" t="s">
        <v>10</v>
      </c>
      <c r="D931" s="109" t="s">
        <v>2</v>
      </c>
      <c r="E931" s="109" t="s">
        <v>66</v>
      </c>
      <c r="F931" s="110">
        <f>Приложение_6!F275</f>
        <v>45723.8</v>
      </c>
      <c r="G931" s="110"/>
      <c r="I931" s="125"/>
      <c r="L931" s="125"/>
      <c r="M931" s="125"/>
    </row>
    <row r="932" spans="1:13" ht="31.5" customHeight="1" outlineLevel="3">
      <c r="A932" s="108" t="s">
        <v>441</v>
      </c>
      <c r="B932" s="109" t="s">
        <v>140</v>
      </c>
      <c r="C932" s="109" t="s">
        <v>1</v>
      </c>
      <c r="D932" s="109" t="s">
        <v>3</v>
      </c>
      <c r="E932" s="109" t="s">
        <v>3</v>
      </c>
      <c r="F932" s="110">
        <f>F933</f>
        <v>852179.65</v>
      </c>
      <c r="G932" s="110"/>
      <c r="I932" s="125">
        <v>852179.65</v>
      </c>
      <c r="L932" s="125">
        <f t="shared" si="38"/>
        <v>0</v>
      </c>
      <c r="M932" s="125">
        <f t="shared" si="39"/>
        <v>0</v>
      </c>
    </row>
    <row r="933" spans="1:13" ht="63" outlineLevel="4">
      <c r="A933" s="108" t="s">
        <v>693</v>
      </c>
      <c r="B933" s="109" t="s">
        <v>140</v>
      </c>
      <c r="C933" s="109" t="s">
        <v>17</v>
      </c>
      <c r="D933" s="109" t="s">
        <v>3</v>
      </c>
      <c r="E933" s="109" t="s">
        <v>3</v>
      </c>
      <c r="F933" s="110">
        <f>F934</f>
        <v>852179.65</v>
      </c>
      <c r="G933" s="110"/>
      <c r="I933" s="125">
        <v>852179.65</v>
      </c>
      <c r="L933" s="125">
        <f t="shared" si="38"/>
        <v>0</v>
      </c>
      <c r="M933" s="125">
        <f t="shared" si="39"/>
        <v>0</v>
      </c>
    </row>
    <row r="934" spans="1:13" ht="31.5" outlineLevel="5">
      <c r="A934" s="108" t="s">
        <v>668</v>
      </c>
      <c r="B934" s="109" t="s">
        <v>140</v>
      </c>
      <c r="C934" s="109" t="s">
        <v>17</v>
      </c>
      <c r="D934" s="109" t="s">
        <v>2</v>
      </c>
      <c r="E934" s="109" t="s">
        <v>66</v>
      </c>
      <c r="F934" s="110">
        <f>Приложение_6!F277</f>
        <v>852179.65</v>
      </c>
      <c r="G934" s="110"/>
      <c r="I934" s="125">
        <v>852179.65</v>
      </c>
      <c r="L934" s="125">
        <f t="shared" si="38"/>
        <v>0</v>
      </c>
      <c r="M934" s="125">
        <f t="shared" si="39"/>
        <v>0</v>
      </c>
    </row>
    <row r="935" spans="1:13" ht="126" outlineLevel="1">
      <c r="A935" s="115" t="s">
        <v>635</v>
      </c>
      <c r="B935" s="116" t="s">
        <v>197</v>
      </c>
      <c r="C935" s="116" t="s">
        <v>1</v>
      </c>
      <c r="D935" s="116" t="s">
        <v>3</v>
      </c>
      <c r="E935" s="116" t="s">
        <v>3</v>
      </c>
      <c r="F935" s="117">
        <f>F936+F946+F955</f>
        <v>21869334.380000003</v>
      </c>
      <c r="G935" s="117"/>
      <c r="I935" s="125">
        <v>23042258.4</v>
      </c>
      <c r="L935" s="125">
        <f t="shared" si="38"/>
        <v>1172924.0199999958</v>
      </c>
      <c r="M935" s="125">
        <f t="shared" si="39"/>
        <v>0</v>
      </c>
    </row>
    <row r="936" spans="1:13" ht="126" outlineLevel="2">
      <c r="A936" s="108" t="s">
        <v>543</v>
      </c>
      <c r="B936" s="109" t="s">
        <v>198</v>
      </c>
      <c r="C936" s="109" t="s">
        <v>1</v>
      </c>
      <c r="D936" s="109" t="s">
        <v>3</v>
      </c>
      <c r="E936" s="109" t="s">
        <v>3</v>
      </c>
      <c r="F936" s="110">
        <f>F937</f>
        <v>5933519.91</v>
      </c>
      <c r="G936" s="110"/>
      <c r="I936" s="125">
        <v>7135642.05</v>
      </c>
      <c r="L936" s="125">
        <f t="shared" si="38"/>
        <v>1202122.1399999997</v>
      </c>
      <c r="M936" s="125">
        <f t="shared" si="39"/>
        <v>0</v>
      </c>
    </row>
    <row r="937" spans="1:13" ht="126" outlineLevel="3">
      <c r="A937" s="108" t="s">
        <v>443</v>
      </c>
      <c r="B937" s="109" t="s">
        <v>199</v>
      </c>
      <c r="C937" s="109" t="s">
        <v>1</v>
      </c>
      <c r="D937" s="109" t="s">
        <v>3</v>
      </c>
      <c r="E937" s="109" t="s">
        <v>3</v>
      </c>
      <c r="F937" s="110">
        <f>F938+F940+F942+F944</f>
        <v>5933519.91</v>
      </c>
      <c r="G937" s="110"/>
      <c r="I937" s="125">
        <v>7135642.05</v>
      </c>
      <c r="L937" s="125">
        <f t="shared" si="38"/>
        <v>1202122.1399999997</v>
      </c>
      <c r="M937" s="125">
        <f t="shared" si="39"/>
        <v>0</v>
      </c>
    </row>
    <row r="938" spans="1:13" ht="141.75" outlineLevel="4">
      <c r="A938" s="108" t="s">
        <v>1202</v>
      </c>
      <c r="B938" s="109" t="s">
        <v>199</v>
      </c>
      <c r="C938" s="109" t="s">
        <v>10</v>
      </c>
      <c r="D938" s="109" t="s">
        <v>3</v>
      </c>
      <c r="E938" s="109" t="s">
        <v>3</v>
      </c>
      <c r="F938" s="110">
        <f>F939</f>
        <v>5277891.38</v>
      </c>
      <c r="G938" s="110"/>
      <c r="I938" s="125">
        <v>5277891.38</v>
      </c>
      <c r="L938" s="125">
        <f t="shared" si="38"/>
        <v>0</v>
      </c>
      <c r="M938" s="125">
        <f t="shared" si="39"/>
        <v>0</v>
      </c>
    </row>
    <row r="939" spans="1:13" ht="31.5" outlineLevel="5">
      <c r="A939" s="108" t="s">
        <v>675</v>
      </c>
      <c r="B939" s="109" t="s">
        <v>199</v>
      </c>
      <c r="C939" s="109" t="s">
        <v>10</v>
      </c>
      <c r="D939" s="109" t="s">
        <v>22</v>
      </c>
      <c r="E939" s="109" t="s">
        <v>192</v>
      </c>
      <c r="F939" s="110">
        <f>Приложение_6!F428</f>
        <v>5277891.38</v>
      </c>
      <c r="G939" s="110"/>
      <c r="I939" s="125">
        <v>5277891.38</v>
      </c>
      <c r="L939" s="125">
        <f t="shared" si="38"/>
        <v>0</v>
      </c>
      <c r="M939" s="125">
        <f t="shared" si="39"/>
        <v>0</v>
      </c>
    </row>
    <row r="940" spans="1:13" ht="63" outlineLevel="4">
      <c r="A940" s="108" t="s">
        <v>693</v>
      </c>
      <c r="B940" s="109" t="s">
        <v>199</v>
      </c>
      <c r="C940" s="109" t="s">
        <v>17</v>
      </c>
      <c r="D940" s="109" t="s">
        <v>3</v>
      </c>
      <c r="E940" s="109" t="s">
        <v>3</v>
      </c>
      <c r="F940" s="110">
        <f>F941</f>
        <v>178070.85</v>
      </c>
      <c r="G940" s="110"/>
      <c r="I940" s="125">
        <v>178070.85</v>
      </c>
      <c r="L940" s="125">
        <f t="shared" si="38"/>
        <v>0</v>
      </c>
      <c r="M940" s="125">
        <f t="shared" si="39"/>
        <v>0</v>
      </c>
    </row>
    <row r="941" spans="1:13" ht="31.5" outlineLevel="5">
      <c r="A941" s="108" t="s">
        <v>675</v>
      </c>
      <c r="B941" s="109" t="s">
        <v>199</v>
      </c>
      <c r="C941" s="109" t="s">
        <v>17</v>
      </c>
      <c r="D941" s="109" t="s">
        <v>22</v>
      </c>
      <c r="E941" s="109" t="s">
        <v>192</v>
      </c>
      <c r="F941" s="110">
        <f>Приложение_6!F429</f>
        <v>178070.85</v>
      </c>
      <c r="G941" s="110"/>
      <c r="I941" s="125">
        <v>178070.85</v>
      </c>
      <c r="L941" s="125">
        <f t="shared" si="38"/>
        <v>0</v>
      </c>
      <c r="M941" s="125">
        <f t="shared" si="39"/>
        <v>0</v>
      </c>
    </row>
    <row r="942" spans="1:13" ht="31.5" outlineLevel="4">
      <c r="A942" s="108" t="s">
        <v>694</v>
      </c>
      <c r="B942" s="109" t="s">
        <v>199</v>
      </c>
      <c r="C942" s="109" t="s">
        <v>47</v>
      </c>
      <c r="D942" s="109" t="s">
        <v>3</v>
      </c>
      <c r="E942" s="109" t="s">
        <v>3</v>
      </c>
      <c r="F942" s="110">
        <f>F943</f>
        <v>282169.68000000017</v>
      </c>
      <c r="G942" s="110"/>
      <c r="I942" s="125">
        <v>1485091.82</v>
      </c>
      <c r="L942" s="125">
        <f t="shared" si="38"/>
        <v>1202922.14</v>
      </c>
      <c r="M942" s="125">
        <f t="shared" si="39"/>
        <v>0</v>
      </c>
    </row>
    <row r="943" spans="1:13" ht="31.5" outlineLevel="5">
      <c r="A943" s="108" t="s">
        <v>675</v>
      </c>
      <c r="B943" s="109" t="s">
        <v>199</v>
      </c>
      <c r="C943" s="109" t="s">
        <v>47</v>
      </c>
      <c r="D943" s="109" t="s">
        <v>22</v>
      </c>
      <c r="E943" s="109" t="s">
        <v>192</v>
      </c>
      <c r="F943" s="110">
        <f>Приложение_6!F430</f>
        <v>282169.68000000017</v>
      </c>
      <c r="G943" s="110"/>
      <c r="I943" s="125">
        <v>1485091.82</v>
      </c>
      <c r="L943" s="125">
        <f t="shared" si="38"/>
        <v>1202922.14</v>
      </c>
      <c r="M943" s="125">
        <f t="shared" si="39"/>
        <v>0</v>
      </c>
    </row>
    <row r="944" spans="1:13" ht="31.5" outlineLevel="4">
      <c r="A944" s="108" t="s">
        <v>695</v>
      </c>
      <c r="B944" s="109" t="s">
        <v>199</v>
      </c>
      <c r="C944" s="109" t="s">
        <v>65</v>
      </c>
      <c r="D944" s="109" t="s">
        <v>3</v>
      </c>
      <c r="E944" s="109" t="s">
        <v>3</v>
      </c>
      <c r="F944" s="110">
        <f>F945</f>
        <v>195388</v>
      </c>
      <c r="G944" s="110"/>
      <c r="I944" s="125">
        <v>194588</v>
      </c>
      <c r="L944" s="125">
        <f t="shared" si="38"/>
        <v>-800</v>
      </c>
      <c r="M944" s="125">
        <f t="shared" si="39"/>
        <v>0</v>
      </c>
    </row>
    <row r="945" spans="1:13" ht="31.5" outlineLevel="5">
      <c r="A945" s="108" t="s">
        <v>675</v>
      </c>
      <c r="B945" s="109" t="s">
        <v>199</v>
      </c>
      <c r="C945" s="109" t="s">
        <v>65</v>
      </c>
      <c r="D945" s="109" t="s">
        <v>22</v>
      </c>
      <c r="E945" s="109" t="s">
        <v>192</v>
      </c>
      <c r="F945" s="110">
        <f>Приложение_6!F431</f>
        <v>195388</v>
      </c>
      <c r="G945" s="110"/>
      <c r="I945" s="125">
        <v>194588</v>
      </c>
      <c r="L945" s="125">
        <f t="shared" si="38"/>
        <v>-800</v>
      </c>
      <c r="M945" s="125">
        <f t="shared" si="39"/>
        <v>0</v>
      </c>
    </row>
    <row r="946" spans="1:13" ht="157.5" customHeight="1" outlineLevel="2">
      <c r="A946" s="108" t="s">
        <v>544</v>
      </c>
      <c r="B946" s="109" t="s">
        <v>200</v>
      </c>
      <c r="C946" s="109" t="s">
        <v>1</v>
      </c>
      <c r="D946" s="109" t="s">
        <v>3</v>
      </c>
      <c r="E946" s="109" t="s">
        <v>3</v>
      </c>
      <c r="F946" s="110">
        <f>F947+F952</f>
        <v>10146646.38</v>
      </c>
      <c r="G946" s="110"/>
      <c r="I946" s="125">
        <v>9871044.22</v>
      </c>
      <c r="L946" s="125">
        <f aca="true" t="shared" si="40" ref="L946:L1020">I946-F946</f>
        <v>-275602.16000000015</v>
      </c>
      <c r="M946" s="125">
        <f aca="true" t="shared" si="41" ref="M946:M1020">J946-G946</f>
        <v>0</v>
      </c>
    </row>
    <row r="947" spans="1:13" ht="126" outlineLevel="3">
      <c r="A947" s="108" t="s">
        <v>443</v>
      </c>
      <c r="B947" s="109" t="s">
        <v>201</v>
      </c>
      <c r="C947" s="109" t="s">
        <v>1</v>
      </c>
      <c r="D947" s="109" t="s">
        <v>3</v>
      </c>
      <c r="E947" s="109" t="s">
        <v>3</v>
      </c>
      <c r="F947" s="110">
        <f>F948+F950</f>
        <v>9727645.8</v>
      </c>
      <c r="G947" s="110"/>
      <c r="I947" s="125">
        <v>9586044.22</v>
      </c>
      <c r="L947" s="125">
        <f t="shared" si="40"/>
        <v>-141601.58000000007</v>
      </c>
      <c r="M947" s="125">
        <f t="shared" si="41"/>
        <v>0</v>
      </c>
    </row>
    <row r="948" spans="1:13" ht="141.75" outlineLevel="4">
      <c r="A948" s="108" t="s">
        <v>1202</v>
      </c>
      <c r="B948" s="109" t="s">
        <v>201</v>
      </c>
      <c r="C948" s="109" t="s">
        <v>10</v>
      </c>
      <c r="D948" s="109" t="s">
        <v>3</v>
      </c>
      <c r="E948" s="109" t="s">
        <v>3</v>
      </c>
      <c r="F948" s="110">
        <f>F949</f>
        <v>9186896.15</v>
      </c>
      <c r="G948" s="110"/>
      <c r="I948" s="125">
        <v>9186896.15</v>
      </c>
      <c r="L948" s="125">
        <f t="shared" si="40"/>
        <v>0</v>
      </c>
      <c r="M948" s="125">
        <f t="shared" si="41"/>
        <v>0</v>
      </c>
    </row>
    <row r="949" spans="1:13" ht="31.5" outlineLevel="5">
      <c r="A949" s="108" t="s">
        <v>675</v>
      </c>
      <c r="B949" s="109" t="s">
        <v>201</v>
      </c>
      <c r="C949" s="109" t="s">
        <v>10</v>
      </c>
      <c r="D949" s="109" t="s">
        <v>22</v>
      </c>
      <c r="E949" s="109" t="s">
        <v>192</v>
      </c>
      <c r="F949" s="110">
        <f>Приложение_6!F434</f>
        <v>9186896.15</v>
      </c>
      <c r="G949" s="110"/>
      <c r="I949" s="125">
        <v>9186896.15</v>
      </c>
      <c r="L949" s="125">
        <f t="shared" si="40"/>
        <v>0</v>
      </c>
      <c r="M949" s="125">
        <f t="shared" si="41"/>
        <v>0</v>
      </c>
    </row>
    <row r="950" spans="1:13" ht="63" outlineLevel="4">
      <c r="A950" s="108" t="s">
        <v>693</v>
      </c>
      <c r="B950" s="109" t="s">
        <v>201</v>
      </c>
      <c r="C950" s="109" t="s">
        <v>17</v>
      </c>
      <c r="D950" s="109" t="s">
        <v>3</v>
      </c>
      <c r="E950" s="109" t="s">
        <v>3</v>
      </c>
      <c r="F950" s="110">
        <f>F951</f>
        <v>540749.65</v>
      </c>
      <c r="G950" s="110"/>
      <c r="I950" s="125">
        <v>399148.07</v>
      </c>
      <c r="L950" s="125">
        <f t="shared" si="40"/>
        <v>-141601.58000000002</v>
      </c>
      <c r="M950" s="125">
        <f t="shared" si="41"/>
        <v>0</v>
      </c>
    </row>
    <row r="951" spans="1:13" ht="31.5" outlineLevel="5">
      <c r="A951" s="108" t="s">
        <v>675</v>
      </c>
      <c r="B951" s="109" t="s">
        <v>201</v>
      </c>
      <c r="C951" s="109" t="s">
        <v>17</v>
      </c>
      <c r="D951" s="109" t="s">
        <v>22</v>
      </c>
      <c r="E951" s="109" t="s">
        <v>192</v>
      </c>
      <c r="F951" s="110">
        <f>Приложение_6!F435</f>
        <v>540749.65</v>
      </c>
      <c r="G951" s="110"/>
      <c r="I951" s="125">
        <v>399148.07</v>
      </c>
      <c r="L951" s="125">
        <f t="shared" si="40"/>
        <v>-141601.58000000002</v>
      </c>
      <c r="M951" s="125">
        <f t="shared" si="41"/>
        <v>0</v>
      </c>
    </row>
    <row r="952" spans="1:13" ht="126" outlineLevel="3">
      <c r="A952" s="108" t="s">
        <v>432</v>
      </c>
      <c r="B952" s="109" t="s">
        <v>202</v>
      </c>
      <c r="C952" s="109" t="s">
        <v>1</v>
      </c>
      <c r="D952" s="109" t="s">
        <v>3</v>
      </c>
      <c r="E952" s="109" t="s">
        <v>3</v>
      </c>
      <c r="F952" s="110">
        <f>F953</f>
        <v>419000.57999999996</v>
      </c>
      <c r="G952" s="110"/>
      <c r="I952" s="125">
        <v>285000</v>
      </c>
      <c r="L952" s="125">
        <f t="shared" si="40"/>
        <v>-134000.57999999996</v>
      </c>
      <c r="M952" s="125">
        <f t="shared" si="41"/>
        <v>0</v>
      </c>
    </row>
    <row r="953" spans="1:13" ht="141.75" outlineLevel="4">
      <c r="A953" s="108" t="s">
        <v>1202</v>
      </c>
      <c r="B953" s="109" t="s">
        <v>202</v>
      </c>
      <c r="C953" s="109" t="s">
        <v>10</v>
      </c>
      <c r="D953" s="109" t="s">
        <v>3</v>
      </c>
      <c r="E953" s="109" t="s">
        <v>3</v>
      </c>
      <c r="F953" s="110">
        <f>F954</f>
        <v>419000.57999999996</v>
      </c>
      <c r="G953" s="110"/>
      <c r="I953" s="125">
        <v>285000</v>
      </c>
      <c r="L953" s="125">
        <f t="shared" si="40"/>
        <v>-134000.57999999996</v>
      </c>
      <c r="M953" s="125">
        <f t="shared" si="41"/>
        <v>0</v>
      </c>
    </row>
    <row r="954" spans="1:13" ht="31.5" outlineLevel="5">
      <c r="A954" s="108" t="s">
        <v>675</v>
      </c>
      <c r="B954" s="109" t="s">
        <v>202</v>
      </c>
      <c r="C954" s="109" t="s">
        <v>10</v>
      </c>
      <c r="D954" s="109" t="s">
        <v>22</v>
      </c>
      <c r="E954" s="109" t="s">
        <v>192</v>
      </c>
      <c r="F954" s="110">
        <f>Приложение_6!F437</f>
        <v>419000.57999999996</v>
      </c>
      <c r="G954" s="110"/>
      <c r="I954" s="125">
        <v>285000</v>
      </c>
      <c r="L954" s="125">
        <f t="shared" si="40"/>
        <v>-134000.57999999996</v>
      </c>
      <c r="M954" s="125">
        <f t="shared" si="41"/>
        <v>0</v>
      </c>
    </row>
    <row r="955" spans="1:13" ht="189" outlineLevel="2">
      <c r="A955" s="108" t="s">
        <v>545</v>
      </c>
      <c r="B955" s="109" t="s">
        <v>203</v>
      </c>
      <c r="C955" s="109" t="s">
        <v>1</v>
      </c>
      <c r="D955" s="109" t="s">
        <v>3</v>
      </c>
      <c r="E955" s="109" t="s">
        <v>3</v>
      </c>
      <c r="F955" s="110">
        <f>F956</f>
        <v>5789168.09</v>
      </c>
      <c r="G955" s="110"/>
      <c r="I955" s="125">
        <v>6035572.13</v>
      </c>
      <c r="L955" s="125">
        <f t="shared" si="40"/>
        <v>246404.04000000004</v>
      </c>
      <c r="M955" s="125">
        <f t="shared" si="41"/>
        <v>0</v>
      </c>
    </row>
    <row r="956" spans="1:13" ht="126" outlineLevel="3">
      <c r="A956" s="108" t="s">
        <v>443</v>
      </c>
      <c r="B956" s="109" t="s">
        <v>204</v>
      </c>
      <c r="C956" s="109" t="s">
        <v>1</v>
      </c>
      <c r="D956" s="109" t="s">
        <v>3</v>
      </c>
      <c r="E956" s="109" t="s">
        <v>3</v>
      </c>
      <c r="F956" s="110">
        <f>F957+F959</f>
        <v>5789168.09</v>
      </c>
      <c r="G956" s="110"/>
      <c r="I956" s="125">
        <v>6035572.13</v>
      </c>
      <c r="L956" s="125">
        <f t="shared" si="40"/>
        <v>246404.04000000004</v>
      </c>
      <c r="M956" s="125">
        <f t="shared" si="41"/>
        <v>0</v>
      </c>
    </row>
    <row r="957" spans="1:13" ht="141.75" outlineLevel="4">
      <c r="A957" s="108" t="s">
        <v>1202</v>
      </c>
      <c r="B957" s="109" t="s">
        <v>204</v>
      </c>
      <c r="C957" s="109" t="s">
        <v>10</v>
      </c>
      <c r="D957" s="109" t="s">
        <v>3</v>
      </c>
      <c r="E957" s="109" t="s">
        <v>3</v>
      </c>
      <c r="F957" s="110">
        <f>F958</f>
        <v>5305905.13</v>
      </c>
      <c r="G957" s="110"/>
      <c r="I957" s="125">
        <v>5630310.41</v>
      </c>
      <c r="L957" s="125">
        <f t="shared" si="40"/>
        <v>324405.28000000026</v>
      </c>
      <c r="M957" s="125">
        <f t="shared" si="41"/>
        <v>0</v>
      </c>
    </row>
    <row r="958" spans="1:13" ht="31.5" outlineLevel="5">
      <c r="A958" s="108" t="s">
        <v>675</v>
      </c>
      <c r="B958" s="109" t="s">
        <v>204</v>
      </c>
      <c r="C958" s="109" t="s">
        <v>10</v>
      </c>
      <c r="D958" s="109" t="s">
        <v>22</v>
      </c>
      <c r="E958" s="109" t="s">
        <v>192</v>
      </c>
      <c r="F958" s="110">
        <f>Приложение_6!F440</f>
        <v>5305905.13</v>
      </c>
      <c r="G958" s="110"/>
      <c r="I958" s="125">
        <v>5630310.41</v>
      </c>
      <c r="L958" s="125">
        <f t="shared" si="40"/>
        <v>324405.28000000026</v>
      </c>
      <c r="M958" s="125">
        <f t="shared" si="41"/>
        <v>0</v>
      </c>
    </row>
    <row r="959" spans="1:13" ht="63" outlineLevel="4">
      <c r="A959" s="108" t="s">
        <v>693</v>
      </c>
      <c r="B959" s="109" t="s">
        <v>204</v>
      </c>
      <c r="C959" s="109" t="s">
        <v>17</v>
      </c>
      <c r="D959" s="109" t="s">
        <v>3</v>
      </c>
      <c r="E959" s="109" t="s">
        <v>3</v>
      </c>
      <c r="F959" s="110">
        <f>F960</f>
        <v>483262.95999999996</v>
      </c>
      <c r="G959" s="110"/>
      <c r="I959" s="125">
        <v>405261.72</v>
      </c>
      <c r="L959" s="125">
        <f t="shared" si="40"/>
        <v>-78001.23999999999</v>
      </c>
      <c r="M959" s="125">
        <f t="shared" si="41"/>
        <v>0</v>
      </c>
    </row>
    <row r="960" spans="1:13" ht="31.5" outlineLevel="5">
      <c r="A960" s="108" t="s">
        <v>675</v>
      </c>
      <c r="B960" s="109" t="s">
        <v>204</v>
      </c>
      <c r="C960" s="109" t="s">
        <v>17</v>
      </c>
      <c r="D960" s="109" t="s">
        <v>22</v>
      </c>
      <c r="E960" s="109" t="s">
        <v>192</v>
      </c>
      <c r="F960" s="110">
        <f>Приложение_6!F441</f>
        <v>483262.95999999996</v>
      </c>
      <c r="G960" s="110"/>
      <c r="I960" s="125">
        <v>405261.72</v>
      </c>
      <c r="L960" s="125">
        <f t="shared" si="40"/>
        <v>-78001.23999999999</v>
      </c>
      <c r="M960" s="125">
        <f t="shared" si="41"/>
        <v>0</v>
      </c>
    </row>
    <row r="961" spans="1:13" ht="47.25" outlineLevel="1">
      <c r="A961" s="115" t="s">
        <v>613</v>
      </c>
      <c r="B961" s="116" t="s">
        <v>7</v>
      </c>
      <c r="C961" s="116" t="s">
        <v>1</v>
      </c>
      <c r="D961" s="116" t="s">
        <v>3</v>
      </c>
      <c r="E961" s="116" t="s">
        <v>3</v>
      </c>
      <c r="F961" s="117">
        <f>F962+F974+F980</f>
        <v>1621299.3900000001</v>
      </c>
      <c r="G961" s="117"/>
      <c r="I961" s="125">
        <v>1770876.88</v>
      </c>
      <c r="L961" s="125">
        <f t="shared" si="40"/>
        <v>149577.48999999976</v>
      </c>
      <c r="M961" s="125">
        <f t="shared" si="41"/>
        <v>0</v>
      </c>
    </row>
    <row r="962" spans="1:13" ht="110.25" outlineLevel="2">
      <c r="A962" s="108" t="s">
        <v>488</v>
      </c>
      <c r="B962" s="109" t="s">
        <v>15</v>
      </c>
      <c r="C962" s="109" t="s">
        <v>1</v>
      </c>
      <c r="D962" s="109" t="s">
        <v>3</v>
      </c>
      <c r="E962" s="109" t="s">
        <v>3</v>
      </c>
      <c r="F962" s="110">
        <f>F963</f>
        <v>638455.43</v>
      </c>
      <c r="G962" s="110"/>
      <c r="I962" s="125">
        <v>745206.43</v>
      </c>
      <c r="L962" s="125">
        <f t="shared" si="40"/>
        <v>106751</v>
      </c>
      <c r="M962" s="125">
        <f t="shared" si="41"/>
        <v>0</v>
      </c>
    </row>
    <row r="963" spans="1:13" ht="47.25" outlineLevel="3">
      <c r="A963" s="108" t="s">
        <v>430</v>
      </c>
      <c r="B963" s="109" t="s">
        <v>16</v>
      </c>
      <c r="C963" s="109" t="s">
        <v>1</v>
      </c>
      <c r="D963" s="109" t="s">
        <v>3</v>
      </c>
      <c r="E963" s="109" t="s">
        <v>3</v>
      </c>
      <c r="F963" s="110">
        <f>F964+F969</f>
        <v>638455.43</v>
      </c>
      <c r="G963" s="110"/>
      <c r="I963" s="125">
        <v>745206.43</v>
      </c>
      <c r="L963" s="125">
        <f t="shared" si="40"/>
        <v>106751</v>
      </c>
      <c r="M963" s="125">
        <f t="shared" si="41"/>
        <v>0</v>
      </c>
    </row>
    <row r="964" spans="1:13" ht="141.75" outlineLevel="4">
      <c r="A964" s="108" t="s">
        <v>1202</v>
      </c>
      <c r="B964" s="109" t="s">
        <v>16</v>
      </c>
      <c r="C964" s="109" t="s">
        <v>10</v>
      </c>
      <c r="D964" s="109" t="s">
        <v>3</v>
      </c>
      <c r="E964" s="109" t="s">
        <v>3</v>
      </c>
      <c r="F964" s="110">
        <f>F966+F967+F968+F965</f>
        <v>204605.95</v>
      </c>
      <c r="G964" s="110"/>
      <c r="I964" s="125">
        <v>227356.95</v>
      </c>
      <c r="L964" s="125">
        <f t="shared" si="40"/>
        <v>22751</v>
      </c>
      <c r="M964" s="125">
        <f t="shared" si="41"/>
        <v>0</v>
      </c>
    </row>
    <row r="965" spans="1:13" ht="67.5" customHeight="1" outlineLevel="4">
      <c r="A965" s="19" t="s">
        <v>663</v>
      </c>
      <c r="B965" s="109" t="s">
        <v>16</v>
      </c>
      <c r="C965" s="109" t="s">
        <v>10</v>
      </c>
      <c r="D965" s="109" t="s">
        <v>2</v>
      </c>
      <c r="E965" s="109" t="s">
        <v>5</v>
      </c>
      <c r="F965" s="110">
        <f>Приложение_6!F17</f>
        <v>0</v>
      </c>
      <c r="G965" s="110"/>
      <c r="I965" s="125"/>
      <c r="L965" s="125"/>
      <c r="M965" s="125"/>
    </row>
    <row r="966" spans="1:13" ht="94.5" outlineLevel="5">
      <c r="A966" s="108" t="s">
        <v>664</v>
      </c>
      <c r="B966" s="109" t="s">
        <v>16</v>
      </c>
      <c r="C966" s="109" t="s">
        <v>10</v>
      </c>
      <c r="D966" s="109" t="s">
        <v>2</v>
      </c>
      <c r="E966" s="109" t="s">
        <v>14</v>
      </c>
      <c r="F966" s="110">
        <f>Приложение_6!F35</f>
        <v>9549</v>
      </c>
      <c r="G966" s="110"/>
      <c r="I966" s="125">
        <v>32300</v>
      </c>
      <c r="L966" s="125">
        <f t="shared" si="40"/>
        <v>22751</v>
      </c>
      <c r="M966" s="125">
        <f t="shared" si="41"/>
        <v>0</v>
      </c>
    </row>
    <row r="967" spans="1:13" ht="126" outlineLevel="5">
      <c r="A967" s="108" t="s">
        <v>665</v>
      </c>
      <c r="B967" s="109" t="s">
        <v>16</v>
      </c>
      <c r="C967" s="109" t="s">
        <v>10</v>
      </c>
      <c r="D967" s="109" t="s">
        <v>2</v>
      </c>
      <c r="E967" s="109" t="s">
        <v>22</v>
      </c>
      <c r="F967" s="110">
        <f>Приложение_6!F116</f>
        <v>164356.95</v>
      </c>
      <c r="G967" s="110"/>
      <c r="I967" s="125">
        <v>164356.95</v>
      </c>
      <c r="L967" s="125">
        <f t="shared" si="40"/>
        <v>0</v>
      </c>
      <c r="M967" s="125">
        <f t="shared" si="41"/>
        <v>0</v>
      </c>
    </row>
    <row r="968" spans="1:13" ht="94.5" outlineLevel="5">
      <c r="A968" s="108" t="s">
        <v>666</v>
      </c>
      <c r="B968" s="109" t="s">
        <v>16</v>
      </c>
      <c r="C968" s="109" t="s">
        <v>10</v>
      </c>
      <c r="D968" s="109" t="s">
        <v>2</v>
      </c>
      <c r="E968" s="109" t="s">
        <v>60</v>
      </c>
      <c r="F968" s="110">
        <f>Приложение_6!F130</f>
        <v>30700</v>
      </c>
      <c r="G968" s="110"/>
      <c r="I968" s="125">
        <v>30700</v>
      </c>
      <c r="L968" s="125">
        <f t="shared" si="40"/>
        <v>0</v>
      </c>
      <c r="M968" s="125">
        <f t="shared" si="41"/>
        <v>0</v>
      </c>
    </row>
    <row r="969" spans="1:13" ht="63" outlineLevel="4">
      <c r="A969" s="108" t="s">
        <v>693</v>
      </c>
      <c r="B969" s="109" t="s">
        <v>16</v>
      </c>
      <c r="C969" s="109" t="s">
        <v>17</v>
      </c>
      <c r="D969" s="109" t="s">
        <v>3</v>
      </c>
      <c r="E969" s="109" t="s">
        <v>3</v>
      </c>
      <c r="F969" s="110">
        <f>F971+F972+F973+F970</f>
        <v>433849.48000000004</v>
      </c>
      <c r="G969" s="110"/>
      <c r="I969" s="125">
        <v>517849.48</v>
      </c>
      <c r="L969" s="125">
        <f t="shared" si="40"/>
        <v>83999.99999999994</v>
      </c>
      <c r="M969" s="125">
        <f t="shared" si="41"/>
        <v>0</v>
      </c>
    </row>
    <row r="970" spans="1:13" ht="63" outlineLevel="4">
      <c r="A970" s="19" t="s">
        <v>663</v>
      </c>
      <c r="B970" s="109" t="s">
        <v>16</v>
      </c>
      <c r="C970" s="109" t="s">
        <v>17</v>
      </c>
      <c r="D970" s="109" t="s">
        <v>2</v>
      </c>
      <c r="E970" s="109" t="s">
        <v>5</v>
      </c>
      <c r="F970" s="110">
        <f>Приложение_6!F18</f>
        <v>0</v>
      </c>
      <c r="G970" s="110"/>
      <c r="I970" s="125"/>
      <c r="L970" s="125"/>
      <c r="M970" s="125"/>
    </row>
    <row r="971" spans="1:13" ht="94.5" outlineLevel="5">
      <c r="A971" s="108" t="s">
        <v>664</v>
      </c>
      <c r="B971" s="109" t="s">
        <v>16</v>
      </c>
      <c r="C971" s="109" t="s">
        <v>17</v>
      </c>
      <c r="D971" s="109" t="s">
        <v>2</v>
      </c>
      <c r="E971" s="109" t="s">
        <v>14</v>
      </c>
      <c r="F971" s="110">
        <f>Приложение_6!F36</f>
        <v>17500</v>
      </c>
      <c r="G971" s="110"/>
      <c r="I971" s="125">
        <v>39500</v>
      </c>
      <c r="L971" s="125">
        <f t="shared" si="40"/>
        <v>22000</v>
      </c>
      <c r="M971" s="125">
        <f t="shared" si="41"/>
        <v>0</v>
      </c>
    </row>
    <row r="972" spans="1:13" ht="126" outlineLevel="5">
      <c r="A972" s="108" t="s">
        <v>665</v>
      </c>
      <c r="B972" s="109" t="s">
        <v>16</v>
      </c>
      <c r="C972" s="109" t="s">
        <v>17</v>
      </c>
      <c r="D972" s="109" t="s">
        <v>2</v>
      </c>
      <c r="E972" s="109" t="s">
        <v>22</v>
      </c>
      <c r="F972" s="110">
        <f>Приложение_6!F117</f>
        <v>389649.48000000004</v>
      </c>
      <c r="G972" s="110"/>
      <c r="I972" s="125">
        <v>451649.48</v>
      </c>
      <c r="L972" s="125">
        <f t="shared" si="40"/>
        <v>61999.99999999994</v>
      </c>
      <c r="M972" s="125">
        <f t="shared" si="41"/>
        <v>0</v>
      </c>
    </row>
    <row r="973" spans="1:13" ht="94.5" outlineLevel="5">
      <c r="A973" s="108" t="s">
        <v>666</v>
      </c>
      <c r="B973" s="109" t="s">
        <v>16</v>
      </c>
      <c r="C973" s="109" t="s">
        <v>17</v>
      </c>
      <c r="D973" s="109" t="s">
        <v>2</v>
      </c>
      <c r="E973" s="109" t="s">
        <v>60</v>
      </c>
      <c r="F973" s="110">
        <f>Приложение_6!F131</f>
        <v>26700</v>
      </c>
      <c r="G973" s="110"/>
      <c r="I973" s="125">
        <v>26700</v>
      </c>
      <c r="L973" s="125">
        <f t="shared" si="40"/>
        <v>0</v>
      </c>
      <c r="M973" s="125">
        <f t="shared" si="41"/>
        <v>0</v>
      </c>
    </row>
    <row r="974" spans="1:13" ht="31.5" outlineLevel="2">
      <c r="A974" s="108" t="s">
        <v>489</v>
      </c>
      <c r="B974" s="109" t="s">
        <v>18</v>
      </c>
      <c r="C974" s="109" t="s">
        <v>1</v>
      </c>
      <c r="D974" s="109" t="s">
        <v>3</v>
      </c>
      <c r="E974" s="109" t="s">
        <v>3</v>
      </c>
      <c r="F974" s="110">
        <f>F975</f>
        <v>456433.92</v>
      </c>
      <c r="G974" s="110"/>
      <c r="I974" s="125">
        <v>402433.92</v>
      </c>
      <c r="L974" s="125">
        <f t="shared" si="40"/>
        <v>-54000</v>
      </c>
      <c r="M974" s="125">
        <f t="shared" si="41"/>
        <v>0</v>
      </c>
    </row>
    <row r="975" spans="1:13" ht="47.25" outlineLevel="3">
      <c r="A975" s="108" t="s">
        <v>430</v>
      </c>
      <c r="B975" s="109" t="s">
        <v>19</v>
      </c>
      <c r="C975" s="109" t="s">
        <v>1</v>
      </c>
      <c r="D975" s="109" t="s">
        <v>3</v>
      </c>
      <c r="E975" s="109" t="s">
        <v>3</v>
      </c>
      <c r="F975" s="110">
        <f>F976</f>
        <v>456433.92</v>
      </c>
      <c r="G975" s="110"/>
      <c r="I975" s="125">
        <v>402433.92</v>
      </c>
      <c r="L975" s="125">
        <f t="shared" si="40"/>
        <v>-54000</v>
      </c>
      <c r="M975" s="125">
        <f t="shared" si="41"/>
        <v>0</v>
      </c>
    </row>
    <row r="976" spans="1:13" ht="63" outlineLevel="4">
      <c r="A976" s="108" t="s">
        <v>693</v>
      </c>
      <c r="B976" s="109" t="s">
        <v>19</v>
      </c>
      <c r="C976" s="109" t="s">
        <v>17</v>
      </c>
      <c r="D976" s="109" t="s">
        <v>3</v>
      </c>
      <c r="E976" s="109" t="s">
        <v>3</v>
      </c>
      <c r="F976" s="110">
        <f>F977+F978+F979</f>
        <v>456433.92</v>
      </c>
      <c r="G976" s="110"/>
      <c r="I976" s="125">
        <v>402433.92</v>
      </c>
      <c r="L976" s="125">
        <f t="shared" si="40"/>
        <v>-54000</v>
      </c>
      <c r="M976" s="125">
        <f t="shared" si="41"/>
        <v>0</v>
      </c>
    </row>
    <row r="977" spans="1:13" ht="94.5" outlineLevel="5">
      <c r="A977" s="108" t="s">
        <v>664</v>
      </c>
      <c r="B977" s="109" t="s">
        <v>19</v>
      </c>
      <c r="C977" s="109" t="s">
        <v>17</v>
      </c>
      <c r="D977" s="109" t="s">
        <v>2</v>
      </c>
      <c r="E977" s="109" t="s">
        <v>14</v>
      </c>
      <c r="F977" s="110">
        <f>Приложение_6!F39</f>
        <v>9132</v>
      </c>
      <c r="G977" s="110"/>
      <c r="I977" s="125">
        <v>9132</v>
      </c>
      <c r="L977" s="125">
        <f t="shared" si="40"/>
        <v>0</v>
      </c>
      <c r="M977" s="125">
        <f t="shared" si="41"/>
        <v>0</v>
      </c>
    </row>
    <row r="978" spans="1:13" ht="126" outlineLevel="5">
      <c r="A978" s="108" t="s">
        <v>665</v>
      </c>
      <c r="B978" s="109" t="s">
        <v>19</v>
      </c>
      <c r="C978" s="109" t="s">
        <v>17</v>
      </c>
      <c r="D978" s="109" t="s">
        <v>2</v>
      </c>
      <c r="E978" s="109" t="s">
        <v>22</v>
      </c>
      <c r="F978" s="110">
        <f>Приложение_6!F120</f>
        <v>431187.92</v>
      </c>
      <c r="G978" s="110"/>
      <c r="I978" s="125">
        <v>377187.92</v>
      </c>
      <c r="L978" s="125">
        <f t="shared" si="40"/>
        <v>-54000</v>
      </c>
      <c r="M978" s="125">
        <f t="shared" si="41"/>
        <v>0</v>
      </c>
    </row>
    <row r="979" spans="1:13" ht="94.5" outlineLevel="5">
      <c r="A979" s="108" t="s">
        <v>666</v>
      </c>
      <c r="B979" s="109" t="s">
        <v>19</v>
      </c>
      <c r="C979" s="109" t="s">
        <v>17</v>
      </c>
      <c r="D979" s="109" t="s">
        <v>2</v>
      </c>
      <c r="E979" s="109" t="s">
        <v>60</v>
      </c>
      <c r="F979" s="110">
        <f>Приложение_6!F134</f>
        <v>16114</v>
      </c>
      <c r="G979" s="110"/>
      <c r="I979" s="125">
        <v>16114</v>
      </c>
      <c r="L979" s="125">
        <f t="shared" si="40"/>
        <v>0</v>
      </c>
      <c r="M979" s="125">
        <f t="shared" si="41"/>
        <v>0</v>
      </c>
    </row>
    <row r="980" spans="1:13" ht="63" outlineLevel="2">
      <c r="A980" s="108" t="s">
        <v>487</v>
      </c>
      <c r="B980" s="109" t="s">
        <v>8</v>
      </c>
      <c r="C980" s="109" t="s">
        <v>1</v>
      </c>
      <c r="D980" s="109" t="s">
        <v>3</v>
      </c>
      <c r="E980" s="109" t="s">
        <v>3</v>
      </c>
      <c r="F980" s="110">
        <f>F981</f>
        <v>526410.04</v>
      </c>
      <c r="G980" s="110"/>
      <c r="I980" s="125">
        <v>623236.53</v>
      </c>
      <c r="L980" s="125">
        <f t="shared" si="40"/>
        <v>96826.48999999999</v>
      </c>
      <c r="M980" s="125">
        <f t="shared" si="41"/>
        <v>0</v>
      </c>
    </row>
    <row r="981" spans="1:13" ht="47.25" outlineLevel="3">
      <c r="A981" s="108" t="s">
        <v>430</v>
      </c>
      <c r="B981" s="109" t="s">
        <v>9</v>
      </c>
      <c r="C981" s="109" t="s">
        <v>1</v>
      </c>
      <c r="D981" s="109" t="s">
        <v>3</v>
      </c>
      <c r="E981" s="109" t="s">
        <v>3</v>
      </c>
      <c r="F981" s="110">
        <f>F982+F985</f>
        <v>526410.04</v>
      </c>
      <c r="G981" s="110"/>
      <c r="I981" s="125">
        <v>623236.53</v>
      </c>
      <c r="L981" s="125">
        <f t="shared" si="40"/>
        <v>96826.48999999999</v>
      </c>
      <c r="M981" s="125">
        <f t="shared" si="41"/>
        <v>0</v>
      </c>
    </row>
    <row r="982" spans="1:13" ht="141.75" outlineLevel="4">
      <c r="A982" s="108" t="s">
        <v>1202</v>
      </c>
      <c r="B982" s="109" t="s">
        <v>9</v>
      </c>
      <c r="C982" s="109" t="s">
        <v>10</v>
      </c>
      <c r="D982" s="109" t="s">
        <v>3</v>
      </c>
      <c r="E982" s="109" t="s">
        <v>3</v>
      </c>
      <c r="F982" s="110">
        <f>F983+F984</f>
        <v>392210.04</v>
      </c>
      <c r="G982" s="110"/>
      <c r="I982" s="125">
        <v>489036.53</v>
      </c>
      <c r="L982" s="125">
        <f t="shared" si="40"/>
        <v>96826.49000000005</v>
      </c>
      <c r="M982" s="125">
        <f t="shared" si="41"/>
        <v>0</v>
      </c>
    </row>
    <row r="983" spans="1:13" ht="63" outlineLevel="5">
      <c r="A983" s="108" t="s">
        <v>663</v>
      </c>
      <c r="B983" s="109" t="s">
        <v>9</v>
      </c>
      <c r="C983" s="109" t="s">
        <v>10</v>
      </c>
      <c r="D983" s="109" t="s">
        <v>2</v>
      </c>
      <c r="E983" s="109" t="s">
        <v>5</v>
      </c>
      <c r="F983" s="110">
        <f>Приложение_6!F21</f>
        <v>0</v>
      </c>
      <c r="G983" s="110"/>
      <c r="I983" s="125">
        <v>96826.49</v>
      </c>
      <c r="L983" s="125">
        <f t="shared" si="40"/>
        <v>96826.49</v>
      </c>
      <c r="M983" s="125">
        <f t="shared" si="41"/>
        <v>0</v>
      </c>
    </row>
    <row r="984" spans="1:13" ht="126" outlineLevel="5">
      <c r="A984" s="108" t="s">
        <v>665</v>
      </c>
      <c r="B984" s="109" t="s">
        <v>9</v>
      </c>
      <c r="C984" s="109" t="s">
        <v>10</v>
      </c>
      <c r="D984" s="109" t="s">
        <v>2</v>
      </c>
      <c r="E984" s="109" t="s">
        <v>22</v>
      </c>
      <c r="F984" s="110">
        <f>Приложение_6!F123</f>
        <v>392210.04</v>
      </c>
      <c r="G984" s="110"/>
      <c r="I984" s="125">
        <v>392210.04</v>
      </c>
      <c r="L984" s="125">
        <f t="shared" si="40"/>
        <v>0</v>
      </c>
      <c r="M984" s="125">
        <f t="shared" si="41"/>
        <v>0</v>
      </c>
    </row>
    <row r="985" spans="1:13" ht="63" outlineLevel="4">
      <c r="A985" s="108" t="s">
        <v>693</v>
      </c>
      <c r="B985" s="109" t="s">
        <v>9</v>
      </c>
      <c r="C985" s="109" t="s">
        <v>17</v>
      </c>
      <c r="D985" s="109" t="s">
        <v>3</v>
      </c>
      <c r="E985" s="109" t="s">
        <v>3</v>
      </c>
      <c r="F985" s="110">
        <f>F986</f>
        <v>134200</v>
      </c>
      <c r="G985" s="110"/>
      <c r="I985" s="125">
        <v>134200</v>
      </c>
      <c r="L985" s="125">
        <f t="shared" si="40"/>
        <v>0</v>
      </c>
      <c r="M985" s="125">
        <f t="shared" si="41"/>
        <v>0</v>
      </c>
    </row>
    <row r="986" spans="1:13" ht="126" outlineLevel="5">
      <c r="A986" s="108" t="s">
        <v>665</v>
      </c>
      <c r="B986" s="109" t="s">
        <v>9</v>
      </c>
      <c r="C986" s="109" t="s">
        <v>17</v>
      </c>
      <c r="D986" s="109" t="s">
        <v>2</v>
      </c>
      <c r="E986" s="109" t="s">
        <v>22</v>
      </c>
      <c r="F986" s="110">
        <f>Приложение_6!F124</f>
        <v>134200</v>
      </c>
      <c r="G986" s="110"/>
      <c r="I986" s="125">
        <v>134200</v>
      </c>
      <c r="L986" s="125">
        <f t="shared" si="40"/>
        <v>0</v>
      </c>
      <c r="M986" s="125">
        <f t="shared" si="41"/>
        <v>0</v>
      </c>
    </row>
    <row r="987" spans="1:13" ht="31.5">
      <c r="A987" s="115" t="s">
        <v>1214</v>
      </c>
      <c r="B987" s="116" t="s">
        <v>11</v>
      </c>
      <c r="C987" s="116" t="s">
        <v>1</v>
      </c>
      <c r="D987" s="116" t="s">
        <v>3</v>
      </c>
      <c r="E987" s="116" t="s">
        <v>3</v>
      </c>
      <c r="F987" s="117">
        <f>F988+F991+F994+F1002+F1008+F1012+F1016+F1021+F1029+F1032+F1035+F1026+F1005+F997</f>
        <v>37824270.160000004</v>
      </c>
      <c r="G987" s="117"/>
      <c r="I987" s="125">
        <v>32401430.89</v>
      </c>
      <c r="L987" s="125">
        <f t="shared" si="40"/>
        <v>-5422839.270000003</v>
      </c>
      <c r="M987" s="125">
        <f t="shared" si="41"/>
        <v>0</v>
      </c>
    </row>
    <row r="988" spans="1:13" ht="126" outlineLevel="3">
      <c r="A988" s="108" t="s">
        <v>443</v>
      </c>
      <c r="B988" s="109" t="s">
        <v>238</v>
      </c>
      <c r="C988" s="109" t="s">
        <v>1</v>
      </c>
      <c r="D988" s="109" t="s">
        <v>3</v>
      </c>
      <c r="E988" s="109" t="s">
        <v>3</v>
      </c>
      <c r="F988" s="110">
        <f>F989</f>
        <v>2114816.52</v>
      </c>
      <c r="G988" s="110"/>
      <c r="H988" s="125"/>
      <c r="I988" s="125">
        <v>2114816.52</v>
      </c>
      <c r="L988" s="125">
        <f t="shared" si="40"/>
        <v>0</v>
      </c>
      <c r="M988" s="125">
        <f t="shared" si="41"/>
        <v>0</v>
      </c>
    </row>
    <row r="989" spans="1:13" ht="78.75" outlineLevel="4">
      <c r="A989" s="108" t="s">
        <v>696</v>
      </c>
      <c r="B989" s="109" t="s">
        <v>238</v>
      </c>
      <c r="C989" s="109" t="s">
        <v>70</v>
      </c>
      <c r="D989" s="109" t="s">
        <v>3</v>
      </c>
      <c r="E989" s="109" t="s">
        <v>3</v>
      </c>
      <c r="F989" s="110">
        <f>F990</f>
        <v>2114816.52</v>
      </c>
      <c r="G989" s="110"/>
      <c r="I989" s="125">
        <v>2114816.52</v>
      </c>
      <c r="L989" s="125">
        <f t="shared" si="40"/>
        <v>0</v>
      </c>
      <c r="M989" s="125">
        <f t="shared" si="41"/>
        <v>0</v>
      </c>
    </row>
    <row r="990" spans="1:13" ht="47.25" outlineLevel="5">
      <c r="A990" s="108" t="s">
        <v>679</v>
      </c>
      <c r="B990" s="109" t="s">
        <v>238</v>
      </c>
      <c r="C990" s="109" t="s">
        <v>70</v>
      </c>
      <c r="D990" s="109" t="s">
        <v>159</v>
      </c>
      <c r="E990" s="109" t="s">
        <v>159</v>
      </c>
      <c r="F990" s="110">
        <f>Приложение_6!F542</f>
        <v>2114816.52</v>
      </c>
      <c r="G990" s="110"/>
      <c r="I990" s="125">
        <v>2114816.52</v>
      </c>
      <c r="L990" s="125">
        <f t="shared" si="40"/>
        <v>0</v>
      </c>
      <c r="M990" s="125">
        <f t="shared" si="41"/>
        <v>0</v>
      </c>
    </row>
    <row r="991" spans="1:13" ht="47.25" outlineLevel="3">
      <c r="A991" s="108" t="s">
        <v>431</v>
      </c>
      <c r="B991" s="109" t="s">
        <v>12</v>
      </c>
      <c r="C991" s="109" t="s">
        <v>1</v>
      </c>
      <c r="D991" s="109" t="s">
        <v>3</v>
      </c>
      <c r="E991" s="109" t="s">
        <v>3</v>
      </c>
      <c r="F991" s="110">
        <f>F992</f>
        <v>2124303</v>
      </c>
      <c r="G991" s="110"/>
      <c r="I991" s="125">
        <v>2124303</v>
      </c>
      <c r="L991" s="125">
        <f t="shared" si="40"/>
        <v>0</v>
      </c>
      <c r="M991" s="125">
        <f t="shared" si="41"/>
        <v>0</v>
      </c>
    </row>
    <row r="992" spans="1:13" ht="141.75" outlineLevel="4">
      <c r="A992" s="108" t="s">
        <v>1202</v>
      </c>
      <c r="B992" s="109" t="s">
        <v>12</v>
      </c>
      <c r="C992" s="109" t="s">
        <v>10</v>
      </c>
      <c r="D992" s="109" t="s">
        <v>3</v>
      </c>
      <c r="E992" s="109" t="s">
        <v>3</v>
      </c>
      <c r="F992" s="110">
        <f>F993</f>
        <v>2124303</v>
      </c>
      <c r="G992" s="110"/>
      <c r="I992" s="125">
        <v>2124303</v>
      </c>
      <c r="L992" s="125">
        <f t="shared" si="40"/>
        <v>0</v>
      </c>
      <c r="M992" s="125">
        <f t="shared" si="41"/>
        <v>0</v>
      </c>
    </row>
    <row r="993" spans="1:13" ht="63" outlineLevel="5">
      <c r="A993" s="108" t="s">
        <v>663</v>
      </c>
      <c r="B993" s="109" t="s">
        <v>12</v>
      </c>
      <c r="C993" s="109" t="s">
        <v>10</v>
      </c>
      <c r="D993" s="109" t="s">
        <v>2</v>
      </c>
      <c r="E993" s="109" t="s">
        <v>5</v>
      </c>
      <c r="F993" s="110">
        <f>Приложение_6!F24</f>
        <v>2124303</v>
      </c>
      <c r="G993" s="110"/>
      <c r="I993" s="125">
        <v>2124303</v>
      </c>
      <c r="L993" s="125">
        <f t="shared" si="40"/>
        <v>0</v>
      </c>
      <c r="M993" s="125">
        <f t="shared" si="41"/>
        <v>0</v>
      </c>
    </row>
    <row r="994" spans="1:13" ht="63" hidden="1" outlineLevel="3">
      <c r="A994" s="108" t="s">
        <v>433</v>
      </c>
      <c r="B994" s="109" t="s">
        <v>20</v>
      </c>
      <c r="C994" s="109" t="s">
        <v>1</v>
      </c>
      <c r="D994" s="109" t="s">
        <v>3</v>
      </c>
      <c r="E994" s="109" t="s">
        <v>3</v>
      </c>
      <c r="F994" s="110">
        <f>F995</f>
        <v>0</v>
      </c>
      <c r="G994" s="110"/>
      <c r="I994" s="125">
        <v>1714645</v>
      </c>
      <c r="L994" s="125">
        <f t="shared" si="40"/>
        <v>1714645</v>
      </c>
      <c r="M994" s="125">
        <f t="shared" si="41"/>
        <v>0</v>
      </c>
    </row>
    <row r="995" spans="1:13" ht="141.75" hidden="1" outlineLevel="4">
      <c r="A995" s="108" t="s">
        <v>1202</v>
      </c>
      <c r="B995" s="109" t="s">
        <v>20</v>
      </c>
      <c r="C995" s="109" t="s">
        <v>10</v>
      </c>
      <c r="D995" s="109" t="s">
        <v>3</v>
      </c>
      <c r="E995" s="109" t="s">
        <v>3</v>
      </c>
      <c r="F995" s="110">
        <f>F996</f>
        <v>0</v>
      </c>
      <c r="G995" s="110"/>
      <c r="I995" s="125">
        <v>1714645</v>
      </c>
      <c r="L995" s="125">
        <f t="shared" si="40"/>
        <v>1714645</v>
      </c>
      <c r="M995" s="125">
        <f t="shared" si="41"/>
        <v>0</v>
      </c>
    </row>
    <row r="996" spans="1:13" ht="94.5" hidden="1" outlineLevel="5">
      <c r="A996" s="108" t="s">
        <v>664</v>
      </c>
      <c r="B996" s="109" t="s">
        <v>20</v>
      </c>
      <c r="C996" s="109" t="s">
        <v>10</v>
      </c>
      <c r="D996" s="109" t="s">
        <v>2</v>
      </c>
      <c r="E996" s="109" t="s">
        <v>14</v>
      </c>
      <c r="F996" s="110">
        <f>Приложение_6!F42</f>
        <v>0</v>
      </c>
      <c r="G996" s="110"/>
      <c r="I996" s="125">
        <v>1714645</v>
      </c>
      <c r="L996" s="125">
        <f t="shared" si="40"/>
        <v>1714645</v>
      </c>
      <c r="M996" s="125">
        <f t="shared" si="41"/>
        <v>0</v>
      </c>
    </row>
    <row r="997" spans="1:13" ht="47.25" outlineLevel="5">
      <c r="A997" s="76" t="s">
        <v>1313</v>
      </c>
      <c r="B997" s="77" t="s">
        <v>1314</v>
      </c>
      <c r="C997" s="109" t="s">
        <v>1</v>
      </c>
      <c r="D997" s="109" t="s">
        <v>3</v>
      </c>
      <c r="E997" s="109" t="s">
        <v>3</v>
      </c>
      <c r="F997" s="110">
        <f>F1000+F998</f>
        <v>160500</v>
      </c>
      <c r="G997" s="110"/>
      <c r="I997" s="125"/>
      <c r="L997" s="125"/>
      <c r="M997" s="125"/>
    </row>
    <row r="998" spans="1:13" ht="141.75" outlineLevel="5">
      <c r="A998" s="76" t="s">
        <v>708</v>
      </c>
      <c r="B998" s="77" t="s">
        <v>1314</v>
      </c>
      <c r="C998" s="109" t="s">
        <v>10</v>
      </c>
      <c r="D998" s="109" t="s">
        <v>3</v>
      </c>
      <c r="E998" s="109" t="s">
        <v>3</v>
      </c>
      <c r="F998" s="110">
        <f>F999</f>
        <v>136500</v>
      </c>
      <c r="G998" s="110"/>
      <c r="I998" s="125"/>
      <c r="L998" s="125"/>
      <c r="M998" s="125"/>
    </row>
    <row r="999" spans="1:13" ht="63" outlineLevel="5">
      <c r="A999" s="108" t="s">
        <v>663</v>
      </c>
      <c r="B999" s="77" t="s">
        <v>1314</v>
      </c>
      <c r="C999" s="109" t="s">
        <v>10</v>
      </c>
      <c r="D999" s="109" t="s">
        <v>2</v>
      </c>
      <c r="E999" s="109" t="s">
        <v>5</v>
      </c>
      <c r="F999" s="110">
        <f>Приложение_6!F26</f>
        <v>136500</v>
      </c>
      <c r="G999" s="110"/>
      <c r="I999" s="125"/>
      <c r="L999" s="125"/>
      <c r="M999" s="125"/>
    </row>
    <row r="1000" spans="1:13" ht="63" outlineLevel="5">
      <c r="A1000" s="76" t="s">
        <v>693</v>
      </c>
      <c r="B1000" s="77" t="s">
        <v>1314</v>
      </c>
      <c r="C1000" s="109" t="s">
        <v>17</v>
      </c>
      <c r="D1000" s="109" t="s">
        <v>3</v>
      </c>
      <c r="E1000" s="109" t="s">
        <v>3</v>
      </c>
      <c r="F1000" s="110">
        <f>F1001</f>
        <v>24000</v>
      </c>
      <c r="G1000" s="110"/>
      <c r="I1000" s="125"/>
      <c r="L1000" s="125"/>
      <c r="M1000" s="125"/>
    </row>
    <row r="1001" spans="1:13" ht="63" outlineLevel="5">
      <c r="A1001" s="108" t="s">
        <v>663</v>
      </c>
      <c r="B1001" s="77" t="s">
        <v>1314</v>
      </c>
      <c r="C1001" s="109" t="s">
        <v>17</v>
      </c>
      <c r="D1001" s="109" t="s">
        <v>2</v>
      </c>
      <c r="E1001" s="109" t="s">
        <v>5</v>
      </c>
      <c r="F1001" s="110">
        <f>Приложение_6!F27</f>
        <v>24000</v>
      </c>
      <c r="G1001" s="110"/>
      <c r="I1001" s="125"/>
      <c r="L1001" s="125"/>
      <c r="M1001" s="125"/>
    </row>
    <row r="1002" spans="1:13" ht="78.75" outlineLevel="3">
      <c r="A1002" s="108" t="s">
        <v>437</v>
      </c>
      <c r="B1002" s="109" t="s">
        <v>61</v>
      </c>
      <c r="C1002" s="109" t="s">
        <v>1</v>
      </c>
      <c r="D1002" s="109" t="s">
        <v>3</v>
      </c>
      <c r="E1002" s="109" t="s">
        <v>3</v>
      </c>
      <c r="F1002" s="110">
        <f>F1003</f>
        <v>1753836.66</v>
      </c>
      <c r="G1002" s="110"/>
      <c r="I1002" s="125">
        <v>1299819</v>
      </c>
      <c r="L1002" s="125">
        <f t="shared" si="40"/>
        <v>-454017.6599999999</v>
      </c>
      <c r="M1002" s="125">
        <f t="shared" si="41"/>
        <v>0</v>
      </c>
    </row>
    <row r="1003" spans="1:13" ht="141.75" outlineLevel="4">
      <c r="A1003" s="108" t="s">
        <v>1202</v>
      </c>
      <c r="B1003" s="109" t="s">
        <v>61</v>
      </c>
      <c r="C1003" s="109" t="s">
        <v>10</v>
      </c>
      <c r="D1003" s="109" t="s">
        <v>3</v>
      </c>
      <c r="E1003" s="109" t="s">
        <v>3</v>
      </c>
      <c r="F1003" s="110">
        <f>F1004</f>
        <v>1753836.66</v>
      </c>
      <c r="G1003" s="110"/>
      <c r="I1003" s="125">
        <v>1299819</v>
      </c>
      <c r="L1003" s="125">
        <f t="shared" si="40"/>
        <v>-454017.6599999999</v>
      </c>
      <c r="M1003" s="125">
        <f t="shared" si="41"/>
        <v>0</v>
      </c>
    </row>
    <row r="1004" spans="1:13" ht="94.5" outlineLevel="5">
      <c r="A1004" s="108" t="s">
        <v>666</v>
      </c>
      <c r="B1004" s="109" t="s">
        <v>61</v>
      </c>
      <c r="C1004" s="109" t="s">
        <v>10</v>
      </c>
      <c r="D1004" s="109" t="s">
        <v>2</v>
      </c>
      <c r="E1004" s="109" t="s">
        <v>60</v>
      </c>
      <c r="F1004" s="110">
        <f>Приложение_6!F137</f>
        <v>1753836.66</v>
      </c>
      <c r="G1004" s="110"/>
      <c r="I1004" s="125">
        <v>1299819</v>
      </c>
      <c r="L1004" s="125">
        <f t="shared" si="40"/>
        <v>-454017.6599999999</v>
      </c>
      <c r="M1004" s="125">
        <f t="shared" si="41"/>
        <v>0</v>
      </c>
    </row>
    <row r="1005" spans="1:13" ht="47.25" outlineLevel="5">
      <c r="A1005" s="134" t="s">
        <v>1240</v>
      </c>
      <c r="B1005" s="135" t="s">
        <v>1241</v>
      </c>
      <c r="C1005" s="135" t="s">
        <v>1</v>
      </c>
      <c r="D1005" s="220" t="s">
        <v>3</v>
      </c>
      <c r="E1005" s="220" t="s">
        <v>3</v>
      </c>
      <c r="F1005" s="221">
        <f>F1006</f>
        <v>1063600</v>
      </c>
      <c r="G1005" s="110"/>
      <c r="I1005" s="125"/>
      <c r="L1005" s="125"/>
      <c r="M1005" s="125"/>
    </row>
    <row r="1006" spans="1:13" ht="31.5" outlineLevel="5">
      <c r="A1006" s="108" t="s">
        <v>695</v>
      </c>
      <c r="B1006" s="135" t="s">
        <v>1241</v>
      </c>
      <c r="C1006" s="135" t="s">
        <v>65</v>
      </c>
      <c r="D1006" s="220" t="s">
        <v>3</v>
      </c>
      <c r="E1006" s="220" t="s">
        <v>3</v>
      </c>
      <c r="F1006" s="221">
        <f>F1007</f>
        <v>1063600</v>
      </c>
      <c r="G1006" s="110"/>
      <c r="I1006" s="125"/>
      <c r="L1006" s="125"/>
      <c r="M1006" s="125"/>
    </row>
    <row r="1007" spans="1:13" ht="31.5" outlineLevel="5">
      <c r="A1007" s="108" t="s">
        <v>1239</v>
      </c>
      <c r="B1007" s="135" t="s">
        <v>1241</v>
      </c>
      <c r="C1007" s="135" t="s">
        <v>65</v>
      </c>
      <c r="D1007" s="220" t="s">
        <v>2</v>
      </c>
      <c r="E1007" s="220" t="s">
        <v>239</v>
      </c>
      <c r="F1007" s="221">
        <f>Приложение_6!F147</f>
        <v>1063600</v>
      </c>
      <c r="G1007" s="110"/>
      <c r="I1007" s="125"/>
      <c r="L1007" s="125"/>
      <c r="M1007" s="125"/>
    </row>
    <row r="1008" spans="1:13" ht="63" outlineLevel="3">
      <c r="A1008" s="108" t="s">
        <v>434</v>
      </c>
      <c r="B1008" s="109" t="s">
        <v>21</v>
      </c>
      <c r="C1008" s="109" t="s">
        <v>1</v>
      </c>
      <c r="D1008" s="109" t="s">
        <v>3</v>
      </c>
      <c r="E1008" s="109" t="s">
        <v>3</v>
      </c>
      <c r="F1008" s="110">
        <f>F1009</f>
        <v>5035241</v>
      </c>
      <c r="G1008" s="110"/>
      <c r="I1008" s="125">
        <v>5035241</v>
      </c>
      <c r="L1008" s="125">
        <f t="shared" si="40"/>
        <v>0</v>
      </c>
      <c r="M1008" s="125">
        <f t="shared" si="41"/>
        <v>0</v>
      </c>
    </row>
    <row r="1009" spans="1:13" ht="141.75" outlineLevel="4">
      <c r="A1009" s="108" t="s">
        <v>1202</v>
      </c>
      <c r="B1009" s="109" t="s">
        <v>21</v>
      </c>
      <c r="C1009" s="109" t="s">
        <v>10</v>
      </c>
      <c r="D1009" s="109" t="s">
        <v>3</v>
      </c>
      <c r="E1009" s="109" t="s">
        <v>3</v>
      </c>
      <c r="F1009" s="110">
        <f>F1010+F1011</f>
        <v>5035241</v>
      </c>
      <c r="G1009" s="110"/>
      <c r="I1009" s="125">
        <v>5035241</v>
      </c>
      <c r="L1009" s="125">
        <f t="shared" si="40"/>
        <v>0</v>
      </c>
      <c r="M1009" s="125">
        <f t="shared" si="41"/>
        <v>0</v>
      </c>
    </row>
    <row r="1010" spans="1:13" ht="94.5" outlineLevel="5">
      <c r="A1010" s="108" t="s">
        <v>664</v>
      </c>
      <c r="B1010" s="109" t="s">
        <v>21</v>
      </c>
      <c r="C1010" s="109" t="s">
        <v>10</v>
      </c>
      <c r="D1010" s="109" t="s">
        <v>2</v>
      </c>
      <c r="E1010" s="109" t="s">
        <v>14</v>
      </c>
      <c r="F1010" s="110">
        <f>Приложение_6!F44</f>
        <v>2987580</v>
      </c>
      <c r="G1010" s="110"/>
      <c r="I1010" s="125">
        <v>2987580</v>
      </c>
      <c r="L1010" s="125">
        <f t="shared" si="40"/>
        <v>0</v>
      </c>
      <c r="M1010" s="125">
        <f t="shared" si="41"/>
        <v>0</v>
      </c>
    </row>
    <row r="1011" spans="1:13" ht="94.5" outlineLevel="5">
      <c r="A1011" s="108" t="s">
        <v>666</v>
      </c>
      <c r="B1011" s="109" t="s">
        <v>21</v>
      </c>
      <c r="C1011" s="109" t="s">
        <v>10</v>
      </c>
      <c r="D1011" s="109" t="s">
        <v>2</v>
      </c>
      <c r="E1011" s="109" t="s">
        <v>60</v>
      </c>
      <c r="F1011" s="110">
        <f>Приложение_6!F139</f>
        <v>2047661</v>
      </c>
      <c r="G1011" s="110"/>
      <c r="I1011" s="125">
        <v>2047661</v>
      </c>
      <c r="L1011" s="125">
        <f t="shared" si="40"/>
        <v>0</v>
      </c>
      <c r="M1011" s="125">
        <f t="shared" si="41"/>
        <v>0</v>
      </c>
    </row>
    <row r="1012" spans="1:13" ht="78.75" outlineLevel="3">
      <c r="A1012" s="108" t="s">
        <v>436</v>
      </c>
      <c r="B1012" s="109" t="s">
        <v>62</v>
      </c>
      <c r="C1012" s="109" t="s">
        <v>1</v>
      </c>
      <c r="D1012" s="109" t="s">
        <v>3</v>
      </c>
      <c r="E1012" s="109" t="s">
        <v>3</v>
      </c>
      <c r="F1012" s="110">
        <f>F1013</f>
        <v>839986.14</v>
      </c>
      <c r="G1012" s="110"/>
      <c r="I1012" s="125">
        <v>548195</v>
      </c>
      <c r="L1012" s="125">
        <f t="shared" si="40"/>
        <v>-291791.14</v>
      </c>
      <c r="M1012" s="125">
        <f t="shared" si="41"/>
        <v>0</v>
      </c>
    </row>
    <row r="1013" spans="1:13" ht="141.75" outlineLevel="4">
      <c r="A1013" s="108" t="s">
        <v>1202</v>
      </c>
      <c r="B1013" s="109" t="s">
        <v>62</v>
      </c>
      <c r="C1013" s="109" t="s">
        <v>10</v>
      </c>
      <c r="D1013" s="109" t="s">
        <v>3</v>
      </c>
      <c r="E1013" s="109" t="s">
        <v>3</v>
      </c>
      <c r="F1013" s="110">
        <f>F1015+F1014</f>
        <v>839986.14</v>
      </c>
      <c r="G1013" s="110"/>
      <c r="I1013" s="125">
        <v>548195</v>
      </c>
      <c r="L1013" s="125">
        <f t="shared" si="40"/>
        <v>-291791.14</v>
      </c>
      <c r="M1013" s="125">
        <f t="shared" si="41"/>
        <v>0</v>
      </c>
    </row>
    <row r="1014" spans="1:13" ht="94.5" outlineLevel="4">
      <c r="A1014" s="108" t="s">
        <v>664</v>
      </c>
      <c r="B1014" s="109" t="s">
        <v>62</v>
      </c>
      <c r="C1014" s="109" t="s">
        <v>10</v>
      </c>
      <c r="D1014" s="109" t="s">
        <v>2</v>
      </c>
      <c r="E1014" s="109" t="s">
        <v>14</v>
      </c>
      <c r="F1014" s="110">
        <f>Приложение_6!F45</f>
        <v>306387.97</v>
      </c>
      <c r="G1014" s="110"/>
      <c r="I1014" s="125"/>
      <c r="L1014" s="125"/>
      <c r="M1014" s="125"/>
    </row>
    <row r="1015" spans="1:13" ht="94.5" outlineLevel="5">
      <c r="A1015" s="108" t="s">
        <v>666</v>
      </c>
      <c r="B1015" s="109" t="s">
        <v>62</v>
      </c>
      <c r="C1015" s="109" t="s">
        <v>10</v>
      </c>
      <c r="D1015" s="109" t="s">
        <v>2</v>
      </c>
      <c r="E1015" s="109" t="s">
        <v>60</v>
      </c>
      <c r="F1015" s="110">
        <f>Приложение_6!F141</f>
        <v>533598.17</v>
      </c>
      <c r="G1015" s="110"/>
      <c r="I1015" s="125">
        <v>548195</v>
      </c>
      <c r="L1015" s="125">
        <f t="shared" si="40"/>
        <v>14596.829999999958</v>
      </c>
      <c r="M1015" s="125">
        <f t="shared" si="41"/>
        <v>0</v>
      </c>
    </row>
    <row r="1016" spans="1:13" ht="126" outlineLevel="3">
      <c r="A1016" s="108" t="s">
        <v>432</v>
      </c>
      <c r="B1016" s="109" t="s">
        <v>13</v>
      </c>
      <c r="C1016" s="109" t="s">
        <v>1</v>
      </c>
      <c r="D1016" s="109" t="s">
        <v>3</v>
      </c>
      <c r="E1016" s="109" t="s">
        <v>3</v>
      </c>
      <c r="F1016" s="110">
        <f>F1017</f>
        <v>244000</v>
      </c>
      <c r="G1016" s="110"/>
      <c r="I1016" s="125">
        <v>244000</v>
      </c>
      <c r="L1016" s="125">
        <f t="shared" si="40"/>
        <v>0</v>
      </c>
      <c r="M1016" s="125">
        <f t="shared" si="41"/>
        <v>0</v>
      </c>
    </row>
    <row r="1017" spans="1:13" ht="141.75" outlineLevel="4">
      <c r="A1017" s="108" t="s">
        <v>1202</v>
      </c>
      <c r="B1017" s="109" t="s">
        <v>13</v>
      </c>
      <c r="C1017" s="109" t="s">
        <v>10</v>
      </c>
      <c r="D1017" s="109" t="s">
        <v>3</v>
      </c>
      <c r="E1017" s="109" t="s">
        <v>3</v>
      </c>
      <c r="F1017" s="110">
        <f>F1018+F1019+F1020</f>
        <v>244000</v>
      </c>
      <c r="G1017" s="110"/>
      <c r="I1017" s="125">
        <v>244000</v>
      </c>
      <c r="L1017" s="125">
        <f t="shared" si="40"/>
        <v>0</v>
      </c>
      <c r="M1017" s="125">
        <f t="shared" si="41"/>
        <v>0</v>
      </c>
    </row>
    <row r="1018" spans="1:13" ht="63" outlineLevel="5">
      <c r="A1018" s="108" t="s">
        <v>663</v>
      </c>
      <c r="B1018" s="109" t="s">
        <v>13</v>
      </c>
      <c r="C1018" s="109" t="s">
        <v>10</v>
      </c>
      <c r="D1018" s="109" t="s">
        <v>2</v>
      </c>
      <c r="E1018" s="109" t="s">
        <v>5</v>
      </c>
      <c r="F1018" s="110">
        <f>Приложение_6!F29</f>
        <v>25000</v>
      </c>
      <c r="G1018" s="110"/>
      <c r="I1018" s="125">
        <v>25000</v>
      </c>
      <c r="L1018" s="125">
        <f t="shared" si="40"/>
        <v>0</v>
      </c>
      <c r="M1018" s="125">
        <f t="shared" si="41"/>
        <v>0</v>
      </c>
    </row>
    <row r="1019" spans="1:13" ht="94.5" outlineLevel="5">
      <c r="A1019" s="108" t="s">
        <v>664</v>
      </c>
      <c r="B1019" s="109" t="s">
        <v>13</v>
      </c>
      <c r="C1019" s="109" t="s">
        <v>10</v>
      </c>
      <c r="D1019" s="109" t="s">
        <v>2</v>
      </c>
      <c r="E1019" s="109" t="s">
        <v>14</v>
      </c>
      <c r="F1019" s="110">
        <f>Приложение_6!F48</f>
        <v>133000</v>
      </c>
      <c r="G1019" s="110"/>
      <c r="I1019" s="125">
        <v>133000</v>
      </c>
      <c r="L1019" s="125">
        <f t="shared" si="40"/>
        <v>0</v>
      </c>
      <c r="M1019" s="125">
        <f t="shared" si="41"/>
        <v>0</v>
      </c>
    </row>
    <row r="1020" spans="1:13" ht="94.5" outlineLevel="5">
      <c r="A1020" s="108" t="s">
        <v>666</v>
      </c>
      <c r="B1020" s="109" t="s">
        <v>13</v>
      </c>
      <c r="C1020" s="109" t="s">
        <v>10</v>
      </c>
      <c r="D1020" s="109" t="s">
        <v>2</v>
      </c>
      <c r="E1020" s="109" t="s">
        <v>60</v>
      </c>
      <c r="F1020" s="110">
        <f>Приложение_6!F143</f>
        <v>86000</v>
      </c>
      <c r="G1020" s="110"/>
      <c r="I1020" s="125">
        <v>86000</v>
      </c>
      <c r="L1020" s="125">
        <f t="shared" si="40"/>
        <v>0</v>
      </c>
      <c r="M1020" s="125">
        <f t="shared" si="41"/>
        <v>0</v>
      </c>
    </row>
    <row r="1021" spans="1:13" ht="47.25" outlineLevel="3">
      <c r="A1021" s="108" t="s">
        <v>447</v>
      </c>
      <c r="B1021" s="109" t="s">
        <v>141</v>
      </c>
      <c r="C1021" s="109" t="s">
        <v>1</v>
      </c>
      <c r="D1021" s="109" t="s">
        <v>3</v>
      </c>
      <c r="E1021" s="109" t="s">
        <v>3</v>
      </c>
      <c r="F1021" s="110">
        <f>F1022+F1024</f>
        <v>645754.4199999999</v>
      </c>
      <c r="G1021" s="110"/>
      <c r="I1021" s="125">
        <v>736764.42</v>
      </c>
      <c r="L1021" s="125">
        <f aca="true" t="shared" si="42" ref="L1021:L1047">I1021-F1021</f>
        <v>91010.00000000012</v>
      </c>
      <c r="M1021" s="125">
        <f aca="true" t="shared" si="43" ref="M1021:M1047">J1021-G1021</f>
        <v>0</v>
      </c>
    </row>
    <row r="1022" spans="1:13" ht="63" outlineLevel="4">
      <c r="A1022" s="108" t="s">
        <v>693</v>
      </c>
      <c r="B1022" s="109" t="s">
        <v>141</v>
      </c>
      <c r="C1022" s="109" t="s">
        <v>17</v>
      </c>
      <c r="D1022" s="109" t="s">
        <v>3</v>
      </c>
      <c r="E1022" s="109" t="s">
        <v>3</v>
      </c>
      <c r="F1022" s="110">
        <f>F1023</f>
        <v>197850</v>
      </c>
      <c r="G1022" s="110"/>
      <c r="I1022" s="125">
        <v>249000</v>
      </c>
      <c r="L1022" s="125">
        <f t="shared" si="42"/>
        <v>51150</v>
      </c>
      <c r="M1022" s="125">
        <f t="shared" si="43"/>
        <v>0</v>
      </c>
    </row>
    <row r="1023" spans="1:13" ht="31.5" outlineLevel="5">
      <c r="A1023" s="108" t="s">
        <v>668</v>
      </c>
      <c r="B1023" s="109" t="s">
        <v>141</v>
      </c>
      <c r="C1023" s="109" t="s">
        <v>17</v>
      </c>
      <c r="D1023" s="109" t="s">
        <v>2</v>
      </c>
      <c r="E1023" s="109" t="s">
        <v>66</v>
      </c>
      <c r="F1023" s="110">
        <f>Приложение_6!F280</f>
        <v>197850</v>
      </c>
      <c r="G1023" s="110"/>
      <c r="I1023" s="125">
        <v>249000</v>
      </c>
      <c r="L1023" s="125">
        <f t="shared" si="42"/>
        <v>51150</v>
      </c>
      <c r="M1023" s="125">
        <f t="shared" si="43"/>
        <v>0</v>
      </c>
    </row>
    <row r="1024" spans="1:13" ht="31.5" outlineLevel="4">
      <c r="A1024" s="108" t="s">
        <v>695</v>
      </c>
      <c r="B1024" s="109" t="s">
        <v>141</v>
      </c>
      <c r="C1024" s="109" t="s">
        <v>65</v>
      </c>
      <c r="D1024" s="109" t="s">
        <v>3</v>
      </c>
      <c r="E1024" s="109" t="s">
        <v>3</v>
      </c>
      <c r="F1024" s="110">
        <f>F1025</f>
        <v>447904.42</v>
      </c>
      <c r="G1024" s="110"/>
      <c r="I1024" s="125">
        <v>487764.42</v>
      </c>
      <c r="L1024" s="125">
        <f t="shared" si="42"/>
        <v>39860</v>
      </c>
      <c r="M1024" s="125">
        <f t="shared" si="43"/>
        <v>0</v>
      </c>
    </row>
    <row r="1025" spans="1:13" ht="31.5" outlineLevel="5">
      <c r="A1025" s="108" t="s">
        <v>668</v>
      </c>
      <c r="B1025" s="109" t="s">
        <v>141</v>
      </c>
      <c r="C1025" s="109" t="s">
        <v>65</v>
      </c>
      <c r="D1025" s="109" t="s">
        <v>2</v>
      </c>
      <c r="E1025" s="109" t="s">
        <v>66</v>
      </c>
      <c r="F1025" s="110">
        <f>Приложение_6!F281</f>
        <v>447904.42</v>
      </c>
      <c r="G1025" s="110"/>
      <c r="I1025" s="125">
        <v>487764.42</v>
      </c>
      <c r="L1025" s="125">
        <f t="shared" si="42"/>
        <v>39860</v>
      </c>
      <c r="M1025" s="125">
        <f t="shared" si="43"/>
        <v>0</v>
      </c>
    </row>
    <row r="1026" spans="1:13" ht="31.5" outlineLevel="5">
      <c r="A1026" s="76" t="s">
        <v>1234</v>
      </c>
      <c r="B1026" s="77" t="s">
        <v>1235</v>
      </c>
      <c r="C1026" s="77" t="s">
        <v>1</v>
      </c>
      <c r="D1026" s="109" t="s">
        <v>3</v>
      </c>
      <c r="E1026" s="109" t="s">
        <v>3</v>
      </c>
      <c r="F1026" s="110">
        <f>F1027</f>
        <v>720000</v>
      </c>
      <c r="G1026" s="110"/>
      <c r="I1026" s="125"/>
      <c r="L1026" s="125"/>
      <c r="M1026" s="125"/>
    </row>
    <row r="1027" spans="1:13" ht="31.5" outlineLevel="5">
      <c r="A1027" s="76" t="s">
        <v>695</v>
      </c>
      <c r="B1027" s="77" t="s">
        <v>1235</v>
      </c>
      <c r="C1027" s="77" t="s">
        <v>65</v>
      </c>
      <c r="D1027" s="109" t="s">
        <v>3</v>
      </c>
      <c r="E1027" s="109" t="s">
        <v>3</v>
      </c>
      <c r="F1027" s="110">
        <f>F1028</f>
        <v>720000</v>
      </c>
      <c r="G1027" s="110"/>
      <c r="I1027" s="125"/>
      <c r="L1027" s="125"/>
      <c r="M1027" s="125"/>
    </row>
    <row r="1028" spans="1:13" ht="31.5" outlineLevel="5">
      <c r="A1028" s="108" t="s">
        <v>668</v>
      </c>
      <c r="B1028" s="77" t="s">
        <v>1235</v>
      </c>
      <c r="C1028" s="109" t="s">
        <v>65</v>
      </c>
      <c r="D1028" s="109" t="s">
        <v>2</v>
      </c>
      <c r="E1028" s="109" t="s">
        <v>66</v>
      </c>
      <c r="F1028" s="110">
        <f>Приложение_6!F283</f>
        <v>720000</v>
      </c>
      <c r="G1028" s="110"/>
      <c r="I1028" s="125"/>
      <c r="L1028" s="125"/>
      <c r="M1028" s="125"/>
    </row>
    <row r="1029" spans="1:13" ht="47.25" outlineLevel="3">
      <c r="A1029" s="108" t="s">
        <v>438</v>
      </c>
      <c r="B1029" s="109" t="s">
        <v>64</v>
      </c>
      <c r="C1029" s="109" t="s">
        <v>1</v>
      </c>
      <c r="D1029" s="109" t="s">
        <v>3</v>
      </c>
      <c r="E1029" s="109" t="s">
        <v>3</v>
      </c>
      <c r="F1029" s="110">
        <f>F1030</f>
        <v>513310</v>
      </c>
      <c r="G1029" s="110"/>
      <c r="I1029" s="125">
        <v>1606000</v>
      </c>
      <c r="L1029" s="125">
        <f t="shared" si="42"/>
        <v>1092690</v>
      </c>
      <c r="M1029" s="125">
        <f t="shared" si="43"/>
        <v>0</v>
      </c>
    </row>
    <row r="1030" spans="1:13" ht="31.5" outlineLevel="4">
      <c r="A1030" s="108" t="s">
        <v>695</v>
      </c>
      <c r="B1030" s="109" t="s">
        <v>64</v>
      </c>
      <c r="C1030" s="109" t="s">
        <v>65</v>
      </c>
      <c r="D1030" s="109" t="s">
        <v>3</v>
      </c>
      <c r="E1030" s="109" t="s">
        <v>3</v>
      </c>
      <c r="F1030" s="110">
        <f>F1031</f>
        <v>513310</v>
      </c>
      <c r="G1030" s="110"/>
      <c r="I1030" s="125">
        <v>1606000</v>
      </c>
      <c r="L1030" s="125">
        <f t="shared" si="42"/>
        <v>1092690</v>
      </c>
      <c r="M1030" s="125">
        <f t="shared" si="43"/>
        <v>0</v>
      </c>
    </row>
    <row r="1031" spans="1:13" ht="15.75" outlineLevel="5">
      <c r="A1031" s="108" t="s">
        <v>667</v>
      </c>
      <c r="B1031" s="109" t="s">
        <v>64</v>
      </c>
      <c r="C1031" s="109" t="s">
        <v>65</v>
      </c>
      <c r="D1031" s="109" t="s">
        <v>2</v>
      </c>
      <c r="E1031" s="109" t="s">
        <v>63</v>
      </c>
      <c r="F1031" s="110">
        <f>Приложение_6!F151</f>
        <v>513310</v>
      </c>
      <c r="G1031" s="110"/>
      <c r="I1031" s="125">
        <v>1606000</v>
      </c>
      <c r="L1031" s="125">
        <f t="shared" si="42"/>
        <v>1092690</v>
      </c>
      <c r="M1031" s="125">
        <f t="shared" si="43"/>
        <v>0</v>
      </c>
    </row>
    <row r="1032" spans="1:13" ht="173.25" outlineLevel="3">
      <c r="A1032" s="108" t="s">
        <v>472</v>
      </c>
      <c r="B1032" s="109" t="s">
        <v>372</v>
      </c>
      <c r="C1032" s="109" t="s">
        <v>1</v>
      </c>
      <c r="D1032" s="109" t="s">
        <v>3</v>
      </c>
      <c r="E1032" s="109" t="s">
        <v>3</v>
      </c>
      <c r="F1032" s="110">
        <f>F1033</f>
        <v>8284864.61</v>
      </c>
      <c r="G1032" s="110"/>
      <c r="I1032" s="125">
        <v>8284864.61</v>
      </c>
      <c r="L1032" s="125">
        <f t="shared" si="42"/>
        <v>0</v>
      </c>
      <c r="M1032" s="125">
        <f t="shared" si="43"/>
        <v>0</v>
      </c>
    </row>
    <row r="1033" spans="1:13" ht="31.5" outlineLevel="4">
      <c r="A1033" s="108" t="s">
        <v>694</v>
      </c>
      <c r="B1033" s="109" t="s">
        <v>372</v>
      </c>
      <c r="C1033" s="109" t="s">
        <v>47</v>
      </c>
      <c r="D1033" s="109" t="s">
        <v>3</v>
      </c>
      <c r="E1033" s="109" t="s">
        <v>3</v>
      </c>
      <c r="F1033" s="110">
        <f>F1034</f>
        <v>8284864.61</v>
      </c>
      <c r="G1033" s="110"/>
      <c r="I1033" s="125">
        <v>8284864.61</v>
      </c>
      <c r="L1033" s="125">
        <f t="shared" si="42"/>
        <v>0</v>
      </c>
      <c r="M1033" s="125">
        <f t="shared" si="43"/>
        <v>0</v>
      </c>
    </row>
    <row r="1034" spans="1:13" ht="15.75" outlineLevel="5">
      <c r="A1034" s="108" t="s">
        <v>686</v>
      </c>
      <c r="B1034" s="109" t="s">
        <v>372</v>
      </c>
      <c r="C1034" s="109" t="s">
        <v>47</v>
      </c>
      <c r="D1034" s="109" t="s">
        <v>187</v>
      </c>
      <c r="E1034" s="109" t="s">
        <v>2</v>
      </c>
      <c r="F1034" s="110">
        <f>Приложение_6!F845</f>
        <v>8284864.61</v>
      </c>
      <c r="G1034" s="110"/>
      <c r="I1034" s="125">
        <v>8284864.61</v>
      </c>
      <c r="L1034" s="125">
        <f t="shared" si="42"/>
        <v>0</v>
      </c>
      <c r="M1034" s="125">
        <f t="shared" si="43"/>
        <v>0</v>
      </c>
    </row>
    <row r="1035" spans="1:13" ht="47.25" outlineLevel="3">
      <c r="A1035" s="108" t="s">
        <v>448</v>
      </c>
      <c r="B1035" s="109" t="s">
        <v>142</v>
      </c>
      <c r="C1035" s="109" t="s">
        <v>1</v>
      </c>
      <c r="D1035" s="109" t="s">
        <v>3</v>
      </c>
      <c r="E1035" s="109" t="s">
        <v>3</v>
      </c>
      <c r="F1035" s="110">
        <f>F1042+F1044+F1038+F1037+F1040</f>
        <v>14324057.81</v>
      </c>
      <c r="G1035" s="110"/>
      <c r="I1035" s="125">
        <v>8692782.34</v>
      </c>
      <c r="L1035" s="125">
        <f t="shared" si="42"/>
        <v>-5631275.470000001</v>
      </c>
      <c r="M1035" s="125">
        <f t="shared" si="43"/>
        <v>0</v>
      </c>
    </row>
    <row r="1036" spans="1:13" ht="141.75" outlineLevel="3">
      <c r="A1036" s="148" t="s">
        <v>708</v>
      </c>
      <c r="B1036" s="109" t="s">
        <v>142</v>
      </c>
      <c r="C1036" s="109" t="s">
        <v>10</v>
      </c>
      <c r="D1036" s="109" t="s">
        <v>3</v>
      </c>
      <c r="E1036" s="109" t="s">
        <v>3</v>
      </c>
      <c r="F1036" s="110">
        <f>F1037</f>
        <v>32252.02</v>
      </c>
      <c r="G1036" s="212"/>
      <c r="I1036" s="125"/>
      <c r="L1036" s="125"/>
      <c r="M1036" s="125"/>
    </row>
    <row r="1037" spans="1:13" ht="31.5" outlineLevel="3">
      <c r="A1037" s="108" t="s">
        <v>668</v>
      </c>
      <c r="B1037" s="109" t="s">
        <v>142</v>
      </c>
      <c r="C1037" s="109" t="s">
        <v>10</v>
      </c>
      <c r="D1037" s="109" t="s">
        <v>2</v>
      </c>
      <c r="E1037" s="109" t="s">
        <v>66</v>
      </c>
      <c r="F1037" s="110">
        <f>Приложение_6!F285</f>
        <v>32252.02</v>
      </c>
      <c r="G1037" s="212"/>
      <c r="I1037" s="125"/>
      <c r="L1037" s="125"/>
      <c r="M1037" s="125"/>
    </row>
    <row r="1038" spans="1:13" ht="63" outlineLevel="3">
      <c r="A1038" s="19" t="s">
        <v>693</v>
      </c>
      <c r="B1038" s="109" t="s">
        <v>142</v>
      </c>
      <c r="C1038" s="109" t="s">
        <v>17</v>
      </c>
      <c r="D1038" s="109" t="s">
        <v>3</v>
      </c>
      <c r="E1038" s="109" t="s">
        <v>3</v>
      </c>
      <c r="F1038" s="110">
        <f>F1039</f>
        <v>1666722.4199999997</v>
      </c>
      <c r="G1038" s="110"/>
      <c r="I1038" s="125"/>
      <c r="L1038" s="125"/>
      <c r="M1038" s="125"/>
    </row>
    <row r="1039" spans="1:13" ht="31.5" outlineLevel="3">
      <c r="A1039" s="108" t="s">
        <v>668</v>
      </c>
      <c r="B1039" s="109" t="s">
        <v>142</v>
      </c>
      <c r="C1039" s="109" t="s">
        <v>17</v>
      </c>
      <c r="D1039" s="109" t="s">
        <v>2</v>
      </c>
      <c r="E1039" s="109" t="s">
        <v>66</v>
      </c>
      <c r="F1039" s="110">
        <f>Приложение_6!F286</f>
        <v>1666722.4199999997</v>
      </c>
      <c r="G1039" s="110"/>
      <c r="I1039" s="125"/>
      <c r="L1039" s="125"/>
      <c r="M1039" s="125"/>
    </row>
    <row r="1040" spans="1:13" ht="31.5" outlineLevel="3">
      <c r="A1040" s="108" t="s">
        <v>694</v>
      </c>
      <c r="B1040" s="109" t="s">
        <v>142</v>
      </c>
      <c r="C1040" s="109" t="s">
        <v>47</v>
      </c>
      <c r="D1040" s="109" t="s">
        <v>3</v>
      </c>
      <c r="E1040" s="109" t="s">
        <v>3</v>
      </c>
      <c r="F1040" s="110">
        <f>F1041</f>
        <v>29090</v>
      </c>
      <c r="G1040" s="110"/>
      <c r="I1040" s="125"/>
      <c r="L1040" s="125"/>
      <c r="M1040" s="125"/>
    </row>
    <row r="1041" spans="1:13" ht="31.5" outlineLevel="3">
      <c r="A1041" s="108" t="s">
        <v>668</v>
      </c>
      <c r="B1041" s="109" t="s">
        <v>142</v>
      </c>
      <c r="C1041" s="109" t="s">
        <v>47</v>
      </c>
      <c r="D1041" s="109" t="s">
        <v>2</v>
      </c>
      <c r="E1041" s="109" t="s">
        <v>66</v>
      </c>
      <c r="F1041" s="110">
        <f>Приложение_6!F287</f>
        <v>29090</v>
      </c>
      <c r="G1041" s="110"/>
      <c r="I1041" s="125"/>
      <c r="L1041" s="125"/>
      <c r="M1041" s="125"/>
    </row>
    <row r="1042" spans="1:13" ht="63" outlineLevel="4">
      <c r="A1042" s="108" t="s">
        <v>1213</v>
      </c>
      <c r="B1042" s="109" t="s">
        <v>142</v>
      </c>
      <c r="C1042" s="109" t="s">
        <v>143</v>
      </c>
      <c r="D1042" s="109" t="s">
        <v>3</v>
      </c>
      <c r="E1042" s="109" t="s">
        <v>3</v>
      </c>
      <c r="F1042" s="110">
        <f>F1043</f>
        <v>9289149.63</v>
      </c>
      <c r="G1042" s="110"/>
      <c r="I1042" s="125">
        <v>8500008.46</v>
      </c>
      <c r="L1042" s="125">
        <f t="shared" si="42"/>
        <v>-789141.1699999999</v>
      </c>
      <c r="M1042" s="125">
        <f>J1042-G1042</f>
        <v>0</v>
      </c>
    </row>
    <row r="1043" spans="1:13" ht="31.5" outlineLevel="5">
      <c r="A1043" s="108" t="s">
        <v>668</v>
      </c>
      <c r="B1043" s="109" t="s">
        <v>142</v>
      </c>
      <c r="C1043" s="109" t="s">
        <v>143</v>
      </c>
      <c r="D1043" s="109" t="s">
        <v>2</v>
      </c>
      <c r="E1043" s="109" t="s">
        <v>66</v>
      </c>
      <c r="F1043" s="110">
        <f>Приложение_6!F288</f>
        <v>9289149.63</v>
      </c>
      <c r="G1043" s="110"/>
      <c r="I1043" s="125">
        <v>8500008.46</v>
      </c>
      <c r="L1043" s="125">
        <f t="shared" si="42"/>
        <v>-789141.1699999999</v>
      </c>
      <c r="M1043" s="125">
        <f t="shared" si="43"/>
        <v>0</v>
      </c>
    </row>
    <row r="1044" spans="1:13" ht="31.5" outlineLevel="4">
      <c r="A1044" s="108" t="s">
        <v>695</v>
      </c>
      <c r="B1044" s="109" t="s">
        <v>142</v>
      </c>
      <c r="C1044" s="109" t="s">
        <v>65</v>
      </c>
      <c r="D1044" s="109" t="s">
        <v>3</v>
      </c>
      <c r="E1044" s="109" t="s">
        <v>3</v>
      </c>
      <c r="F1044" s="110">
        <f>F1045+F1046</f>
        <v>3306843.7399999998</v>
      </c>
      <c r="G1044" s="110"/>
      <c r="I1044" s="125">
        <v>192773.88</v>
      </c>
      <c r="L1044" s="125">
        <f t="shared" si="42"/>
        <v>-3114069.86</v>
      </c>
      <c r="M1044" s="125">
        <f t="shared" si="43"/>
        <v>0</v>
      </c>
    </row>
    <row r="1045" spans="1:13" ht="31.5" outlineLevel="5">
      <c r="A1045" s="108" t="s">
        <v>668</v>
      </c>
      <c r="B1045" s="109" t="s">
        <v>142</v>
      </c>
      <c r="C1045" s="109" t="s">
        <v>65</v>
      </c>
      <c r="D1045" s="109" t="s">
        <v>2</v>
      </c>
      <c r="E1045" s="109" t="s">
        <v>66</v>
      </c>
      <c r="F1045" s="110">
        <f>Приложение_6!F289</f>
        <v>3306843.7399999998</v>
      </c>
      <c r="G1045" s="110"/>
      <c r="I1045" s="125">
        <v>114194.99</v>
      </c>
      <c r="L1045" s="125">
        <f t="shared" si="42"/>
        <v>-3192648.7499999995</v>
      </c>
      <c r="M1045" s="125">
        <f t="shared" si="43"/>
        <v>0</v>
      </c>
    </row>
    <row r="1046" spans="1:13" ht="31.5" outlineLevel="5">
      <c r="A1046" s="127" t="s">
        <v>673</v>
      </c>
      <c r="B1046" s="128" t="s">
        <v>142</v>
      </c>
      <c r="C1046" s="128" t="s">
        <v>65</v>
      </c>
      <c r="D1046" s="128" t="s">
        <v>22</v>
      </c>
      <c r="E1046" s="128" t="s">
        <v>146</v>
      </c>
      <c r="F1046" s="129">
        <f>Приложение_6!F383</f>
        <v>0</v>
      </c>
      <c r="G1046" s="129"/>
      <c r="I1046" s="125">
        <v>78578.89</v>
      </c>
      <c r="L1046" s="125">
        <f t="shared" si="42"/>
        <v>78578.89</v>
      </c>
      <c r="M1046" s="125">
        <f t="shared" si="43"/>
        <v>0</v>
      </c>
    </row>
    <row r="1047" spans="1:13" ht="15.75">
      <c r="A1047" s="333" t="s">
        <v>414</v>
      </c>
      <c r="B1047" s="334"/>
      <c r="C1047" s="334"/>
      <c r="D1047" s="334"/>
      <c r="E1047" s="335"/>
      <c r="F1047" s="130">
        <f>F987+F768+F680+F667+F650+F621+F560+F438+F310+F260+F248+F10+F749+F616</f>
        <v>2324477065.5299997</v>
      </c>
      <c r="G1047" s="130">
        <f>G987+G768+G680+G667+G650+G621+G560+G438+G310+G260+G248+G10+G749+G616</f>
        <v>855338484.55</v>
      </c>
      <c r="I1047" s="125">
        <v>2220551930.88</v>
      </c>
      <c r="J1047" s="125">
        <v>805103202.53</v>
      </c>
      <c r="L1047" s="125">
        <f t="shared" si="42"/>
        <v>-103925134.64999962</v>
      </c>
      <c r="M1047" s="125">
        <f t="shared" si="43"/>
        <v>-50235282.01999998</v>
      </c>
    </row>
    <row r="1048" spans="1:13" ht="15" customHeight="1">
      <c r="A1048" s="131"/>
      <c r="B1048" s="132"/>
      <c r="C1048" s="132"/>
      <c r="D1048" s="132"/>
      <c r="E1048" s="132"/>
      <c r="F1048" s="133"/>
      <c r="G1048" s="133"/>
      <c r="L1048" s="125"/>
      <c r="M1048" s="125"/>
    </row>
    <row r="1049" spans="6:13" ht="15.75" hidden="1">
      <c r="F1049" s="124"/>
      <c r="I1049" s="125"/>
      <c r="J1049" s="125"/>
      <c r="L1049" s="125"/>
      <c r="M1049" s="125"/>
    </row>
    <row r="1050" spans="6:13" ht="15.75" hidden="1">
      <c r="F1050" s="124">
        <f>F1047-Приложение_6!F942</f>
        <v>0</v>
      </c>
      <c r="G1050" s="124">
        <f>G1047-Приложение_6!G942</f>
        <v>0</v>
      </c>
      <c r="L1050" s="125"/>
      <c r="M1050" s="125"/>
    </row>
    <row r="1051" spans="6:7" ht="15.75" hidden="1">
      <c r="F1051" s="124">
        <f>F1047-'Приложение_7 '!G1093</f>
        <v>0</v>
      </c>
      <c r="G1051" s="124">
        <f>G1047-'Приложение_7 '!H1093</f>
        <v>0</v>
      </c>
    </row>
    <row r="1052" ht="15.75" hidden="1"/>
    <row r="1053" spans="6:7" ht="15.75">
      <c r="F1053" s="124">
        <f>Приложение_6!F942</f>
        <v>2324477065.5299997</v>
      </c>
      <c r="G1053" s="124">
        <f>Приложение_6!G942</f>
        <v>855338484.55</v>
      </c>
    </row>
    <row r="1054" spans="6:7" ht="15.75">
      <c r="F1054" s="124"/>
      <c r="G1054" s="124"/>
    </row>
    <row r="1055" spans="6:7" ht="15.75">
      <c r="F1055" s="124">
        <f>F1047-F1053</f>
        <v>0</v>
      </c>
      <c r="G1055" s="124">
        <f>G1047-G1053</f>
        <v>0</v>
      </c>
    </row>
    <row r="1060" spans="6:7" ht="15.75">
      <c r="F1060" s="4" t="s">
        <v>1311</v>
      </c>
      <c r="G1060" s="124">
        <f>F1047-F987</f>
        <v>2286652795.37</v>
      </c>
    </row>
  </sheetData>
  <sheetProtection/>
  <mergeCells count="8">
    <mergeCell ref="A4:G4"/>
    <mergeCell ref="A5:G5"/>
    <mergeCell ref="A1047:E1047"/>
    <mergeCell ref="A1:G1"/>
    <mergeCell ref="A2:G2"/>
    <mergeCell ref="A3:G3"/>
    <mergeCell ref="A6:G6"/>
    <mergeCell ref="A7:G7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SheetLayoutView="100" zoomScalePageLayoutView="0" workbookViewId="0" topLeftCell="A1">
      <pane ySplit="9" topLeftCell="A46" activePane="bottomLeft" state="frozen"/>
      <selection pane="topLeft" activeCell="A1" sqref="A1"/>
      <selection pane="bottomLeft" activeCell="G50" sqref="G50"/>
    </sheetView>
  </sheetViews>
  <sheetFormatPr defaultColWidth="9.140625" defaultRowHeight="15" outlineLevelRow="1"/>
  <cols>
    <col min="1" max="1" width="12.28125" style="94" customWidth="1"/>
    <col min="2" max="2" width="53.140625" style="94" customWidth="1"/>
    <col min="3" max="3" width="24.00390625" style="95" customWidth="1"/>
    <col min="4" max="4" width="21.28125" style="95" customWidth="1"/>
    <col min="5" max="5" width="21.57421875" style="95" customWidth="1"/>
    <col min="6" max="6" width="16.7109375" style="85" customWidth="1"/>
    <col min="7" max="7" width="22.8515625" style="85" customWidth="1"/>
    <col min="8" max="9" width="16.7109375" style="85" customWidth="1"/>
    <col min="10" max="16384" width="9.140625" style="85" customWidth="1"/>
  </cols>
  <sheetData>
    <row r="1" spans="1:5" ht="15.75">
      <c r="A1" s="84"/>
      <c r="B1" s="22"/>
      <c r="C1" s="22"/>
      <c r="D1" s="22"/>
      <c r="E1" s="23" t="s">
        <v>1196</v>
      </c>
    </row>
    <row r="2" spans="1:5" ht="15.75">
      <c r="A2" s="84"/>
      <c r="B2" s="319" t="s">
        <v>421</v>
      </c>
      <c r="C2" s="319"/>
      <c r="D2" s="319"/>
      <c r="E2" s="319"/>
    </row>
    <row r="3" spans="1:5" ht="15.75">
      <c r="A3" s="86"/>
      <c r="B3" s="22"/>
      <c r="C3" s="321" t="s">
        <v>1060</v>
      </c>
      <c r="D3" s="321"/>
      <c r="E3" s="321"/>
    </row>
    <row r="4" spans="1:9" ht="15.75">
      <c r="A4" s="319" t="s">
        <v>712</v>
      </c>
      <c r="B4" s="319"/>
      <c r="C4" s="319"/>
      <c r="D4" s="319"/>
      <c r="E4" s="319"/>
      <c r="F4" s="22"/>
      <c r="G4" s="22"/>
      <c r="H4" s="22"/>
      <c r="I4" s="22"/>
    </row>
    <row r="5" spans="1:9" ht="15.75">
      <c r="A5" s="319"/>
      <c r="B5" s="319"/>
      <c r="C5" s="319"/>
      <c r="D5" s="319"/>
      <c r="E5" s="319"/>
      <c r="F5" s="22"/>
      <c r="G5" s="22"/>
      <c r="H5" s="22"/>
      <c r="I5" s="22"/>
    </row>
    <row r="6" spans="1:5" ht="11.25" customHeight="1">
      <c r="A6" s="87"/>
      <c r="B6" s="88"/>
      <c r="C6" s="87"/>
      <c r="D6" s="87"/>
      <c r="E6" s="87"/>
    </row>
    <row r="7" spans="1:5" ht="42.75" customHeight="1">
      <c r="A7" s="338" t="s">
        <v>1197</v>
      </c>
      <c r="B7" s="338"/>
      <c r="C7" s="338"/>
      <c r="D7" s="338"/>
      <c r="E7" s="338"/>
    </row>
    <row r="8" spans="1:5" ht="15.75">
      <c r="A8" s="89"/>
      <c r="B8" s="90"/>
      <c r="C8" s="91"/>
      <c r="D8" s="89"/>
      <c r="E8" s="91" t="s">
        <v>1194</v>
      </c>
    </row>
    <row r="9" spans="1:7" ht="31.5">
      <c r="A9" s="6" t="s">
        <v>1198</v>
      </c>
      <c r="B9" s="6" t="s">
        <v>424</v>
      </c>
      <c r="C9" s="11" t="s">
        <v>0</v>
      </c>
      <c r="D9" s="11" t="s">
        <v>418</v>
      </c>
      <c r="E9" s="11" t="s">
        <v>417</v>
      </c>
      <c r="G9" s="103"/>
    </row>
    <row r="10" spans="1:7" ht="15.75">
      <c r="A10" s="6">
        <v>1</v>
      </c>
      <c r="B10" s="6">
        <v>2</v>
      </c>
      <c r="C10" s="11">
        <v>3</v>
      </c>
      <c r="D10" s="11">
        <v>4</v>
      </c>
      <c r="E10" s="11">
        <v>5</v>
      </c>
      <c r="G10" s="103"/>
    </row>
    <row r="11" spans="1:7" s="92" customFormat="1" ht="37.5" customHeight="1">
      <c r="A11" s="339" t="s">
        <v>657</v>
      </c>
      <c r="B11" s="340"/>
      <c r="C11" s="12">
        <f>C12+C13</f>
        <v>1402321131.27</v>
      </c>
      <c r="D11" s="12">
        <f>D12+D13</f>
        <v>1357910282.36</v>
      </c>
      <c r="E11" s="12">
        <f>E12+E13</f>
        <v>1334539264.92</v>
      </c>
      <c r="G11" s="104"/>
    </row>
    <row r="12" spans="1:7" ht="31.5" outlineLevel="1">
      <c r="A12" s="7" t="s">
        <v>759</v>
      </c>
      <c r="B12" s="9" t="s">
        <v>760</v>
      </c>
      <c r="C12" s="13">
        <f>'Приложение_7 '!G625+'Приложение_7 '!G670+'Приложение_7 '!G705+'Приложение_7 '!G750+'Приложение_7 '!G778+'Приложение_7 '!G793+'Приложение_7 '!G827+'Приложение_7 '!G853</f>
        <v>1401283717.54</v>
      </c>
      <c r="D12" s="13">
        <v>1357910282.36</v>
      </c>
      <c r="E12" s="13">
        <v>1334539264.92</v>
      </c>
      <c r="G12" s="103"/>
    </row>
    <row r="13" spans="1:7" ht="35.25" customHeight="1" outlineLevel="1">
      <c r="A13" s="7" t="s">
        <v>733</v>
      </c>
      <c r="B13" s="9" t="s">
        <v>734</v>
      </c>
      <c r="C13" s="13">
        <f>'Приложение_7 '!G563</f>
        <v>1037413.73</v>
      </c>
      <c r="D13" s="13">
        <v>0</v>
      </c>
      <c r="E13" s="13">
        <v>0</v>
      </c>
      <c r="G13" s="103"/>
    </row>
    <row r="14" spans="1:7" s="92" customFormat="1" ht="52.5" customHeight="1">
      <c r="A14" s="339" t="s">
        <v>619</v>
      </c>
      <c r="B14" s="340"/>
      <c r="C14" s="12">
        <f>C15+C16</f>
        <v>928720.79</v>
      </c>
      <c r="D14" s="12">
        <f>D15+D16</f>
        <v>318944</v>
      </c>
      <c r="E14" s="12">
        <f>E15+E16</f>
        <v>318944</v>
      </c>
      <c r="G14" s="104"/>
    </row>
    <row r="15" spans="1:9" ht="56.25" customHeight="1" outlineLevel="1">
      <c r="A15" s="7" t="s">
        <v>721</v>
      </c>
      <c r="B15" s="9" t="s">
        <v>1068</v>
      </c>
      <c r="C15" s="13">
        <f>'Приложение_7 '!G99</f>
        <v>318944</v>
      </c>
      <c r="D15" s="13">
        <v>318944</v>
      </c>
      <c r="E15" s="13">
        <v>318944</v>
      </c>
      <c r="G15" s="103"/>
      <c r="I15" s="103"/>
    </row>
    <row r="16" spans="1:7" ht="40.5" customHeight="1" outlineLevel="1">
      <c r="A16" s="7" t="s">
        <v>765</v>
      </c>
      <c r="B16" s="9" t="s">
        <v>1150</v>
      </c>
      <c r="C16" s="13">
        <f>'Приложение_7 '!G958</f>
        <v>609776.79</v>
      </c>
      <c r="D16" s="13">
        <v>0</v>
      </c>
      <c r="E16" s="13">
        <v>0</v>
      </c>
      <c r="G16" s="103"/>
    </row>
    <row r="17" spans="1:7" s="92" customFormat="1" ht="55.5" customHeight="1">
      <c r="A17" s="339" t="s">
        <v>662</v>
      </c>
      <c r="B17" s="340"/>
      <c r="C17" s="12">
        <f>C18</f>
        <v>21236122</v>
      </c>
      <c r="D17" s="12">
        <f>D18</f>
        <v>21335488</v>
      </c>
      <c r="E17" s="12">
        <f>E18</f>
        <v>21470627</v>
      </c>
      <c r="G17" s="104"/>
    </row>
    <row r="18" spans="1:5" ht="31.5" outlineLevel="1">
      <c r="A18" s="7" t="s">
        <v>765</v>
      </c>
      <c r="B18" s="9" t="s">
        <v>1150</v>
      </c>
      <c r="C18" s="13">
        <f>'Приложение_7 '!G924+'Приложение_7 '!G1053</f>
        <v>21236122</v>
      </c>
      <c r="D18" s="13">
        <v>21335488</v>
      </c>
      <c r="E18" s="13">
        <v>21470627</v>
      </c>
    </row>
    <row r="19" spans="1:7" s="92" customFormat="1" ht="51.75" customHeight="1">
      <c r="A19" s="339" t="s">
        <v>661</v>
      </c>
      <c r="B19" s="340"/>
      <c r="C19" s="12">
        <f>C20</f>
        <v>279421497.03000003</v>
      </c>
      <c r="D19" s="12">
        <f>D20</f>
        <v>246629236.99</v>
      </c>
      <c r="E19" s="12">
        <f>E20</f>
        <v>231732914.91</v>
      </c>
      <c r="G19" s="104"/>
    </row>
    <row r="20" spans="1:7" ht="31.5" outlineLevel="1">
      <c r="A20" s="7" t="s">
        <v>765</v>
      </c>
      <c r="B20" s="9" t="s">
        <v>1150</v>
      </c>
      <c r="C20" s="13">
        <f>'Приложение_7 '!G899+'Приложение_7 '!G964+'Приложение_7 '!G1038</f>
        <v>279421497.03000003</v>
      </c>
      <c r="D20" s="13">
        <v>246629236.99</v>
      </c>
      <c r="E20" s="13">
        <v>231732914.91</v>
      </c>
      <c r="G20" s="104"/>
    </row>
    <row r="21" spans="1:7" s="92" customFormat="1" ht="53.25" customHeight="1">
      <c r="A21" s="339" t="s">
        <v>660</v>
      </c>
      <c r="B21" s="340" t="s">
        <v>1195</v>
      </c>
      <c r="C21" s="12">
        <f>C22+C23</f>
        <v>184118379.5</v>
      </c>
      <c r="D21" s="12">
        <f>D22+D23</f>
        <v>103846599.23</v>
      </c>
      <c r="E21" s="12">
        <f>E22+E23</f>
        <v>94995676.08</v>
      </c>
      <c r="G21" s="104"/>
    </row>
    <row r="22" spans="1:7" ht="59.25" customHeight="1" outlineLevel="1">
      <c r="A22" s="7" t="s">
        <v>721</v>
      </c>
      <c r="B22" s="9" t="s">
        <v>1068</v>
      </c>
      <c r="C22" s="13">
        <f>'Приложение_7 '!G234</f>
        <v>23798783.1</v>
      </c>
      <c r="D22" s="13">
        <v>19931366.8</v>
      </c>
      <c r="E22" s="13">
        <v>19931366.8</v>
      </c>
      <c r="G22" s="105"/>
    </row>
    <row r="23" spans="1:7" ht="31.5" outlineLevel="1">
      <c r="A23" s="7" t="s">
        <v>733</v>
      </c>
      <c r="B23" s="9" t="s">
        <v>734</v>
      </c>
      <c r="C23" s="13">
        <f>'Приложение_7 '!G380+'Приложение_7 '!G456+'Приложение_7 '!G480+'Приложение_7 '!G502+'Приложение_7 '!G537</f>
        <v>160319596.4</v>
      </c>
      <c r="D23" s="13">
        <v>83915232.43</v>
      </c>
      <c r="E23" s="13">
        <v>75064309.28</v>
      </c>
      <c r="G23" s="105"/>
    </row>
    <row r="24" spans="1:7" s="92" customFormat="1" ht="49.5" customHeight="1">
      <c r="A24" s="339" t="s">
        <v>658</v>
      </c>
      <c r="B24" s="340"/>
      <c r="C24" s="12">
        <f>C25+C26</f>
        <v>44144779.349999994</v>
      </c>
      <c r="D24" s="12">
        <f>D25+D26</f>
        <v>37836658.53</v>
      </c>
      <c r="E24" s="12">
        <f>E25+E26</f>
        <v>37834471.2</v>
      </c>
      <c r="G24" s="104"/>
    </row>
    <row r="25" spans="1:7" ht="47.25" outlineLevel="1">
      <c r="A25" s="7" t="s">
        <v>721</v>
      </c>
      <c r="B25" s="9" t="s">
        <v>1068</v>
      </c>
      <c r="C25" s="13">
        <f>'Приложение_7 '!G103+'Приложение_7 '!G202</f>
        <v>43815069.269999996</v>
      </c>
      <c r="D25" s="13">
        <v>37549658.53</v>
      </c>
      <c r="E25" s="13">
        <v>37547471.2</v>
      </c>
      <c r="G25" s="105"/>
    </row>
    <row r="26" spans="1:7" ht="31.5" outlineLevel="1">
      <c r="A26" s="7" t="s">
        <v>733</v>
      </c>
      <c r="B26" s="9" t="s">
        <v>734</v>
      </c>
      <c r="C26" s="13">
        <f>'Приложение_7 '!G321+'Приложение_7 '!G388</f>
        <v>329710.07999999984</v>
      </c>
      <c r="D26" s="13">
        <v>287000</v>
      </c>
      <c r="E26" s="13">
        <v>287000</v>
      </c>
      <c r="G26" s="105"/>
    </row>
    <row r="27" spans="1:7" s="92" customFormat="1" ht="56.25" customHeight="1">
      <c r="A27" s="339" t="s">
        <v>633</v>
      </c>
      <c r="B27" s="340"/>
      <c r="C27" s="12">
        <f>C28</f>
        <v>126416390.51000002</v>
      </c>
      <c r="D27" s="12">
        <f>D28</f>
        <v>97080043.34</v>
      </c>
      <c r="E27" s="12">
        <f>E28</f>
        <v>97086677.25</v>
      </c>
      <c r="G27" s="104"/>
    </row>
    <row r="28" spans="1:7" ht="31.5" outlineLevel="1">
      <c r="A28" s="7" t="s">
        <v>733</v>
      </c>
      <c r="B28" s="9" t="s">
        <v>734</v>
      </c>
      <c r="C28" s="13">
        <f>'Приложение_7 '!G396</f>
        <v>126416390.51000002</v>
      </c>
      <c r="D28" s="13">
        <v>97080043.34</v>
      </c>
      <c r="E28" s="13">
        <v>97086677.25</v>
      </c>
      <c r="G28" s="104"/>
    </row>
    <row r="29" spans="1:7" ht="42" customHeight="1" outlineLevel="1">
      <c r="A29" s="341" t="s">
        <v>1297</v>
      </c>
      <c r="B29" s="342"/>
      <c r="C29" s="12">
        <f>C30</f>
        <v>199885.74</v>
      </c>
      <c r="D29" s="12">
        <f>D30</f>
        <v>0</v>
      </c>
      <c r="E29" s="12">
        <f>E30</f>
        <v>0</v>
      </c>
      <c r="G29" s="104"/>
    </row>
    <row r="30" spans="1:7" ht="31.5" outlineLevel="1">
      <c r="A30" s="7" t="s">
        <v>733</v>
      </c>
      <c r="B30" s="9" t="s">
        <v>734</v>
      </c>
      <c r="C30" s="13">
        <f>Приложение_8!F616</f>
        <v>199885.74</v>
      </c>
      <c r="D30" s="13">
        <v>0</v>
      </c>
      <c r="E30" s="13">
        <v>0</v>
      </c>
      <c r="G30" s="104"/>
    </row>
    <row r="31" spans="1:7" s="92" customFormat="1" ht="55.5" customHeight="1">
      <c r="A31" s="339" t="s">
        <v>622</v>
      </c>
      <c r="B31" s="340"/>
      <c r="C31" s="12">
        <f>C32+C33</f>
        <v>3771580</v>
      </c>
      <c r="D31" s="12">
        <f>D32+D33</f>
        <v>906429.16</v>
      </c>
      <c r="E31" s="12">
        <f>E32+E33</f>
        <v>895360.51</v>
      </c>
      <c r="G31" s="104"/>
    </row>
    <row r="32" spans="1:7" ht="56.25" customHeight="1" outlineLevel="1">
      <c r="A32" s="7" t="s">
        <v>721</v>
      </c>
      <c r="B32" s="9" t="s">
        <v>1068</v>
      </c>
      <c r="C32" s="13">
        <f>'Приложение_7 '!G111</f>
        <v>246750</v>
      </c>
      <c r="D32" s="13">
        <v>219949.16</v>
      </c>
      <c r="E32" s="13">
        <v>208880.51</v>
      </c>
      <c r="G32" s="103"/>
    </row>
    <row r="33" spans="1:7" ht="31.5" outlineLevel="1">
      <c r="A33" s="7" t="s">
        <v>733</v>
      </c>
      <c r="B33" s="9" t="s">
        <v>734</v>
      </c>
      <c r="C33" s="13">
        <f>'Приложение_7 '!G469</f>
        <v>3524830</v>
      </c>
      <c r="D33" s="13">
        <v>686480</v>
      </c>
      <c r="E33" s="13">
        <v>686480</v>
      </c>
      <c r="G33" s="103"/>
    </row>
    <row r="34" spans="1:7" s="92" customFormat="1" ht="52.5" customHeight="1">
      <c r="A34" s="339" t="s">
        <v>623</v>
      </c>
      <c r="B34" s="340"/>
      <c r="C34" s="12">
        <f>C35+C36</f>
        <v>150500</v>
      </c>
      <c r="D34" s="12">
        <f>D35+D36</f>
        <v>198000</v>
      </c>
      <c r="E34" s="12">
        <f>E35+E36</f>
        <v>198000</v>
      </c>
      <c r="G34" s="104"/>
    </row>
    <row r="35" spans="1:7" ht="54.75" customHeight="1" outlineLevel="1">
      <c r="A35" s="7" t="s">
        <v>721</v>
      </c>
      <c r="B35" s="9" t="s">
        <v>1068</v>
      </c>
      <c r="C35" s="13">
        <f>'Приложение_7 '!G115</f>
        <v>0</v>
      </c>
      <c r="D35" s="13">
        <v>47500</v>
      </c>
      <c r="E35" s="13">
        <v>47500</v>
      </c>
      <c r="G35" s="103"/>
    </row>
    <row r="36" spans="1:7" ht="39.75" customHeight="1" outlineLevel="1">
      <c r="A36" s="7" t="s">
        <v>733</v>
      </c>
      <c r="B36" s="9" t="s">
        <v>734</v>
      </c>
      <c r="C36" s="13">
        <f>'Приложение_7 '!G326</f>
        <v>150500</v>
      </c>
      <c r="D36" s="13">
        <v>150500</v>
      </c>
      <c r="E36" s="13">
        <v>150500</v>
      </c>
      <c r="G36" s="103"/>
    </row>
    <row r="37" spans="1:7" s="92" customFormat="1" ht="38.25" customHeight="1">
      <c r="A37" s="339" t="s">
        <v>659</v>
      </c>
      <c r="B37" s="340"/>
      <c r="C37" s="12">
        <f>C38+C39+C40+C41+C42+C43+C44</f>
        <v>48908377.06</v>
      </c>
      <c r="D37" s="12">
        <f>D38+D39+D40+D41+D42+D43+D44</f>
        <v>47207034.669999994</v>
      </c>
      <c r="E37" s="12">
        <f>E38+E39+E40+E41+E42+E43+E44</f>
        <v>47156688.28</v>
      </c>
      <c r="G37" s="104"/>
    </row>
    <row r="38" spans="1:7" ht="15.75" outlineLevel="1">
      <c r="A38" s="7" t="s">
        <v>718</v>
      </c>
      <c r="B38" s="9" t="s">
        <v>719</v>
      </c>
      <c r="C38" s="13">
        <f>'Приложение_7 '!G52</f>
        <v>235450.49</v>
      </c>
      <c r="D38" s="13">
        <v>412373</v>
      </c>
      <c r="E38" s="13">
        <v>254373</v>
      </c>
      <c r="G38" s="103"/>
    </row>
    <row r="39" spans="1:7" ht="53.25" customHeight="1" outlineLevel="1">
      <c r="A39" s="7" t="s">
        <v>721</v>
      </c>
      <c r="B39" s="9" t="s">
        <v>1068</v>
      </c>
      <c r="C39" s="13">
        <f>'Приложение_7 '!G119+'Приложение_7 '!G227+'Приложение_7 '!G247+'Приложение_7 '!G290</f>
        <v>37477016.84</v>
      </c>
      <c r="D39" s="13">
        <v>35921177.55</v>
      </c>
      <c r="E39" s="13">
        <v>36034261.99</v>
      </c>
      <c r="G39" s="103"/>
    </row>
    <row r="40" spans="1:7" ht="37.5" customHeight="1" outlineLevel="1">
      <c r="A40" s="7" t="s">
        <v>733</v>
      </c>
      <c r="B40" s="9" t="s">
        <v>734</v>
      </c>
      <c r="C40" s="13">
        <f>'Приложение_7 '!G333+'Приложение_7 '!G421+'Приложение_7 '!G547</f>
        <v>2250972.44</v>
      </c>
      <c r="D40" s="13">
        <v>2148363.93</v>
      </c>
      <c r="E40" s="13">
        <v>2142933.1</v>
      </c>
      <c r="G40" s="103"/>
    </row>
    <row r="41" spans="1:7" ht="31.5" outlineLevel="1">
      <c r="A41" s="7" t="s">
        <v>751</v>
      </c>
      <c r="B41" s="9" t="s">
        <v>752</v>
      </c>
      <c r="C41" s="13">
        <f>'Приложение_7 '!G601</f>
        <v>793428.39</v>
      </c>
      <c r="D41" s="13">
        <v>768183.39</v>
      </c>
      <c r="E41" s="13">
        <v>768183.39</v>
      </c>
      <c r="G41" s="103"/>
    </row>
    <row r="42" spans="1:7" ht="31.5" outlineLevel="1">
      <c r="A42" s="7" t="s">
        <v>759</v>
      </c>
      <c r="B42" s="9" t="s">
        <v>760</v>
      </c>
      <c r="C42" s="13">
        <f>'Приложение_7 '!G659+'Приложение_7 '!G699+'Приложение_7 '!G744+'Приложение_7 '!G772+'Приложение_7 '!G820</f>
        <v>6200130.07</v>
      </c>
      <c r="D42" s="13">
        <v>6005557.97</v>
      </c>
      <c r="E42" s="13">
        <v>6005557.97</v>
      </c>
      <c r="G42" s="103"/>
    </row>
    <row r="43" spans="1:7" ht="37.5" customHeight="1" outlineLevel="1">
      <c r="A43" s="7" t="s">
        <v>765</v>
      </c>
      <c r="B43" s="9" t="s">
        <v>1150</v>
      </c>
      <c r="C43" s="13">
        <f>'Приложение_7 '!G892+'Приложение_7 '!G918+'Приложение_7 '!G951+'Приложение_7 '!G1031</f>
        <v>1794832.33</v>
      </c>
      <c r="D43" s="13">
        <v>1794832.33</v>
      </c>
      <c r="E43" s="13">
        <v>1794832.33</v>
      </c>
      <c r="G43" s="103"/>
    </row>
    <row r="44" spans="1:7" ht="47.25" outlineLevel="1">
      <c r="A44" s="7" t="s">
        <v>773</v>
      </c>
      <c r="B44" s="9" t="s">
        <v>1172</v>
      </c>
      <c r="C44" s="13">
        <f>'Приложение_7 '!G1085</f>
        <v>156546.5</v>
      </c>
      <c r="D44" s="13">
        <v>156546.5</v>
      </c>
      <c r="E44" s="13">
        <v>156546.5</v>
      </c>
      <c r="G44" s="103"/>
    </row>
    <row r="45" spans="1:7" s="92" customFormat="1" ht="64.5" customHeight="1">
      <c r="A45" s="339" t="s">
        <v>486</v>
      </c>
      <c r="B45" s="340"/>
      <c r="C45" s="12">
        <f>C46</f>
        <v>22544808.990000002</v>
      </c>
      <c r="D45" s="12">
        <f>D46</f>
        <v>24339964.12</v>
      </c>
      <c r="E45" s="12">
        <f>E46</f>
        <v>24330167.68</v>
      </c>
      <c r="G45" s="104"/>
    </row>
    <row r="46" spans="1:7" ht="31.5" outlineLevel="1">
      <c r="A46" s="7" t="s">
        <v>751</v>
      </c>
      <c r="B46" s="9" t="s">
        <v>752</v>
      </c>
      <c r="C46" s="13">
        <f>'Приложение_7 '!G574+'Приложение_7 '!G617</f>
        <v>22544808.990000002</v>
      </c>
      <c r="D46" s="13">
        <v>24339964.12</v>
      </c>
      <c r="E46" s="13">
        <v>24330167.68</v>
      </c>
      <c r="G46" s="103"/>
    </row>
    <row r="47" spans="1:7" s="92" customFormat="1" ht="53.25" customHeight="1">
      <c r="A47" s="339" t="s">
        <v>656</v>
      </c>
      <c r="B47" s="340"/>
      <c r="C47" s="12">
        <f>C48+C49+C50+C51+C52+C53+C54</f>
        <v>152490623.13</v>
      </c>
      <c r="D47" s="12">
        <f>D48+D49+D50+D51+D52+D53+D54</f>
        <v>152108868.65</v>
      </c>
      <c r="E47" s="12">
        <f>E48+E49+E50+E51+E52+E53+E54</f>
        <v>153254962.02</v>
      </c>
      <c r="G47" s="104"/>
    </row>
    <row r="48" spans="1:7" ht="15.75" outlineLevel="1">
      <c r="A48" s="7" t="s">
        <v>718</v>
      </c>
      <c r="B48" s="9" t="s">
        <v>719</v>
      </c>
      <c r="C48" s="13">
        <f>'Приложение_7 '!G15+'Приложение_7 '!G33+'Приложение_7 '!G60</f>
        <v>236536</v>
      </c>
      <c r="D48" s="13">
        <v>378113.49</v>
      </c>
      <c r="E48" s="13">
        <v>378113.49</v>
      </c>
      <c r="G48" s="103"/>
    </row>
    <row r="49" spans="1:7" ht="55.5" customHeight="1" outlineLevel="1">
      <c r="A49" s="7" t="s">
        <v>721</v>
      </c>
      <c r="B49" s="9" t="s">
        <v>1068</v>
      </c>
      <c r="C49" s="13">
        <f>'Приложение_7 '!G68+'Приложение_7 '!G147+'Приложение_7 '!G195+'Приложение_7 '!G266+'Приложение_7 '!G278</f>
        <v>77018026.05</v>
      </c>
      <c r="D49" s="13">
        <v>77070786.06</v>
      </c>
      <c r="E49" s="13">
        <v>77582287.76</v>
      </c>
      <c r="G49" s="103"/>
    </row>
    <row r="50" spans="1:7" ht="40.5" customHeight="1" outlineLevel="1">
      <c r="A50" s="7" t="s">
        <v>733</v>
      </c>
      <c r="B50" s="9" t="s">
        <v>734</v>
      </c>
      <c r="C50" s="13">
        <f>'Приложение_7 '!G298+'Приложение_7 '!G341+'Приложение_7 '!G426</f>
        <v>66653267.17</v>
      </c>
      <c r="D50" s="13">
        <v>66077175.19</v>
      </c>
      <c r="E50" s="13">
        <v>66711766.86</v>
      </c>
      <c r="G50" s="103"/>
    </row>
    <row r="51" spans="1:7" ht="31.5" outlineLevel="1">
      <c r="A51" s="7" t="s">
        <v>751</v>
      </c>
      <c r="B51" s="9" t="s">
        <v>752</v>
      </c>
      <c r="C51" s="13">
        <f>'Приложение_7 '!G584+'Приложение_7 '!G606</f>
        <v>348945</v>
      </c>
      <c r="D51" s="13">
        <v>348945</v>
      </c>
      <c r="E51" s="13">
        <v>348945</v>
      </c>
      <c r="G51" s="103"/>
    </row>
    <row r="52" spans="1:7" ht="31.5" outlineLevel="1">
      <c r="A52" s="7" t="s">
        <v>759</v>
      </c>
      <c r="B52" s="9" t="s">
        <v>760</v>
      </c>
      <c r="C52" s="13">
        <f>'Приложение_7 '!G649</f>
        <v>165338</v>
      </c>
      <c r="D52" s="13">
        <v>165338</v>
      </c>
      <c r="E52" s="13">
        <v>165338</v>
      </c>
      <c r="G52" s="103"/>
    </row>
    <row r="53" spans="1:7" ht="36" customHeight="1" outlineLevel="1">
      <c r="A53" s="7" t="s">
        <v>765</v>
      </c>
      <c r="B53" s="9" t="s">
        <v>1150</v>
      </c>
      <c r="C53" s="13">
        <f>'Приложение_7 '!G876</f>
        <v>7994996.91</v>
      </c>
      <c r="D53" s="13">
        <v>7994996.91</v>
      </c>
      <c r="E53" s="13">
        <v>7994996.91</v>
      </c>
      <c r="G53" s="103"/>
    </row>
    <row r="54" spans="1:7" ht="47.25" outlineLevel="1">
      <c r="A54" s="7" t="s">
        <v>773</v>
      </c>
      <c r="B54" s="9" t="s">
        <v>1172</v>
      </c>
      <c r="C54" s="13">
        <f>'Приложение_7 '!G1066</f>
        <v>73514</v>
      </c>
      <c r="D54" s="13">
        <v>73514</v>
      </c>
      <c r="E54" s="13">
        <v>73514</v>
      </c>
      <c r="G54" s="103"/>
    </row>
    <row r="55" spans="1:7" ht="24.75" customHeight="1">
      <c r="A55" s="343" t="s">
        <v>414</v>
      </c>
      <c r="B55" s="344"/>
      <c r="C55" s="93">
        <f>C11+C14+C17+C19+C21+C24+C27+C31+C34+C37+C45+C47+C29</f>
        <v>2286652795.3699994</v>
      </c>
      <c r="D55" s="93">
        <f>D11+D14+D17+D19+D21+D24+D27+D31+D34+D37+D45+D47+D29</f>
        <v>2089717549.05</v>
      </c>
      <c r="E55" s="93">
        <f>E11+E14+E17+E19+E21+E24+E27+E31+E34+E37+E45+E47+E29</f>
        <v>2043813753.8500001</v>
      </c>
      <c r="G55" s="103"/>
    </row>
    <row r="56" spans="1:5" ht="12.75" customHeight="1">
      <c r="A56" s="8"/>
      <c r="B56" s="8"/>
      <c r="C56" s="14"/>
      <c r="D56" s="14"/>
      <c r="E56" s="14"/>
    </row>
    <row r="57" spans="2:5" ht="15" customHeight="1" hidden="1">
      <c r="B57" s="345"/>
      <c r="C57" s="346"/>
      <c r="D57" s="346"/>
      <c r="E57" s="346"/>
    </row>
    <row r="58" spans="3:5" ht="15.75" hidden="1">
      <c r="C58" s="96" t="e">
        <f>#REF!-#REF!</f>
        <v>#REF!</v>
      </c>
      <c r="D58" s="96" t="e">
        <f>#REF!-#REF!</f>
        <v>#REF!</v>
      </c>
      <c r="E58" s="96" t="e">
        <f>#REF!-#REF!</f>
        <v>#REF!</v>
      </c>
    </row>
    <row r="59" spans="3:5" ht="15.75" hidden="1">
      <c r="C59" s="96" t="e">
        <f>C55-C58</f>
        <v>#REF!</v>
      </c>
      <c r="D59" s="96" t="e">
        <f>D55-D58</f>
        <v>#REF!</v>
      </c>
      <c r="E59" s="96" t="e">
        <f>E55-E58</f>
        <v>#REF!</v>
      </c>
    </row>
    <row r="60" ht="15.75" hidden="1"/>
    <row r="61" spans="3:5" ht="15.75" hidden="1">
      <c r="C61" s="96">
        <f>Приложение_8!F1047-Приложение_8!F987-C55</f>
        <v>0</v>
      </c>
      <c r="D61" s="96" t="e">
        <f>#REF!-#REF!-D55</f>
        <v>#REF!</v>
      </c>
      <c r="E61" s="96" t="e">
        <f>#REF!-#REF!-E55</f>
        <v>#REF!</v>
      </c>
    </row>
    <row r="62" ht="15.75" hidden="1"/>
    <row r="63" ht="15.75" hidden="1"/>
    <row r="64" spans="3:5" ht="15.75">
      <c r="C64" s="96">
        <f>Приложение_8!F1047-Приложение_8!F987</f>
        <v>2286652795.37</v>
      </c>
      <c r="D64" s="96"/>
      <c r="E64" s="96"/>
    </row>
    <row r="65" spans="3:5" ht="15.75">
      <c r="C65" s="96"/>
      <c r="D65" s="96"/>
      <c r="E65" s="96"/>
    </row>
    <row r="66" spans="3:5" ht="15.75">
      <c r="C66" s="96"/>
      <c r="D66" s="96"/>
      <c r="E66" s="96"/>
    </row>
  </sheetData>
  <sheetProtection/>
  <mergeCells count="20">
    <mergeCell ref="A47:B47"/>
    <mergeCell ref="A55:B55"/>
    <mergeCell ref="B57:E57"/>
    <mergeCell ref="A27:B27"/>
    <mergeCell ref="A31:B31"/>
    <mergeCell ref="A34:B34"/>
    <mergeCell ref="A24:B24"/>
    <mergeCell ref="A19:B19"/>
    <mergeCell ref="A29:B29"/>
    <mergeCell ref="A21:B21"/>
    <mergeCell ref="A37:B37"/>
    <mergeCell ref="A45:B45"/>
    <mergeCell ref="B2:E2"/>
    <mergeCell ref="C3:E3"/>
    <mergeCell ref="A7:E7"/>
    <mergeCell ref="A11:B11"/>
    <mergeCell ref="A14:B14"/>
    <mergeCell ref="A17:B17"/>
    <mergeCell ref="A4:E4"/>
    <mergeCell ref="A5:E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8" r:id="rId1"/>
  <headerFooter>
    <oddFooter>&amp;CСтраница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5.140625" style="270" customWidth="1"/>
    <col min="2" max="2" width="17.28125" style="270" customWidth="1"/>
    <col min="3" max="3" width="17.421875" style="270" customWidth="1"/>
    <col min="4" max="4" width="23.140625" style="279" customWidth="1"/>
    <col min="5" max="5" width="9.140625" style="270" customWidth="1"/>
    <col min="6" max="6" width="14.28125" style="270" bestFit="1" customWidth="1"/>
    <col min="7" max="16384" width="9.140625" style="270" customWidth="1"/>
  </cols>
  <sheetData>
    <row r="1" spans="1:256" ht="15.75">
      <c r="A1" s="321" t="s">
        <v>1304</v>
      </c>
      <c r="B1" s="321"/>
      <c r="C1" s="321"/>
      <c r="D1" s="321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69"/>
      <c r="FK1" s="269"/>
      <c r="FL1" s="269"/>
      <c r="FM1" s="269"/>
      <c r="FN1" s="269"/>
      <c r="FO1" s="269"/>
      <c r="FP1" s="269"/>
      <c r="FQ1" s="269"/>
      <c r="FR1" s="269"/>
      <c r="FS1" s="269"/>
      <c r="FT1" s="269"/>
      <c r="FU1" s="269"/>
      <c r="FV1" s="269"/>
      <c r="FW1" s="269"/>
      <c r="FX1" s="269"/>
      <c r="FY1" s="269"/>
      <c r="FZ1" s="269"/>
      <c r="GA1" s="269"/>
      <c r="GB1" s="269"/>
      <c r="GC1" s="269"/>
      <c r="GD1" s="269"/>
      <c r="GE1" s="269"/>
      <c r="GF1" s="269"/>
      <c r="GG1" s="269"/>
      <c r="GH1" s="269"/>
      <c r="GI1" s="269"/>
      <c r="GJ1" s="269"/>
      <c r="GK1" s="269"/>
      <c r="GL1" s="269"/>
      <c r="GM1" s="269"/>
      <c r="GN1" s="269"/>
      <c r="GO1" s="269"/>
      <c r="GP1" s="269"/>
      <c r="GQ1" s="269"/>
      <c r="GR1" s="269"/>
      <c r="GS1" s="269"/>
      <c r="GT1" s="269"/>
      <c r="GU1" s="269"/>
      <c r="GV1" s="269"/>
      <c r="GW1" s="269"/>
      <c r="GX1" s="269"/>
      <c r="GY1" s="269"/>
      <c r="GZ1" s="269"/>
      <c r="HA1" s="269"/>
      <c r="HB1" s="269"/>
      <c r="HC1" s="269"/>
      <c r="HD1" s="269"/>
      <c r="HE1" s="269"/>
      <c r="HF1" s="269"/>
      <c r="HG1" s="269"/>
      <c r="HH1" s="269"/>
      <c r="HI1" s="269"/>
      <c r="HJ1" s="269"/>
      <c r="HK1" s="269"/>
      <c r="HL1" s="269"/>
      <c r="HM1" s="269"/>
      <c r="HN1" s="269"/>
      <c r="HO1" s="269"/>
      <c r="HP1" s="269"/>
      <c r="HQ1" s="269"/>
      <c r="HR1" s="269"/>
      <c r="HS1" s="269"/>
      <c r="HT1" s="269"/>
      <c r="HU1" s="269"/>
      <c r="HV1" s="269"/>
      <c r="HW1" s="269"/>
      <c r="HX1" s="269"/>
      <c r="HY1" s="269"/>
      <c r="HZ1" s="269"/>
      <c r="IA1" s="269"/>
      <c r="IB1" s="269"/>
      <c r="IC1" s="269"/>
      <c r="ID1" s="269"/>
      <c r="IE1" s="269"/>
      <c r="IF1" s="269"/>
      <c r="IG1" s="269"/>
      <c r="IH1" s="269"/>
      <c r="II1" s="269"/>
      <c r="IJ1" s="269"/>
      <c r="IK1" s="269"/>
      <c r="IL1" s="269"/>
      <c r="IM1" s="269"/>
      <c r="IN1" s="269"/>
      <c r="IO1" s="269"/>
      <c r="IP1" s="269"/>
      <c r="IQ1" s="269"/>
      <c r="IR1" s="269"/>
      <c r="IS1" s="269"/>
      <c r="IT1" s="269"/>
      <c r="IU1" s="269"/>
      <c r="IV1" s="269"/>
    </row>
    <row r="2" spans="1:256" ht="15.75">
      <c r="A2" s="321" t="s">
        <v>710</v>
      </c>
      <c r="B2" s="321"/>
      <c r="C2" s="321"/>
      <c r="D2" s="321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  <c r="FF2" s="269"/>
      <c r="FG2" s="269"/>
      <c r="FH2" s="269"/>
      <c r="FI2" s="269"/>
      <c r="FJ2" s="269"/>
      <c r="FK2" s="269"/>
      <c r="FL2" s="269"/>
      <c r="FM2" s="269"/>
      <c r="FN2" s="269"/>
      <c r="FO2" s="269"/>
      <c r="FP2" s="269"/>
      <c r="FQ2" s="269"/>
      <c r="FR2" s="269"/>
      <c r="FS2" s="269"/>
      <c r="FT2" s="269"/>
      <c r="FU2" s="269"/>
      <c r="FV2" s="269"/>
      <c r="FW2" s="269"/>
      <c r="FX2" s="269"/>
      <c r="FY2" s="269"/>
      <c r="FZ2" s="269"/>
      <c r="GA2" s="269"/>
      <c r="GB2" s="269"/>
      <c r="GC2" s="269"/>
      <c r="GD2" s="269"/>
      <c r="GE2" s="269"/>
      <c r="GF2" s="269"/>
      <c r="GG2" s="269"/>
      <c r="GH2" s="269"/>
      <c r="GI2" s="269"/>
      <c r="GJ2" s="269"/>
      <c r="GK2" s="269"/>
      <c r="GL2" s="269"/>
      <c r="GM2" s="269"/>
      <c r="GN2" s="269"/>
      <c r="GO2" s="269"/>
      <c r="GP2" s="269"/>
      <c r="GQ2" s="269"/>
      <c r="GR2" s="269"/>
      <c r="GS2" s="269"/>
      <c r="GT2" s="269"/>
      <c r="GU2" s="269"/>
      <c r="GV2" s="269"/>
      <c r="GW2" s="269"/>
      <c r="GX2" s="269"/>
      <c r="GY2" s="269"/>
      <c r="GZ2" s="269"/>
      <c r="HA2" s="269"/>
      <c r="HB2" s="269"/>
      <c r="HC2" s="269"/>
      <c r="HD2" s="269"/>
      <c r="HE2" s="269"/>
      <c r="HF2" s="269"/>
      <c r="HG2" s="269"/>
      <c r="HH2" s="269"/>
      <c r="HI2" s="269"/>
      <c r="HJ2" s="269"/>
      <c r="HK2" s="269"/>
      <c r="HL2" s="269"/>
      <c r="HM2" s="269"/>
      <c r="HN2" s="269"/>
      <c r="HO2" s="269"/>
      <c r="HP2" s="269"/>
      <c r="HQ2" s="269"/>
      <c r="HR2" s="269"/>
      <c r="HS2" s="269"/>
      <c r="HT2" s="269"/>
      <c r="HU2" s="269"/>
      <c r="HV2" s="269"/>
      <c r="HW2" s="269"/>
      <c r="HX2" s="269"/>
      <c r="HY2" s="269"/>
      <c r="HZ2" s="269"/>
      <c r="IA2" s="269"/>
      <c r="IB2" s="269"/>
      <c r="IC2" s="269"/>
      <c r="ID2" s="269"/>
      <c r="IE2" s="269"/>
      <c r="IF2" s="269"/>
      <c r="IG2" s="269"/>
      <c r="IH2" s="269"/>
      <c r="II2" s="269"/>
      <c r="IJ2" s="269"/>
      <c r="IK2" s="269"/>
      <c r="IL2" s="269"/>
      <c r="IM2" s="269"/>
      <c r="IN2" s="269"/>
      <c r="IO2" s="269"/>
      <c r="IP2" s="269"/>
      <c r="IQ2" s="269"/>
      <c r="IR2" s="269"/>
      <c r="IS2" s="269"/>
      <c r="IT2" s="269"/>
      <c r="IU2" s="269"/>
      <c r="IV2" s="269"/>
    </row>
    <row r="3" spans="1:256" ht="15.75">
      <c r="A3" s="321" t="s">
        <v>711</v>
      </c>
      <c r="B3" s="321"/>
      <c r="C3" s="321"/>
      <c r="D3" s="321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269"/>
      <c r="FP3" s="269"/>
      <c r="FQ3" s="269"/>
      <c r="FR3" s="269"/>
      <c r="FS3" s="269"/>
      <c r="FT3" s="269"/>
      <c r="FU3" s="269"/>
      <c r="FV3" s="269"/>
      <c r="FW3" s="269"/>
      <c r="FX3" s="269"/>
      <c r="FY3" s="269"/>
      <c r="FZ3" s="269"/>
      <c r="GA3" s="269"/>
      <c r="GB3" s="269"/>
      <c r="GC3" s="269"/>
      <c r="GD3" s="269"/>
      <c r="GE3" s="269"/>
      <c r="GF3" s="269"/>
      <c r="GG3" s="269"/>
      <c r="GH3" s="269"/>
      <c r="GI3" s="269"/>
      <c r="GJ3" s="269"/>
      <c r="GK3" s="269"/>
      <c r="GL3" s="269"/>
      <c r="GM3" s="269"/>
      <c r="GN3" s="269"/>
      <c r="GO3" s="269"/>
      <c r="GP3" s="269"/>
      <c r="GQ3" s="269"/>
      <c r="GR3" s="269"/>
      <c r="GS3" s="269"/>
      <c r="GT3" s="269"/>
      <c r="GU3" s="269"/>
      <c r="GV3" s="269"/>
      <c r="GW3" s="269"/>
      <c r="GX3" s="269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  <c r="IU3" s="269"/>
      <c r="IV3" s="269"/>
    </row>
    <row r="4" spans="1:256" ht="15.75">
      <c r="A4" s="321" t="s">
        <v>712</v>
      </c>
      <c r="B4" s="321"/>
      <c r="C4" s="321"/>
      <c r="D4" s="321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69"/>
      <c r="GH4" s="269"/>
      <c r="GI4" s="269"/>
      <c r="GJ4" s="269"/>
      <c r="GK4" s="269"/>
      <c r="GL4" s="269"/>
      <c r="GM4" s="269"/>
      <c r="GN4" s="269"/>
      <c r="GO4" s="269"/>
      <c r="GP4" s="269"/>
      <c r="GQ4" s="269"/>
      <c r="GR4" s="269"/>
      <c r="GS4" s="269"/>
      <c r="GT4" s="269"/>
      <c r="GU4" s="269"/>
      <c r="GV4" s="269"/>
      <c r="GW4" s="269"/>
      <c r="GX4" s="269"/>
      <c r="GY4" s="269"/>
      <c r="GZ4" s="269"/>
      <c r="HA4" s="269"/>
      <c r="HB4" s="269"/>
      <c r="HC4" s="269"/>
      <c r="HD4" s="269"/>
      <c r="HE4" s="269"/>
      <c r="HF4" s="269"/>
      <c r="HG4" s="269"/>
      <c r="HH4" s="269"/>
      <c r="HI4" s="269"/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69"/>
      <c r="II4" s="269"/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69"/>
    </row>
    <row r="5" spans="1:256" ht="15.75">
      <c r="A5" s="321"/>
      <c r="B5" s="321"/>
      <c r="C5" s="321"/>
      <c r="D5" s="321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</row>
    <row r="6" spans="1:4" ht="15.75">
      <c r="A6" s="355"/>
      <c r="B6" s="355"/>
      <c r="C6" s="355"/>
      <c r="D6" s="355"/>
    </row>
    <row r="7" spans="1:4" ht="18.75">
      <c r="A7" s="353" t="s">
        <v>1305</v>
      </c>
      <c r="B7" s="353"/>
      <c r="C7" s="353"/>
      <c r="D7" s="353"/>
    </row>
    <row r="8" spans="1:4" ht="18.75">
      <c r="A8" s="353" t="s">
        <v>1306</v>
      </c>
      <c r="B8" s="353"/>
      <c r="C8" s="353"/>
      <c r="D8" s="353"/>
    </row>
    <row r="9" spans="1:4" ht="18.75">
      <c r="A9" s="353" t="s">
        <v>1307</v>
      </c>
      <c r="B9" s="353"/>
      <c r="C9" s="353"/>
      <c r="D9" s="353"/>
    </row>
    <row r="10" spans="1:4" ht="18.75">
      <c r="A10" s="271"/>
      <c r="B10" s="271"/>
      <c r="C10" s="271"/>
      <c r="D10" s="272"/>
    </row>
    <row r="11" spans="1:4" ht="18.75">
      <c r="A11" s="273"/>
      <c r="B11" s="274"/>
      <c r="C11" s="273"/>
      <c r="D11" s="275" t="s">
        <v>423</v>
      </c>
    </row>
    <row r="12" spans="1:4" ht="37.5">
      <c r="A12" s="354" t="s">
        <v>1308</v>
      </c>
      <c r="B12" s="354"/>
      <c r="C12" s="354"/>
      <c r="D12" s="267" t="s">
        <v>1309</v>
      </c>
    </row>
    <row r="13" spans="1:256" ht="21" customHeight="1">
      <c r="A13" s="350" t="s">
        <v>1310</v>
      </c>
      <c r="B13" s="351"/>
      <c r="C13" s="352"/>
      <c r="D13" s="284">
        <f>D14+D19</f>
        <v>0</v>
      </c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  <c r="IS13" s="276"/>
      <c r="IT13" s="276"/>
      <c r="IU13" s="276"/>
      <c r="IV13" s="276"/>
    </row>
    <row r="14" spans="1:4" ht="41.25" customHeight="1">
      <c r="A14" s="350" t="s">
        <v>1015</v>
      </c>
      <c r="B14" s="351"/>
      <c r="C14" s="352"/>
      <c r="D14" s="284">
        <f>D15-D17</f>
        <v>0</v>
      </c>
    </row>
    <row r="15" spans="1:4" ht="37.5" customHeight="1">
      <c r="A15" s="347" t="s">
        <v>1018</v>
      </c>
      <c r="B15" s="348"/>
      <c r="C15" s="349"/>
      <c r="D15" s="285">
        <f>D16</f>
        <v>148600000</v>
      </c>
    </row>
    <row r="16" spans="1:6" ht="37.5" customHeight="1">
      <c r="A16" s="347" t="s">
        <v>1019</v>
      </c>
      <c r="B16" s="348"/>
      <c r="C16" s="349"/>
      <c r="D16" s="285">
        <f>96800000+51800000</f>
        <v>148600000</v>
      </c>
      <c r="F16" s="277"/>
    </row>
    <row r="17" spans="1:4" ht="36.75" customHeight="1">
      <c r="A17" s="347" t="s">
        <v>1022</v>
      </c>
      <c r="B17" s="348"/>
      <c r="C17" s="349"/>
      <c r="D17" s="285">
        <f>D18</f>
        <v>148600000</v>
      </c>
    </row>
    <row r="18" spans="1:4" ht="45" customHeight="1">
      <c r="A18" s="347" t="s">
        <v>1023</v>
      </c>
      <c r="B18" s="348"/>
      <c r="C18" s="349"/>
      <c r="D18" s="285">
        <f>96800000+51800000</f>
        <v>148600000</v>
      </c>
    </row>
    <row r="19" spans="1:4" ht="41.25" customHeight="1">
      <c r="A19" s="350" t="s">
        <v>1026</v>
      </c>
      <c r="B19" s="351"/>
      <c r="C19" s="352"/>
      <c r="D19" s="286">
        <f>D20-D22</f>
        <v>0</v>
      </c>
    </row>
    <row r="20" spans="1:4" ht="45.75" customHeight="1">
      <c r="A20" s="347" t="s">
        <v>1030</v>
      </c>
      <c r="B20" s="348"/>
      <c r="C20" s="349"/>
      <c r="D20" s="287">
        <f>D21</f>
        <v>45000000</v>
      </c>
    </row>
    <row r="21" spans="1:4" ht="62.25" customHeight="1">
      <c r="A21" s="347" t="s">
        <v>1031</v>
      </c>
      <c r="B21" s="348"/>
      <c r="C21" s="349"/>
      <c r="D21" s="287">
        <v>45000000</v>
      </c>
    </row>
    <row r="22" spans="1:6" ht="44.25" customHeight="1">
      <c r="A22" s="347" t="s">
        <v>1033</v>
      </c>
      <c r="B22" s="348"/>
      <c r="C22" s="349"/>
      <c r="D22" s="287">
        <f>D23</f>
        <v>45000000</v>
      </c>
      <c r="F22" s="277"/>
    </row>
    <row r="23" spans="1:4" ht="60" customHeight="1">
      <c r="A23" s="347" t="s">
        <v>1034</v>
      </c>
      <c r="B23" s="348"/>
      <c r="C23" s="349"/>
      <c r="D23" s="287">
        <v>45000000</v>
      </c>
    </row>
    <row r="24" spans="1:2" ht="15.75">
      <c r="A24" s="268"/>
      <c r="B24" s="278"/>
    </row>
    <row r="25" spans="1:2" ht="15.75">
      <c r="A25" s="268"/>
      <c r="B25" s="278"/>
    </row>
    <row r="26" spans="1:2" ht="15.75">
      <c r="A26" s="268"/>
      <c r="B26" s="278"/>
    </row>
    <row r="27" spans="1:2" ht="15.75">
      <c r="A27" s="268"/>
      <c r="B27" s="280"/>
    </row>
    <row r="28" spans="1:2" ht="15.75">
      <c r="A28" s="268"/>
      <c r="B28" s="280"/>
    </row>
    <row r="29" spans="1:2" ht="15.75">
      <c r="A29" s="268"/>
      <c r="B29" s="280"/>
    </row>
    <row r="30" spans="1:2" ht="15.75">
      <c r="A30" s="268"/>
      <c r="B30" s="280"/>
    </row>
    <row r="31" spans="1:2" ht="15.75">
      <c r="A31" s="268"/>
      <c r="B31" s="280"/>
    </row>
    <row r="32" spans="1:2" ht="15.75">
      <c r="A32" s="33"/>
      <c r="B32" s="280"/>
    </row>
    <row r="33" spans="1:2" ht="15.75">
      <c r="A33" s="33"/>
      <c r="B33" s="280"/>
    </row>
    <row r="34" spans="1:2" ht="15.75">
      <c r="A34" s="33"/>
      <c r="B34" s="280"/>
    </row>
    <row r="35" spans="1:2" ht="15.75">
      <c r="A35" s="33"/>
      <c r="B35" s="280"/>
    </row>
    <row r="36" spans="1:2" ht="15.75">
      <c r="A36" s="33"/>
      <c r="B36" s="280"/>
    </row>
    <row r="37" spans="1:2" ht="15.75">
      <c r="A37" s="33"/>
      <c r="B37" s="281"/>
    </row>
    <row r="38" spans="1:2" ht="15.75">
      <c r="A38" s="33"/>
      <c r="B38" s="281"/>
    </row>
    <row r="39" spans="1:2" ht="15.75">
      <c r="A39" s="33"/>
      <c r="B39" s="281"/>
    </row>
    <row r="40" spans="1:2" ht="15.75">
      <c r="A40" s="33"/>
      <c r="B40" s="281"/>
    </row>
    <row r="41" spans="1:2" ht="15.75">
      <c r="A41" s="33"/>
      <c r="B41" s="281"/>
    </row>
    <row r="42" spans="1:2" ht="15.75">
      <c r="A42" s="33"/>
      <c r="B42" s="281"/>
    </row>
    <row r="43" spans="1:2" ht="15.75">
      <c r="A43" s="33"/>
      <c r="B43" s="282"/>
    </row>
    <row r="44" spans="1:2" ht="15.75">
      <c r="A44" s="33"/>
      <c r="B44" s="282"/>
    </row>
    <row r="45" spans="1:2" ht="15.75">
      <c r="A45" s="33"/>
      <c r="B45" s="282"/>
    </row>
    <row r="46" ht="15.75">
      <c r="B46" s="282"/>
    </row>
    <row r="47" ht="15.75">
      <c r="B47" s="282"/>
    </row>
    <row r="48" ht="15.75">
      <c r="B48" s="283"/>
    </row>
    <row r="49" ht="15.75">
      <c r="B49" s="283"/>
    </row>
    <row r="50" ht="15.75">
      <c r="B50" s="283"/>
    </row>
    <row r="51" ht="15.75">
      <c r="B51" s="283"/>
    </row>
  </sheetData>
  <sheetProtection/>
  <mergeCells count="2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2:C12"/>
    <mergeCell ref="A13:C13"/>
    <mergeCell ref="A14:C14"/>
    <mergeCell ref="A21:C21"/>
    <mergeCell ref="A22:C22"/>
    <mergeCell ref="A23:C23"/>
    <mergeCell ref="A15:C15"/>
    <mergeCell ref="A16:C16"/>
    <mergeCell ref="A17:C17"/>
    <mergeCell ref="A18:C18"/>
    <mergeCell ref="A19:C19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Спирина Ольга Станиславовна</dc:creator>
  <cp:keywords/>
  <dc:description/>
  <cp:lastModifiedBy>Полянина Александра Александровна</cp:lastModifiedBy>
  <cp:lastPrinted>2017-09-13T08:09:47Z</cp:lastPrinted>
  <dcterms:created xsi:type="dcterms:W3CDTF">2017-02-16T06:47:28Z</dcterms:created>
  <dcterms:modified xsi:type="dcterms:W3CDTF">2017-09-27T12:25:07Z</dcterms:modified>
  <cp:category/>
  <cp:version/>
  <cp:contentType/>
  <cp:contentStatus/>
</cp:coreProperties>
</file>