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3"/>
  </bookViews>
  <sheets>
    <sheet name="табл.2 (1)" sheetId="1" r:id="rId1"/>
    <sheet name="табл.3(1)" sheetId="2" r:id="rId2"/>
    <sheet name="табл.2 (2)" sheetId="3" r:id="rId3"/>
    <sheet name="табл.3 (2)" sheetId="4" r:id="rId4"/>
  </sheets>
  <externalReferences>
    <externalReference r:id="rId7"/>
  </externalReferences>
  <definedNames>
    <definedName name="_xlnm.Print_Area" localSheetId="0">'табл.2 (1)'!$A$1:$I$20</definedName>
  </definedNames>
  <calcPr fullCalcOnLoad="1"/>
</workbook>
</file>

<file path=xl/sharedStrings.xml><?xml version="1.0" encoding="utf-8"?>
<sst xmlns="http://schemas.openxmlformats.org/spreadsheetml/2006/main" count="355" uniqueCount="120">
  <si>
    <t>Таблица 2(1)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</si>
  <si>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</si>
  <si>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Источник финансирования</t>
  </si>
  <si>
    <t>Всего, руб.коп.</t>
  </si>
  <si>
    <t>в том числе по годам реализации, руб.коп.</t>
  </si>
  <si>
    <t>Всего по Подпрограмме 1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</si>
  <si>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</si>
  <si>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</si>
  <si>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</si>
  <si>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</si>
  <si>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</si>
  <si>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</si>
  <si>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</si>
  <si>
    <t>Таблица 3(1)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</si>
  <si>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</si>
  <si>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>№  п/п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</si>
  <si>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</si>
  <si>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</si>
  <si>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</si>
  <si>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Показатели результативности выполнения основных мероприятий</t>
  </si>
  <si>
    <t>Исполнитель, перечень организаций, участвующих в реализации основных мероприятий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</si>
  <si>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</si>
  <si>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</si>
  <si>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</si>
  <si>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</si>
  <si>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</si>
  <si>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</si>
  <si>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</si>
  <si>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</si>
  <si>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Наименование, ед.измерения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</si>
  <si>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</si>
  <si>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</si>
  <si>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1.1.</t>
  </si>
  <si>
    <t xml:space="preserve">Организация и проведение  культурно – массовых мероприятий в соответствии с годовым планом </t>
  </si>
  <si>
    <t xml:space="preserve">2014 -2020 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</si>
  <si>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</si>
  <si>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не менее 93</t>
  </si>
  <si>
    <t>УКС и МП</t>
  </si>
  <si>
    <t>в том числе:</t>
  </si>
  <si>
    <t>МБ</t>
  </si>
  <si>
    <t>ОБ</t>
  </si>
  <si>
    <t>ФБ</t>
  </si>
  <si>
    <t>ВБС</t>
  </si>
  <si>
    <t>Итого по задаче 1:</t>
  </si>
  <si>
    <t>Задача 2 . Развитие  дополнительного образования детей в сфере культуры и искусства</t>
  </si>
  <si>
    <t>2.1.</t>
  </si>
  <si>
    <t>Реализация программ дополнительного образования  в сфере культуры и искусства</t>
  </si>
  <si>
    <t xml:space="preserve">2014 -2016 </t>
  </si>
  <si>
    <t>Количество обучающихся в учреждениях дополнительного образования детей в сфере культуры и искусства, чел.</t>
  </si>
  <si>
    <t>Учреждения дополнительного образования детей, подведомственные  УКС и МП</t>
  </si>
  <si>
    <t>2.2.</t>
  </si>
  <si>
    <t xml:space="preserve">Организация и проведение  культурно – массовых мероприятий </t>
  </si>
  <si>
    <t>2017-2020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</si>
  <si>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</si>
  <si>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не менее 30%</t>
  </si>
  <si>
    <t>Количество мероприятий, ед.</t>
  </si>
  <si>
    <t>2.3.</t>
  </si>
  <si>
    <t>Реализация дополнительных общеразвивающих  программ</t>
  </si>
  <si>
    <t xml:space="preserve">2017 -2020 </t>
  </si>
  <si>
    <t>Количество человеко-часов, человеко-час.</t>
  </si>
  <si>
    <t>45118</t>
  </si>
  <si>
    <t>36261</t>
  </si>
  <si>
    <t>33005</t>
  </si>
  <si>
    <t>30827</t>
  </si>
  <si>
    <t>2.4.</t>
  </si>
  <si>
    <t>Реализация дополнительных общеобразовательных предпрофессиональных программ в области искусств</t>
  </si>
  <si>
    <t>21930</t>
  </si>
  <si>
    <t>34689</t>
  </si>
  <si>
    <t>37885</t>
  </si>
  <si>
    <t>38923</t>
  </si>
  <si>
    <t>2.5.</t>
  </si>
  <si>
    <t>Предоставление социальных гарантий работникам</t>
  </si>
  <si>
    <t>76</t>
  </si>
  <si>
    <t>72</t>
  </si>
  <si>
    <t>81</t>
  </si>
  <si>
    <t>Итого по задаче 2:</t>
  </si>
  <si>
    <t>Задача 3. Создание условий для работы клубных формирований</t>
  </si>
  <si>
    <t>3.1.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</si>
  <si>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</si>
  <si>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формирований, ед.</t>
  </si>
  <si>
    <t>Учреждения культурно-досугового типа, подведомственные  УКС и МП</t>
  </si>
  <si>
    <t>3.2.</t>
  </si>
  <si>
    <t>Сохранность контингента участников клубного формирования от первоначального формирования, %</t>
  </si>
  <si>
    <t>не менее 90</t>
  </si>
  <si>
    <t>3.3.</t>
  </si>
  <si>
    <t>Количество работников, чел.</t>
  </si>
  <si>
    <t>Итого по задаче 3:</t>
  </si>
  <si>
    <t>ВСЕГО по Подпрограмме 1:</t>
  </si>
  <si>
    <t xml:space="preserve">Таблица  № 2 (2)                                                                      </t>
  </si>
  <si>
    <t>Всего по Подпрограмме 2</t>
  </si>
  <si>
    <t xml:space="preserve">Таблица № 3 (2)                                                                                    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</si>
  <si>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</si>
  <si>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</si>
  <si>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Библиотечное, библиографическое и информационне обслуживание пользователей библиотеки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</si>
  <si>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</si>
  <si>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</si>
  <si>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</si>
  <si>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1.2.</t>
  </si>
  <si>
    <t>Количество работников, чел</t>
  </si>
  <si>
    <t>Итого по задаче 1</t>
  </si>
  <si>
    <t>Задача 2.Сохранение, пополнение и эффективное использование библиотечных фондов</t>
  </si>
  <si>
    <t xml:space="preserve"> Выполнение работы по формированию и учету фондов библиотек</t>
  </si>
  <si>
    <t>2014-2016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</si>
  <si>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</si>
  <si>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</si>
  <si>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</si>
  <si>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</si>
  <si>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Количество документов,ед.</t>
  </si>
  <si>
    <t>Библиографическая обработка документов и создание каталогов</t>
  </si>
  <si>
    <t>Итого по задаче 2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</si>
  <si>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</si>
  <si>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</si>
  <si>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Итого по задаче 3</t>
  </si>
  <si>
    <t>ВСЕГО по Подпрограмме 2:</t>
  </si>
  <si>
    <t>4. Обоснование ресурсного обеспечения Подпрограммы 2 "Библиотечное дело ЗАТО Александровск" на 2014 - 2020 годы</t>
  </si>
  <si>
    <t>3. Перечень основных мероприятий Подпрограммы 2 "Библиотечное дело ЗАТО Александровск" на 2014 - 2020 годы</t>
  </si>
  <si>
    <t>Приложение №1  к постановлению администрации  ЗАТО Александровск от "___" апреля 2018 г.№_____</t>
  </si>
  <si>
    <t>Приложение №2  к постановлению администрации  ЗАТО Александровск от "___" апреля 2018 г.№_____</t>
  </si>
  <si>
    <t>Приложение №3  к постановлению администрации  ЗАТО Александровск от "___" апреля 2018 г.№_____</t>
  </si>
  <si>
    <t>Приложение №4  к постановлению администрации  ЗАТО Александровск от "___" апреля 2018 г.№_____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</si>
</sst>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11" fillId="35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6" fillId="35" borderId="16" xfId="0" applyFont="1" applyFill="1" applyBorder="1" applyAlignment="1">
      <alignment vertical="center"/>
    </xf>
    <xf numFmtId="4" fontId="16" fillId="35" borderId="16" xfId="0" applyNumberFormat="1" applyFont="1" applyFill="1" applyBorder="1" applyAlignment="1">
      <alignment vertical="center"/>
    </xf>
    <xf numFmtId="4" fontId="16" fillId="35" borderId="17" xfId="0" applyNumberFormat="1" applyFont="1" applyFill="1" applyBorder="1" applyAlignment="1">
      <alignment vertical="center"/>
    </xf>
    <xf numFmtId="0" fontId="17" fillId="35" borderId="11" xfId="0" applyFont="1" applyFill="1" applyBorder="1" applyAlignment="1">
      <alignment vertical="center"/>
    </xf>
    <xf numFmtId="4" fontId="16" fillId="35" borderId="11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7" fillId="35" borderId="18" xfId="0" applyFont="1" applyFill="1" applyBorder="1" applyAlignment="1">
      <alignment vertical="center"/>
    </xf>
    <xf numFmtId="4" fontId="16" fillId="35" borderId="18" xfId="0" applyNumberFormat="1" applyFont="1" applyFill="1" applyBorder="1" applyAlignment="1">
      <alignment vertical="center"/>
    </xf>
    <xf numFmtId="4" fontId="17" fillId="35" borderId="18" xfId="0" applyNumberFormat="1" applyFont="1" applyFill="1" applyBorder="1" applyAlignment="1">
      <alignment vertical="center"/>
    </xf>
    <xf numFmtId="4" fontId="17" fillId="35" borderId="19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4" fontId="12" fillId="35" borderId="2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/>
    </xf>
    <xf numFmtId="2" fontId="7" fillId="35" borderId="21" xfId="0" applyNumberFormat="1" applyFont="1" applyFill="1" applyBorder="1" applyAlignment="1">
      <alignment horizontal="center" vertical="center"/>
    </xf>
    <xf numFmtId="2" fontId="7" fillId="35" borderId="15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2" fontId="11" fillId="35" borderId="14" xfId="0" applyNumberFormat="1" applyFont="1" applyFill="1" applyBorder="1" applyAlignment="1">
      <alignment horizontal="left" vertical="center" wrapText="1"/>
    </xf>
    <xf numFmtId="2" fontId="11" fillId="35" borderId="21" xfId="0" applyNumberFormat="1" applyFont="1" applyFill="1" applyBorder="1" applyAlignment="1">
      <alignment horizontal="left" vertical="center" wrapText="1"/>
    </xf>
    <xf numFmtId="2" fontId="11" fillId="35" borderId="15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12" fillId="35" borderId="14" xfId="0" applyNumberFormat="1" applyFont="1" applyFill="1" applyBorder="1" applyAlignment="1">
      <alignment horizontal="center" vertical="center"/>
    </xf>
    <xf numFmtId="4" fontId="12" fillId="35" borderId="21" xfId="0" applyNumberFormat="1" applyFont="1" applyFill="1" applyBorder="1" applyAlignment="1">
      <alignment horizontal="center" vertical="center"/>
    </xf>
    <xf numFmtId="4" fontId="12" fillId="35" borderId="15" xfId="0" applyNumberFormat="1" applyFont="1" applyFill="1" applyBorder="1" applyAlignment="1">
      <alignment horizontal="center" vertical="center"/>
    </xf>
    <xf numFmtId="0" fontId="15" fillId="35" borderId="22" xfId="0" applyNumberFormat="1" applyFont="1" applyFill="1" applyBorder="1" applyAlignment="1">
      <alignment horizontal="center" vertical="center" wrapText="1"/>
    </xf>
    <xf numFmtId="0" fontId="15" fillId="35" borderId="23" xfId="0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16" fillId="35" borderId="27" xfId="0" applyNumberFormat="1" applyFont="1" applyFill="1" applyBorder="1" applyAlignment="1">
      <alignment horizontal="center" vertical="center" wrapText="1"/>
    </xf>
    <xf numFmtId="0" fontId="16" fillId="35" borderId="28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11" xfId="0" applyNumberFormat="1" applyFont="1" applyFill="1" applyBorder="1" applyAlignment="1">
      <alignment horizontal="center" vertical="center" wrapText="1"/>
    </xf>
    <xf numFmtId="0" fontId="15" fillId="35" borderId="18" xfId="0" applyNumberFormat="1" applyFont="1" applyFill="1" applyBorder="1" applyAlignment="1">
      <alignment horizontal="center" vertical="center" wrapText="1"/>
    </xf>
    <xf numFmtId="2" fontId="11" fillId="35" borderId="25" xfId="0" applyNumberFormat="1" applyFont="1" applyFill="1" applyBorder="1" applyAlignment="1">
      <alignment horizontal="left" vertical="center" wrapText="1"/>
    </xf>
    <xf numFmtId="2" fontId="11" fillId="35" borderId="29" xfId="0" applyNumberFormat="1" applyFont="1" applyFill="1" applyBorder="1" applyAlignment="1">
      <alignment horizontal="left" vertical="center" wrapText="1"/>
    </xf>
    <xf numFmtId="2" fontId="11" fillId="35" borderId="30" xfId="0" applyNumberFormat="1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left" vertical="center"/>
    </xf>
    <xf numFmtId="0" fontId="17" fillId="35" borderId="3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2%20&#1041;&#1080;&#1073;&#1083;&#1080;&#1086;&#1090;&#1077;&#1095;&#1085;&#1086;&#1077;%20&#1076;&#1077;&#1083;&#1086;%2020.10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140625" defaultRowHeight="15"/>
  <cols>
    <col min="1" max="1" width="32.57421875" style="1" customWidth="1"/>
    <col min="2" max="2" width="18.421875" style="1" customWidth="1"/>
    <col min="3" max="8" width="15.421875" style="1" customWidth="1"/>
    <col min="9" max="9" width="15.140625" style="1" customWidth="1"/>
    <col min="10" max="16384" width="9.140625" style="1" customWidth="1"/>
  </cols>
  <sheetData>
    <row r="1" spans="4:10" ht="15.75">
      <c r="D1" s="2" t="s">
        <v>116</v>
      </c>
      <c r="E1" s="3"/>
      <c r="F1" s="4"/>
      <c r="G1" s="4"/>
      <c r="H1" s="4"/>
      <c r="J1" s="5"/>
    </row>
    <row r="2" ht="15.75">
      <c r="I2" s="6" t="s">
        <v>0</v>
      </c>
    </row>
    <row r="3" spans="1:9" ht="15.75">
      <c r="A3" s="66" t="s">
        <v>1</v>
      </c>
      <c r="B3" s="66"/>
      <c r="C3" s="66"/>
      <c r="D3" s="66"/>
      <c r="E3" s="66"/>
      <c r="F3" s="66"/>
      <c r="G3" s="66"/>
      <c r="H3" s="66"/>
      <c r="I3" s="66"/>
    </row>
    <row r="5" spans="1:9" ht="15.75">
      <c r="A5" s="67" t="s">
        <v>2</v>
      </c>
      <c r="B5" s="69" t="s">
        <v>3</v>
      </c>
      <c r="C5" s="71" t="s">
        <v>4</v>
      </c>
      <c r="D5" s="71"/>
      <c r="E5" s="71"/>
      <c r="F5" s="71"/>
      <c r="G5" s="71"/>
      <c r="H5" s="71"/>
      <c r="I5" s="71"/>
    </row>
    <row r="6" spans="1:9" ht="15.75">
      <c r="A6" s="68"/>
      <c r="B6" s="70"/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8">
        <v>2020</v>
      </c>
    </row>
    <row r="7" spans="1:9" ht="15.75">
      <c r="A7" s="9">
        <v>1</v>
      </c>
      <c r="B7" s="10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</row>
    <row r="8" spans="1:9" ht="30" customHeight="1">
      <c r="A8" s="11" t="s">
        <v>5</v>
      </c>
      <c r="B8" s="12">
        <f>B10+B11+B12+B13</f>
        <v>1311503702.3199997</v>
      </c>
      <c r="C8" s="12">
        <f aca="true" t="shared" si="0" ref="C8:I8">C10+C11+C12+C13</f>
        <v>169671123.63000003</v>
      </c>
      <c r="D8" s="12">
        <f t="shared" si="0"/>
        <v>166832058.4</v>
      </c>
      <c r="E8" s="12">
        <f t="shared" si="0"/>
        <v>178151552.88</v>
      </c>
      <c r="F8" s="12">
        <f t="shared" si="0"/>
        <v>198989480.75</v>
      </c>
      <c r="G8" s="12">
        <f t="shared" si="0"/>
        <v>201342197</v>
      </c>
      <c r="H8" s="12">
        <f t="shared" si="0"/>
        <v>195855660.48000002</v>
      </c>
      <c r="I8" s="12">
        <f t="shared" si="0"/>
        <v>200661629.18</v>
      </c>
    </row>
    <row r="9" spans="1:9" ht="30" customHeight="1">
      <c r="A9" s="63" t="s">
        <v>6</v>
      </c>
      <c r="B9" s="64"/>
      <c r="C9" s="64"/>
      <c r="D9" s="64"/>
      <c r="E9" s="64"/>
      <c r="F9" s="64"/>
      <c r="G9" s="64"/>
      <c r="H9" s="64"/>
      <c r="I9" s="65"/>
    </row>
    <row r="10" spans="1:9" ht="30" customHeight="1">
      <c r="A10" s="13" t="s">
        <v>7</v>
      </c>
      <c r="B10" s="12">
        <f>C10+D10+E10+F10+G10+H10+I10</f>
        <v>1187995165.62</v>
      </c>
      <c r="C10" s="14">
        <f>C17</f>
        <v>160117960.24</v>
      </c>
      <c r="D10" s="14">
        <f aca="true" t="shared" si="1" ref="D10:I13">D17</f>
        <v>154661265.49</v>
      </c>
      <c r="E10" s="14">
        <f t="shared" si="1"/>
        <v>163350077.13</v>
      </c>
      <c r="F10" s="14">
        <f t="shared" si="1"/>
        <v>174960211.45</v>
      </c>
      <c r="G10" s="14">
        <f t="shared" si="1"/>
        <v>180727215.29</v>
      </c>
      <c r="H10" s="14">
        <f t="shared" si="1"/>
        <v>175008121.14000002</v>
      </c>
      <c r="I10" s="14">
        <f t="shared" si="1"/>
        <v>179170314.88</v>
      </c>
    </row>
    <row r="11" spans="1:9" ht="30" customHeight="1">
      <c r="A11" s="13" t="s">
        <v>8</v>
      </c>
      <c r="B11" s="12">
        <f>C11+D11+E11+F11+G11+H11+I11</f>
        <v>73039364.07000001</v>
      </c>
      <c r="C11" s="14">
        <f>C18</f>
        <v>4344894.3100000005</v>
      </c>
      <c r="D11" s="14">
        <f t="shared" si="1"/>
        <v>5597215</v>
      </c>
      <c r="E11" s="14">
        <f t="shared" si="1"/>
        <v>6483560.13</v>
      </c>
      <c r="F11" s="14">
        <f t="shared" si="1"/>
        <v>13056679.280000001</v>
      </c>
      <c r="G11" s="14">
        <f t="shared" si="1"/>
        <v>13829381.709999999</v>
      </c>
      <c r="H11" s="14">
        <f t="shared" si="1"/>
        <v>14541929.340000002</v>
      </c>
      <c r="I11" s="14">
        <f t="shared" si="1"/>
        <v>15185704.299999999</v>
      </c>
    </row>
    <row r="12" spans="1:9" ht="30" customHeight="1">
      <c r="A12" s="13" t="s">
        <v>9</v>
      </c>
      <c r="B12" s="12">
        <f>C12+D12+E12+F12+G12+H12+I12</f>
        <v>50000</v>
      </c>
      <c r="C12" s="14">
        <f>C19</f>
        <v>0</v>
      </c>
      <c r="D12" s="14">
        <f t="shared" si="1"/>
        <v>0</v>
      </c>
      <c r="E12" s="14">
        <f t="shared" si="1"/>
        <v>0</v>
      </c>
      <c r="F12" s="14">
        <f t="shared" si="1"/>
        <v>50000</v>
      </c>
      <c r="G12" s="14">
        <f t="shared" si="1"/>
        <v>0</v>
      </c>
      <c r="H12" s="14">
        <f t="shared" si="1"/>
        <v>0</v>
      </c>
      <c r="I12" s="14">
        <f t="shared" si="1"/>
        <v>0</v>
      </c>
    </row>
    <row r="13" spans="1:9" ht="30" customHeight="1">
      <c r="A13" s="13" t="s">
        <v>10</v>
      </c>
      <c r="B13" s="12">
        <f>C13+D13+E13+F13+G13+H13+I13</f>
        <v>50419172.629999995</v>
      </c>
      <c r="C13" s="14">
        <f>C20</f>
        <v>5208269.08</v>
      </c>
      <c r="D13" s="14">
        <f t="shared" si="1"/>
        <v>6573577.91</v>
      </c>
      <c r="E13" s="14">
        <f t="shared" si="1"/>
        <v>8317915.62</v>
      </c>
      <c r="F13" s="14">
        <f t="shared" si="1"/>
        <v>10922590.02</v>
      </c>
      <c r="G13" s="14">
        <f t="shared" si="1"/>
        <v>6785600</v>
      </c>
      <c r="H13" s="14">
        <f t="shared" si="1"/>
        <v>6305610</v>
      </c>
      <c r="I13" s="14">
        <f t="shared" si="1"/>
        <v>6305610</v>
      </c>
    </row>
    <row r="14" spans="1:9" ht="30" customHeight="1">
      <c r="A14" s="72" t="s">
        <v>11</v>
      </c>
      <c r="B14" s="73"/>
      <c r="C14" s="73"/>
      <c r="D14" s="73"/>
      <c r="E14" s="73"/>
      <c r="F14" s="73"/>
      <c r="G14" s="73"/>
      <c r="H14" s="73"/>
      <c r="I14" s="74"/>
    </row>
    <row r="15" spans="1:9" ht="63" customHeight="1">
      <c r="A15" s="15" t="s">
        <v>12</v>
      </c>
      <c r="B15" s="12">
        <f>B17+B18+B19+B20</f>
        <v>1311503702.3199997</v>
      </c>
      <c r="C15" s="12">
        <f aca="true" t="shared" si="2" ref="C15:I15">C17+C18+C19+C20</f>
        <v>169671123.63000003</v>
      </c>
      <c r="D15" s="12">
        <f t="shared" si="2"/>
        <v>166832058.4</v>
      </c>
      <c r="E15" s="12">
        <f t="shared" si="2"/>
        <v>178151552.88</v>
      </c>
      <c r="F15" s="12">
        <f t="shared" si="2"/>
        <v>198989480.75</v>
      </c>
      <c r="G15" s="12">
        <f t="shared" si="2"/>
        <v>201342197</v>
      </c>
      <c r="H15" s="12">
        <f t="shared" si="2"/>
        <v>195855660.48000002</v>
      </c>
      <c r="I15" s="12">
        <f t="shared" si="2"/>
        <v>200661629.18</v>
      </c>
    </row>
    <row r="16" spans="1:9" ht="30" customHeight="1">
      <c r="A16" s="63" t="s">
        <v>6</v>
      </c>
      <c r="B16" s="64"/>
      <c r="C16" s="64"/>
      <c r="D16" s="64"/>
      <c r="E16" s="64"/>
      <c r="F16" s="64"/>
      <c r="G16" s="64"/>
      <c r="H16" s="64"/>
      <c r="I16" s="65"/>
    </row>
    <row r="17" spans="1:9" ht="30" customHeight="1">
      <c r="A17" s="13" t="s">
        <v>7</v>
      </c>
      <c r="B17" s="12">
        <f>C17+D17+E17+F17+G17+H17+I17</f>
        <v>1187995165.62</v>
      </c>
      <c r="C17" s="14">
        <f>'табл.3(1)'!F85</f>
        <v>160117960.24</v>
      </c>
      <c r="D17" s="14">
        <f>'табл.3(1)'!G85</f>
        <v>154661265.49</v>
      </c>
      <c r="E17" s="14">
        <f>'табл.3(1)'!H85</f>
        <v>163350077.13</v>
      </c>
      <c r="F17" s="14">
        <f>'табл.3(1)'!I85</f>
        <v>174960211.45</v>
      </c>
      <c r="G17" s="14">
        <f>'табл.3(1)'!J85</f>
        <v>180727215.29</v>
      </c>
      <c r="H17" s="14">
        <f>'табл.3(1)'!K85</f>
        <v>175008121.14000002</v>
      </c>
      <c r="I17" s="14">
        <f>'табл.3(1)'!L85</f>
        <v>179170314.88</v>
      </c>
    </row>
    <row r="18" spans="1:9" ht="30" customHeight="1">
      <c r="A18" s="13" t="s">
        <v>8</v>
      </c>
      <c r="B18" s="12">
        <f>C18+D18+E18+F18+G18+H18+I18</f>
        <v>73039364.07000001</v>
      </c>
      <c r="C18" s="14">
        <f>'табл.3(1)'!F86</f>
        <v>4344894.3100000005</v>
      </c>
      <c r="D18" s="14">
        <f>'табл.3(1)'!G86</f>
        <v>5597215</v>
      </c>
      <c r="E18" s="14">
        <f>'табл.3(1)'!H86</f>
        <v>6483560.13</v>
      </c>
      <c r="F18" s="14">
        <f>'табл.3(1)'!I86</f>
        <v>13056679.280000001</v>
      </c>
      <c r="G18" s="14">
        <f>'табл.3(1)'!J86</f>
        <v>13829381.709999999</v>
      </c>
      <c r="H18" s="14">
        <f>'табл.3(1)'!K86</f>
        <v>14541929.340000002</v>
      </c>
      <c r="I18" s="14">
        <f>'табл.3(1)'!L86</f>
        <v>15185704.299999999</v>
      </c>
    </row>
    <row r="19" spans="1:9" ht="30" customHeight="1">
      <c r="A19" s="13" t="s">
        <v>9</v>
      </c>
      <c r="B19" s="12">
        <f>C19+D19+E19+F19+G19+H19+I19</f>
        <v>50000</v>
      </c>
      <c r="C19" s="14">
        <f>'табл.3(1)'!F87</f>
        <v>0</v>
      </c>
      <c r="D19" s="14">
        <f>'табл.3(1)'!G87</f>
        <v>0</v>
      </c>
      <c r="E19" s="14">
        <f>'табл.3(1)'!H87</f>
        <v>0</v>
      </c>
      <c r="F19" s="14">
        <f>'табл.3(1)'!I87</f>
        <v>50000</v>
      </c>
      <c r="G19" s="14">
        <f>'табл.3(1)'!J87</f>
        <v>0</v>
      </c>
      <c r="H19" s="14">
        <f>'табл.3(1)'!K87</f>
        <v>0</v>
      </c>
      <c r="I19" s="14">
        <f>'табл.3(1)'!L87</f>
        <v>0</v>
      </c>
    </row>
    <row r="20" spans="1:9" ht="30" customHeight="1">
      <c r="A20" s="13" t="s">
        <v>10</v>
      </c>
      <c r="B20" s="12">
        <f>C20+D20+E20+F20+G20+H20+I20</f>
        <v>50419172.629999995</v>
      </c>
      <c r="C20" s="14">
        <f>'табл.3(1)'!F88</f>
        <v>5208269.08</v>
      </c>
      <c r="D20" s="14">
        <f>'табл.3(1)'!G88</f>
        <v>6573577.91</v>
      </c>
      <c r="E20" s="14">
        <f>'табл.3(1)'!H88</f>
        <v>8317915.62</v>
      </c>
      <c r="F20" s="14">
        <f>'табл.3(1)'!I88</f>
        <v>10922590.02</v>
      </c>
      <c r="G20" s="14">
        <f>'табл.3(1)'!J88</f>
        <v>6785600</v>
      </c>
      <c r="H20" s="14">
        <f>'табл.3(1)'!K88</f>
        <v>6305610</v>
      </c>
      <c r="I20" s="14">
        <f>'табл.3(1)'!L88</f>
        <v>6305610</v>
      </c>
    </row>
    <row r="22" ht="15.75">
      <c r="A22" s="16"/>
    </row>
    <row r="23" ht="15.75">
      <c r="A23" s="17"/>
    </row>
  </sheetData>
  <sheetProtection/>
  <mergeCells count="7">
    <mergeCell ref="A16:I16"/>
    <mergeCell ref="A3:I3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view="pageBreakPreview" zoomScale="115" zoomScaleSheetLayoutView="115" zoomScalePageLayoutView="0" workbookViewId="0" topLeftCell="E1">
      <selection activeCell="N1" sqref="N1"/>
    </sheetView>
  </sheetViews>
  <sheetFormatPr defaultColWidth="9.140625" defaultRowHeight="15"/>
  <cols>
    <col min="1" max="1" width="9.140625" style="20" customWidth="1"/>
    <col min="2" max="2" width="36.140625" style="20" customWidth="1"/>
    <col min="3" max="3" width="10.8515625" style="20" customWidth="1"/>
    <col min="4" max="4" width="10.00390625" style="20" customWidth="1"/>
    <col min="5" max="5" width="15.421875" style="20" bestFit="1" customWidth="1"/>
    <col min="6" max="12" width="14.00390625" style="20" bestFit="1" customWidth="1"/>
    <col min="13" max="13" width="25.421875" style="20" customWidth="1"/>
    <col min="14" max="14" width="8.8515625" style="20" customWidth="1"/>
    <col min="15" max="15" width="8.57421875" style="20" customWidth="1"/>
    <col min="16" max="17" width="8.421875" style="20" customWidth="1"/>
    <col min="18" max="18" width="8.57421875" style="20" customWidth="1"/>
    <col min="19" max="19" width="8.421875" style="20" customWidth="1"/>
    <col min="20" max="20" width="8.8515625" style="20" customWidth="1"/>
    <col min="21" max="21" width="24.421875" style="20" customWidth="1"/>
    <col min="22" max="16384" width="9.140625" style="20" customWidth="1"/>
  </cols>
  <sheetData>
    <row r="1" spans="14:21" s="18" customFormat="1" ht="14.25" customHeight="1">
      <c r="N1" s="18" t="s">
        <v>117</v>
      </c>
      <c r="U1" s="19"/>
    </row>
    <row r="2" s="18" customFormat="1" ht="14.25" customHeight="1">
      <c r="U2" s="19" t="s">
        <v>13</v>
      </c>
    </row>
    <row r="3" spans="1:21" s="18" customFormat="1" ht="12.75">
      <c r="A3" s="142" t="s">
        <v>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31.5" customHeight="1">
      <c r="A4" s="143" t="s">
        <v>15</v>
      </c>
      <c r="B4" s="144" t="s">
        <v>16</v>
      </c>
      <c r="C4" s="144" t="s">
        <v>17</v>
      </c>
      <c r="D4" s="144" t="s">
        <v>2</v>
      </c>
      <c r="E4" s="144" t="s">
        <v>18</v>
      </c>
      <c r="F4" s="144"/>
      <c r="G4" s="144"/>
      <c r="H4" s="144"/>
      <c r="I4" s="144"/>
      <c r="J4" s="144"/>
      <c r="K4" s="144"/>
      <c r="L4" s="144"/>
      <c r="M4" s="143" t="s">
        <v>19</v>
      </c>
      <c r="N4" s="143"/>
      <c r="O4" s="143"/>
      <c r="P4" s="143"/>
      <c r="Q4" s="143"/>
      <c r="R4" s="143"/>
      <c r="S4" s="143"/>
      <c r="T4" s="143"/>
      <c r="U4" s="145" t="s">
        <v>20</v>
      </c>
    </row>
    <row r="5" spans="1:21" ht="21" customHeight="1">
      <c r="A5" s="143"/>
      <c r="B5" s="144"/>
      <c r="C5" s="144"/>
      <c r="D5" s="144"/>
      <c r="E5" s="21" t="s">
        <v>21</v>
      </c>
      <c r="F5" s="22" t="s">
        <v>22</v>
      </c>
      <c r="G5" s="22" t="s">
        <v>23</v>
      </c>
      <c r="H5" s="22" t="s">
        <v>24</v>
      </c>
      <c r="I5" s="22" t="s">
        <v>25</v>
      </c>
      <c r="J5" s="22" t="s">
        <v>26</v>
      </c>
      <c r="K5" s="22" t="s">
        <v>27</v>
      </c>
      <c r="L5" s="22" t="s">
        <v>28</v>
      </c>
      <c r="M5" s="23" t="s">
        <v>29</v>
      </c>
      <c r="N5" s="23">
        <v>2014</v>
      </c>
      <c r="O5" s="22" t="s">
        <v>23</v>
      </c>
      <c r="P5" s="22" t="s">
        <v>24</v>
      </c>
      <c r="Q5" s="22" t="s">
        <v>25</v>
      </c>
      <c r="R5" s="22" t="s">
        <v>26</v>
      </c>
      <c r="S5" s="22" t="s">
        <v>27</v>
      </c>
      <c r="T5" s="22" t="s">
        <v>28</v>
      </c>
      <c r="U5" s="146"/>
    </row>
    <row r="6" spans="1:21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</row>
    <row r="7" spans="1:21" ht="12.75">
      <c r="A7" s="24"/>
      <c r="B7" s="139" t="s">
        <v>30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ht="12.75">
      <c r="A8" s="24">
        <v>1</v>
      </c>
      <c r="B8" s="139" t="s">
        <v>31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</row>
    <row r="9" spans="1:21" ht="12.75">
      <c r="A9" s="100" t="s">
        <v>32</v>
      </c>
      <c r="B9" s="118" t="s">
        <v>33</v>
      </c>
      <c r="C9" s="104" t="s">
        <v>34</v>
      </c>
      <c r="D9" s="25" t="s">
        <v>21</v>
      </c>
      <c r="E9" s="26">
        <f>E11+E12+E13+E14</f>
        <v>19693555.07</v>
      </c>
      <c r="F9" s="26">
        <f aca="true" t="shared" si="0" ref="F9:L9">F11+F12+F13+F14</f>
        <v>1729980</v>
      </c>
      <c r="G9" s="26">
        <f t="shared" si="0"/>
        <v>1670815.07</v>
      </c>
      <c r="H9" s="26">
        <f t="shared" si="0"/>
        <v>2299220</v>
      </c>
      <c r="I9" s="26">
        <f t="shared" si="0"/>
        <v>4923720</v>
      </c>
      <c r="J9" s="26">
        <f t="shared" si="0"/>
        <v>2808000</v>
      </c>
      <c r="K9" s="26">
        <f t="shared" si="0"/>
        <v>2727600</v>
      </c>
      <c r="L9" s="26">
        <f t="shared" si="0"/>
        <v>3534220</v>
      </c>
      <c r="M9" s="94" t="s">
        <v>35</v>
      </c>
      <c r="N9" s="91" t="s">
        <v>36</v>
      </c>
      <c r="O9" s="91" t="s">
        <v>36</v>
      </c>
      <c r="P9" s="91" t="s">
        <v>36</v>
      </c>
      <c r="Q9" s="91" t="s">
        <v>36</v>
      </c>
      <c r="R9" s="91" t="s">
        <v>36</v>
      </c>
      <c r="S9" s="91" t="s">
        <v>36</v>
      </c>
      <c r="T9" s="91" t="s">
        <v>36</v>
      </c>
      <c r="U9" s="97" t="s">
        <v>37</v>
      </c>
    </row>
    <row r="10" spans="1:21" ht="12.75">
      <c r="A10" s="100"/>
      <c r="B10" s="118"/>
      <c r="C10" s="105"/>
      <c r="D10" s="84" t="s">
        <v>38</v>
      </c>
      <c r="E10" s="85"/>
      <c r="F10" s="85"/>
      <c r="G10" s="85"/>
      <c r="H10" s="85"/>
      <c r="I10" s="85"/>
      <c r="J10" s="85"/>
      <c r="K10" s="85"/>
      <c r="L10" s="86"/>
      <c r="M10" s="95"/>
      <c r="N10" s="92"/>
      <c r="O10" s="92"/>
      <c r="P10" s="92"/>
      <c r="Q10" s="92"/>
      <c r="R10" s="92"/>
      <c r="S10" s="92"/>
      <c r="T10" s="92"/>
      <c r="U10" s="98"/>
    </row>
    <row r="11" spans="1:21" ht="12.75">
      <c r="A11" s="100"/>
      <c r="B11" s="118"/>
      <c r="C11" s="105"/>
      <c r="D11" s="27" t="s">
        <v>39</v>
      </c>
      <c r="E11" s="28">
        <f>SUM(F11:L11)</f>
        <v>19693555.07</v>
      </c>
      <c r="F11" s="28">
        <v>1729980</v>
      </c>
      <c r="G11" s="28">
        <v>1670815.07</v>
      </c>
      <c r="H11" s="28">
        <v>2299220</v>
      </c>
      <c r="I11" s="28">
        <f>4866720+57000</f>
        <v>4923720</v>
      </c>
      <c r="J11" s="28">
        <v>2808000</v>
      </c>
      <c r="K11" s="28">
        <v>2727600</v>
      </c>
      <c r="L11" s="28">
        <v>3534220</v>
      </c>
      <c r="M11" s="95"/>
      <c r="N11" s="92"/>
      <c r="O11" s="92"/>
      <c r="P11" s="92"/>
      <c r="Q11" s="92"/>
      <c r="R11" s="92"/>
      <c r="S11" s="92"/>
      <c r="T11" s="92"/>
      <c r="U11" s="98"/>
    </row>
    <row r="12" spans="1:21" ht="12.75">
      <c r="A12" s="100"/>
      <c r="B12" s="118"/>
      <c r="C12" s="105"/>
      <c r="D12" s="27" t="s">
        <v>40</v>
      </c>
      <c r="E12" s="28">
        <f>SUM(F12:L12)</f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95"/>
      <c r="N12" s="92"/>
      <c r="O12" s="92"/>
      <c r="P12" s="92"/>
      <c r="Q12" s="92"/>
      <c r="R12" s="92"/>
      <c r="S12" s="92"/>
      <c r="T12" s="92"/>
      <c r="U12" s="98"/>
    </row>
    <row r="13" spans="1:21" ht="12.75">
      <c r="A13" s="100"/>
      <c r="B13" s="118"/>
      <c r="C13" s="105"/>
      <c r="D13" s="27" t="s">
        <v>41</v>
      </c>
      <c r="E13" s="28">
        <f>SUM(F13:L13)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5"/>
      <c r="N13" s="92"/>
      <c r="O13" s="92"/>
      <c r="P13" s="92"/>
      <c r="Q13" s="92"/>
      <c r="R13" s="92"/>
      <c r="S13" s="92"/>
      <c r="T13" s="92"/>
      <c r="U13" s="98"/>
    </row>
    <row r="14" spans="1:21" ht="12.75">
      <c r="A14" s="100"/>
      <c r="B14" s="118"/>
      <c r="C14" s="106"/>
      <c r="D14" s="27" t="s">
        <v>42</v>
      </c>
      <c r="E14" s="28">
        <f>SUM(F14:L14)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96"/>
      <c r="N14" s="93"/>
      <c r="O14" s="93"/>
      <c r="P14" s="93"/>
      <c r="Q14" s="93"/>
      <c r="R14" s="93"/>
      <c r="S14" s="93"/>
      <c r="T14" s="93"/>
      <c r="U14" s="99"/>
    </row>
    <row r="15" spans="1:21" ht="12.75">
      <c r="A15" s="107"/>
      <c r="B15" s="101" t="s">
        <v>43</v>
      </c>
      <c r="C15" s="104"/>
      <c r="D15" s="25" t="s">
        <v>21</v>
      </c>
      <c r="E15" s="26">
        <f>E17+E18+E19+E20</f>
        <v>19693555.07</v>
      </c>
      <c r="F15" s="26">
        <f aca="true" t="shared" si="1" ref="F15:L15">F17+F18+F19+F20</f>
        <v>1729980</v>
      </c>
      <c r="G15" s="26">
        <f t="shared" si="1"/>
        <v>1670815.07</v>
      </c>
      <c r="H15" s="26">
        <f t="shared" si="1"/>
        <v>2299220</v>
      </c>
      <c r="I15" s="26">
        <f t="shared" si="1"/>
        <v>4923720</v>
      </c>
      <c r="J15" s="26">
        <f t="shared" si="1"/>
        <v>2808000</v>
      </c>
      <c r="K15" s="26">
        <f t="shared" si="1"/>
        <v>2727600</v>
      </c>
      <c r="L15" s="26">
        <f t="shared" si="1"/>
        <v>3534220</v>
      </c>
      <c r="M15" s="94"/>
      <c r="N15" s="91"/>
      <c r="O15" s="91"/>
      <c r="P15" s="91"/>
      <c r="Q15" s="91"/>
      <c r="R15" s="91"/>
      <c r="S15" s="91"/>
      <c r="T15" s="91"/>
      <c r="U15" s="97"/>
    </row>
    <row r="16" spans="1:21" ht="12.75">
      <c r="A16" s="108"/>
      <c r="B16" s="102"/>
      <c r="C16" s="105"/>
      <c r="D16" s="84" t="s">
        <v>38</v>
      </c>
      <c r="E16" s="85"/>
      <c r="F16" s="85"/>
      <c r="G16" s="85"/>
      <c r="H16" s="85"/>
      <c r="I16" s="85"/>
      <c r="J16" s="85"/>
      <c r="K16" s="85"/>
      <c r="L16" s="86"/>
      <c r="M16" s="116"/>
      <c r="N16" s="115"/>
      <c r="O16" s="115"/>
      <c r="P16" s="115"/>
      <c r="Q16" s="115"/>
      <c r="R16" s="115"/>
      <c r="S16" s="115"/>
      <c r="T16" s="115"/>
      <c r="U16" s="115"/>
    </row>
    <row r="17" spans="1:21" ht="12.75">
      <c r="A17" s="108"/>
      <c r="B17" s="102"/>
      <c r="C17" s="105"/>
      <c r="D17" s="27" t="s">
        <v>39</v>
      </c>
      <c r="E17" s="28">
        <f>SUM(F17:L17)</f>
        <v>19693555.07</v>
      </c>
      <c r="F17" s="28">
        <f aca="true" t="shared" si="2" ref="F17:L20">F11</f>
        <v>1729980</v>
      </c>
      <c r="G17" s="28">
        <f t="shared" si="2"/>
        <v>1670815.07</v>
      </c>
      <c r="H17" s="28">
        <f t="shared" si="2"/>
        <v>2299220</v>
      </c>
      <c r="I17" s="28">
        <f t="shared" si="2"/>
        <v>4923720</v>
      </c>
      <c r="J17" s="28">
        <f t="shared" si="2"/>
        <v>2808000</v>
      </c>
      <c r="K17" s="28">
        <f t="shared" si="2"/>
        <v>2727600</v>
      </c>
      <c r="L17" s="28">
        <f>L11</f>
        <v>3534220</v>
      </c>
      <c r="M17" s="116"/>
      <c r="N17" s="115"/>
      <c r="O17" s="115"/>
      <c r="P17" s="115"/>
      <c r="Q17" s="115"/>
      <c r="R17" s="115"/>
      <c r="S17" s="115"/>
      <c r="T17" s="115"/>
      <c r="U17" s="115"/>
    </row>
    <row r="18" spans="1:21" ht="12.75">
      <c r="A18" s="108"/>
      <c r="B18" s="102"/>
      <c r="C18" s="105"/>
      <c r="D18" s="27" t="s">
        <v>40</v>
      </c>
      <c r="E18" s="28">
        <f>SUM(F18:L18)</f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116"/>
      <c r="N18" s="115"/>
      <c r="O18" s="115"/>
      <c r="P18" s="115"/>
      <c r="Q18" s="115"/>
      <c r="R18" s="115"/>
      <c r="S18" s="115"/>
      <c r="T18" s="115"/>
      <c r="U18" s="115"/>
    </row>
    <row r="19" spans="1:21" ht="12.75">
      <c r="A19" s="108"/>
      <c r="B19" s="102"/>
      <c r="C19" s="105"/>
      <c r="D19" s="27" t="s">
        <v>41</v>
      </c>
      <c r="E19" s="28">
        <f>SUM(F19:L19)</f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116"/>
      <c r="N19" s="115"/>
      <c r="O19" s="115"/>
      <c r="P19" s="115"/>
      <c r="Q19" s="115"/>
      <c r="R19" s="115"/>
      <c r="S19" s="115"/>
      <c r="T19" s="115"/>
      <c r="U19" s="115"/>
    </row>
    <row r="20" spans="1:21" ht="12.75">
      <c r="A20" s="109"/>
      <c r="B20" s="103"/>
      <c r="C20" s="106"/>
      <c r="D20" s="27" t="s">
        <v>42</v>
      </c>
      <c r="E20" s="28">
        <f>SUM(F20:L20)</f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116"/>
      <c r="N20" s="115"/>
      <c r="O20" s="115"/>
      <c r="P20" s="115"/>
      <c r="Q20" s="115"/>
      <c r="R20" s="115"/>
      <c r="S20" s="115"/>
      <c r="T20" s="115"/>
      <c r="U20" s="115"/>
    </row>
    <row r="21" spans="1:21" ht="15">
      <c r="A21" s="30">
        <v>2</v>
      </c>
      <c r="B21" s="136" t="s">
        <v>44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8"/>
      <c r="M21" s="130"/>
      <c r="N21" s="117"/>
      <c r="O21" s="117"/>
      <c r="P21" s="117"/>
      <c r="Q21" s="117"/>
      <c r="R21" s="117"/>
      <c r="S21" s="117"/>
      <c r="T21" s="117"/>
      <c r="U21" s="117"/>
    </row>
    <row r="22" spans="1:21" ht="12.75">
      <c r="A22" s="107" t="s">
        <v>45</v>
      </c>
      <c r="B22" s="110" t="s">
        <v>46</v>
      </c>
      <c r="C22" s="104" t="s">
        <v>47</v>
      </c>
      <c r="D22" s="25" t="s">
        <v>21</v>
      </c>
      <c r="E22" s="26">
        <f>E24+E25+E26+E27</f>
        <v>189525217.22000003</v>
      </c>
      <c r="F22" s="26">
        <f aca="true" t="shared" si="3" ref="F22:L22">F24+F25+F26+F27</f>
        <v>65942807.34</v>
      </c>
      <c r="G22" s="26">
        <f t="shared" si="3"/>
        <v>61212738.510000005</v>
      </c>
      <c r="H22" s="26">
        <f t="shared" si="3"/>
        <v>62369671.37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0</v>
      </c>
      <c r="M22" s="119" t="s">
        <v>48</v>
      </c>
      <c r="N22" s="92">
        <v>711</v>
      </c>
      <c r="O22" s="92">
        <v>815</v>
      </c>
      <c r="P22" s="92">
        <v>825</v>
      </c>
      <c r="Q22" s="92">
        <v>0</v>
      </c>
      <c r="R22" s="92">
        <v>0</v>
      </c>
      <c r="S22" s="92">
        <v>0</v>
      </c>
      <c r="T22" s="92">
        <v>0</v>
      </c>
      <c r="U22" s="97" t="s">
        <v>49</v>
      </c>
    </row>
    <row r="23" spans="1:21" ht="12.75" customHeight="1">
      <c r="A23" s="115"/>
      <c r="B23" s="116"/>
      <c r="C23" s="105"/>
      <c r="D23" s="84" t="s">
        <v>38</v>
      </c>
      <c r="E23" s="85"/>
      <c r="F23" s="85"/>
      <c r="G23" s="85"/>
      <c r="H23" s="85"/>
      <c r="I23" s="85"/>
      <c r="J23" s="85"/>
      <c r="K23" s="85"/>
      <c r="L23" s="86"/>
      <c r="M23" s="120"/>
      <c r="N23" s="115"/>
      <c r="O23" s="115"/>
      <c r="P23" s="115"/>
      <c r="Q23" s="115"/>
      <c r="R23" s="115"/>
      <c r="S23" s="115"/>
      <c r="T23" s="115"/>
      <c r="U23" s="115"/>
    </row>
    <row r="24" spans="1:21" ht="12.75" customHeight="1">
      <c r="A24" s="115"/>
      <c r="B24" s="116"/>
      <c r="C24" s="105"/>
      <c r="D24" s="27" t="s">
        <v>39</v>
      </c>
      <c r="E24" s="28">
        <f>SUM(F24:L24)</f>
        <v>181498372.92000002</v>
      </c>
      <c r="F24" s="28">
        <v>63783452.34</v>
      </c>
      <c r="G24" s="28">
        <f>56914601.34+480455.57+994511.6</f>
        <v>58389568.510000005</v>
      </c>
      <c r="H24" s="28">
        <f>59193848.25+131503.82</f>
        <v>59325352.07</v>
      </c>
      <c r="I24" s="28"/>
      <c r="J24" s="28"/>
      <c r="K24" s="28"/>
      <c r="L24" s="28"/>
      <c r="M24" s="120"/>
      <c r="N24" s="115"/>
      <c r="O24" s="115"/>
      <c r="P24" s="115"/>
      <c r="Q24" s="115"/>
      <c r="R24" s="115"/>
      <c r="S24" s="115"/>
      <c r="T24" s="115"/>
      <c r="U24" s="115"/>
    </row>
    <row r="25" spans="1:21" ht="12.75" customHeight="1">
      <c r="A25" s="115"/>
      <c r="B25" s="116"/>
      <c r="C25" s="105"/>
      <c r="D25" s="27" t="s">
        <v>40</v>
      </c>
      <c r="E25" s="28">
        <f>SUM(F25:L25)</f>
        <v>699944</v>
      </c>
      <c r="F25" s="28">
        <v>222820</v>
      </c>
      <c r="G25" s="28">
        <v>212870</v>
      </c>
      <c r="H25" s="28">
        <v>264254</v>
      </c>
      <c r="I25" s="28">
        <v>0</v>
      </c>
      <c r="J25" s="28">
        <v>0</v>
      </c>
      <c r="K25" s="28">
        <v>0</v>
      </c>
      <c r="L25" s="28">
        <v>0</v>
      </c>
      <c r="M25" s="120"/>
      <c r="N25" s="115"/>
      <c r="O25" s="115"/>
      <c r="P25" s="115"/>
      <c r="Q25" s="115"/>
      <c r="R25" s="115"/>
      <c r="S25" s="115"/>
      <c r="T25" s="115"/>
      <c r="U25" s="115"/>
    </row>
    <row r="26" spans="1:21" ht="12.75" customHeight="1">
      <c r="A26" s="115"/>
      <c r="B26" s="116"/>
      <c r="C26" s="105"/>
      <c r="D26" s="27" t="s">
        <v>41</v>
      </c>
      <c r="E26" s="28">
        <f>SUM(F26:L26)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20"/>
      <c r="N26" s="115"/>
      <c r="O26" s="115"/>
      <c r="P26" s="115"/>
      <c r="Q26" s="115"/>
      <c r="R26" s="115"/>
      <c r="S26" s="115"/>
      <c r="T26" s="115"/>
      <c r="U26" s="115"/>
    </row>
    <row r="27" spans="1:21" ht="12.75" customHeight="1">
      <c r="A27" s="117"/>
      <c r="B27" s="130"/>
      <c r="C27" s="106"/>
      <c r="D27" s="27" t="s">
        <v>42</v>
      </c>
      <c r="E27" s="28">
        <f>SUM(F27:L27)</f>
        <v>7326900.3</v>
      </c>
      <c r="F27" s="28">
        <v>1936535</v>
      </c>
      <c r="G27" s="28">
        <f>2240260+250040+120000</f>
        <v>2610300</v>
      </c>
      <c r="H27" s="28">
        <f>2498800+166540+114725.3</f>
        <v>2780065.3</v>
      </c>
      <c r="I27" s="28"/>
      <c r="J27" s="28"/>
      <c r="K27" s="28"/>
      <c r="L27" s="28"/>
      <c r="M27" s="120"/>
      <c r="N27" s="115"/>
      <c r="O27" s="115"/>
      <c r="P27" s="115"/>
      <c r="Q27" s="115"/>
      <c r="R27" s="115"/>
      <c r="S27" s="115"/>
      <c r="T27" s="115"/>
      <c r="U27" s="117"/>
    </row>
    <row r="28" spans="1:21" ht="12.75" customHeight="1">
      <c r="A28" s="107" t="s">
        <v>50</v>
      </c>
      <c r="B28" s="110" t="s">
        <v>51</v>
      </c>
      <c r="C28" s="104" t="s">
        <v>52</v>
      </c>
      <c r="D28" s="25" t="s">
        <v>21</v>
      </c>
      <c r="E28" s="26">
        <f>E30+E31+E32+E33</f>
        <v>3750796.88</v>
      </c>
      <c r="F28" s="26">
        <f aca="true" t="shared" si="4" ref="F28:L28">F30+F31+F32+F33</f>
        <v>782555</v>
      </c>
      <c r="G28" s="26">
        <f t="shared" si="4"/>
        <v>553116.88</v>
      </c>
      <c r="H28" s="26">
        <f t="shared" si="4"/>
        <v>505125</v>
      </c>
      <c r="I28" s="26">
        <f t="shared" si="4"/>
        <v>470000</v>
      </c>
      <c r="J28" s="26">
        <f t="shared" si="4"/>
        <v>480000</v>
      </c>
      <c r="K28" s="26">
        <f t="shared" si="4"/>
        <v>480000</v>
      </c>
      <c r="L28" s="26">
        <f t="shared" si="4"/>
        <v>480000</v>
      </c>
      <c r="M28" s="134" t="s">
        <v>53</v>
      </c>
      <c r="N28" s="91" t="s">
        <v>54</v>
      </c>
      <c r="O28" s="91" t="s">
        <v>54</v>
      </c>
      <c r="P28" s="91" t="s">
        <v>54</v>
      </c>
      <c r="Q28" s="91">
        <v>0</v>
      </c>
      <c r="R28" s="91">
        <v>0</v>
      </c>
      <c r="S28" s="91">
        <v>0</v>
      </c>
      <c r="T28" s="91">
        <v>0</v>
      </c>
      <c r="U28" s="97" t="s">
        <v>49</v>
      </c>
    </row>
    <row r="29" spans="1:21" ht="12.75" customHeight="1">
      <c r="A29" s="115"/>
      <c r="B29" s="116"/>
      <c r="C29" s="105"/>
      <c r="D29" s="84" t="s">
        <v>38</v>
      </c>
      <c r="E29" s="85"/>
      <c r="F29" s="85"/>
      <c r="G29" s="85"/>
      <c r="H29" s="85"/>
      <c r="I29" s="85"/>
      <c r="J29" s="85"/>
      <c r="K29" s="85"/>
      <c r="L29" s="86"/>
      <c r="M29" s="135"/>
      <c r="N29" s="115"/>
      <c r="O29" s="115"/>
      <c r="P29" s="115"/>
      <c r="Q29" s="115"/>
      <c r="R29" s="115"/>
      <c r="S29" s="115"/>
      <c r="T29" s="115"/>
      <c r="U29" s="115"/>
    </row>
    <row r="30" spans="1:21" ht="44.25" customHeight="1">
      <c r="A30" s="115"/>
      <c r="B30" s="116"/>
      <c r="C30" s="105"/>
      <c r="D30" s="27" t="s">
        <v>39</v>
      </c>
      <c r="E30" s="28">
        <f>SUM(F30:L30)</f>
        <v>273581.88</v>
      </c>
      <c r="F30" s="28">
        <v>203040</v>
      </c>
      <c r="G30" s="28">
        <v>25416.88</v>
      </c>
      <c r="H30" s="28">
        <v>45125</v>
      </c>
      <c r="I30" s="28">
        <v>0</v>
      </c>
      <c r="J30" s="28">
        <v>0</v>
      </c>
      <c r="K30" s="28">
        <v>0</v>
      </c>
      <c r="L30" s="28">
        <v>0</v>
      </c>
      <c r="M30" s="135"/>
      <c r="N30" s="115"/>
      <c r="O30" s="115"/>
      <c r="P30" s="115"/>
      <c r="Q30" s="115"/>
      <c r="R30" s="115"/>
      <c r="S30" s="115"/>
      <c r="T30" s="115"/>
      <c r="U30" s="115"/>
    </row>
    <row r="31" spans="1:21" ht="12.75" customHeight="1">
      <c r="A31" s="115"/>
      <c r="B31" s="116"/>
      <c r="C31" s="105"/>
      <c r="D31" s="27" t="s">
        <v>40</v>
      </c>
      <c r="E31" s="28">
        <f>SUM(F31:L31)</f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19" t="s">
        <v>55</v>
      </c>
      <c r="N31" s="91">
        <v>0</v>
      </c>
      <c r="O31" s="91">
        <v>0</v>
      </c>
      <c r="P31" s="91">
        <v>0</v>
      </c>
      <c r="Q31" s="91">
        <v>161</v>
      </c>
      <c r="R31" s="91">
        <v>167</v>
      </c>
      <c r="S31" s="91">
        <v>173</v>
      </c>
      <c r="T31" s="91">
        <v>173</v>
      </c>
      <c r="U31" s="115"/>
    </row>
    <row r="32" spans="1:21" ht="12.75" customHeight="1">
      <c r="A32" s="115"/>
      <c r="B32" s="116"/>
      <c r="C32" s="105"/>
      <c r="D32" s="27" t="s">
        <v>41</v>
      </c>
      <c r="E32" s="28">
        <f>SUM(F32:L32)</f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120"/>
      <c r="N32" s="115"/>
      <c r="O32" s="115"/>
      <c r="P32" s="115"/>
      <c r="Q32" s="115"/>
      <c r="R32" s="115"/>
      <c r="S32" s="115"/>
      <c r="T32" s="115"/>
      <c r="U32" s="115"/>
    </row>
    <row r="33" spans="1:21" ht="12.75" customHeight="1">
      <c r="A33" s="117"/>
      <c r="B33" s="130"/>
      <c r="C33" s="106"/>
      <c r="D33" s="27" t="s">
        <v>42</v>
      </c>
      <c r="E33" s="28">
        <f>SUM(F33:L33)</f>
        <v>3477215</v>
      </c>
      <c r="F33" s="28">
        <v>579515</v>
      </c>
      <c r="G33" s="28">
        <v>527700</v>
      </c>
      <c r="H33" s="28">
        <v>460000</v>
      </c>
      <c r="I33" s="28">
        <v>470000</v>
      </c>
      <c r="J33" s="28">
        <v>480000</v>
      </c>
      <c r="K33" s="28">
        <v>480000</v>
      </c>
      <c r="L33" s="28">
        <v>480000</v>
      </c>
      <c r="M33" s="120"/>
      <c r="N33" s="115"/>
      <c r="O33" s="115"/>
      <c r="P33" s="115"/>
      <c r="Q33" s="115"/>
      <c r="R33" s="115"/>
      <c r="S33" s="115"/>
      <c r="T33" s="115"/>
      <c r="U33" s="117"/>
    </row>
    <row r="34" spans="1:21" ht="12.75" customHeight="1">
      <c r="A34" s="107" t="s">
        <v>56</v>
      </c>
      <c r="B34" s="110" t="s">
        <v>57</v>
      </c>
      <c r="C34" s="104" t="s">
        <v>58</v>
      </c>
      <c r="D34" s="25" t="s">
        <v>21</v>
      </c>
      <c r="E34" s="26">
        <f>E36+E37+E38+E39</f>
        <v>144769025.97</v>
      </c>
      <c r="F34" s="26">
        <f aca="true" t="shared" si="5" ref="F34:L34">F36+F37+F38+F39</f>
        <v>0</v>
      </c>
      <c r="G34" s="26">
        <f t="shared" si="5"/>
        <v>0</v>
      </c>
      <c r="H34" s="26">
        <f t="shared" si="5"/>
        <v>0</v>
      </c>
      <c r="I34" s="26">
        <f t="shared" si="5"/>
        <v>45634244.37</v>
      </c>
      <c r="J34" s="26">
        <f t="shared" si="5"/>
        <v>36525676.04</v>
      </c>
      <c r="K34" s="26">
        <f t="shared" si="5"/>
        <v>32010360.84</v>
      </c>
      <c r="L34" s="26">
        <f t="shared" si="5"/>
        <v>30598744.72</v>
      </c>
      <c r="M34" s="119" t="s">
        <v>59</v>
      </c>
      <c r="N34" s="91">
        <v>0</v>
      </c>
      <c r="O34" s="91">
        <v>0</v>
      </c>
      <c r="P34" s="91">
        <v>0</v>
      </c>
      <c r="Q34" s="122" t="s">
        <v>60</v>
      </c>
      <c r="R34" s="122" t="s">
        <v>61</v>
      </c>
      <c r="S34" s="122" t="s">
        <v>62</v>
      </c>
      <c r="T34" s="122" t="s">
        <v>63</v>
      </c>
      <c r="U34" s="97" t="s">
        <v>49</v>
      </c>
    </row>
    <row r="35" spans="1:21" ht="12.75" customHeight="1">
      <c r="A35" s="115"/>
      <c r="B35" s="116"/>
      <c r="C35" s="105"/>
      <c r="D35" s="84" t="s">
        <v>38</v>
      </c>
      <c r="E35" s="85"/>
      <c r="F35" s="85"/>
      <c r="G35" s="85"/>
      <c r="H35" s="85"/>
      <c r="I35" s="85"/>
      <c r="J35" s="85"/>
      <c r="K35" s="85"/>
      <c r="L35" s="86"/>
      <c r="M35" s="120"/>
      <c r="N35" s="115"/>
      <c r="O35" s="115"/>
      <c r="P35" s="115"/>
      <c r="Q35" s="123"/>
      <c r="R35" s="123"/>
      <c r="S35" s="123"/>
      <c r="T35" s="123"/>
      <c r="U35" s="115"/>
    </row>
    <row r="36" spans="1:21" ht="12.75" customHeight="1">
      <c r="A36" s="115"/>
      <c r="B36" s="116"/>
      <c r="C36" s="105"/>
      <c r="D36" s="27" t="s">
        <v>39</v>
      </c>
      <c r="E36" s="28">
        <f>SUM(F36:L36)</f>
        <v>134876860.88</v>
      </c>
      <c r="F36" s="28">
        <v>0</v>
      </c>
      <c r="G36" s="28">
        <v>0</v>
      </c>
      <c r="H36" s="28">
        <v>0</v>
      </c>
      <c r="I36" s="28">
        <v>42755613.08</v>
      </c>
      <c r="J36" s="28">
        <v>34183467.04</v>
      </c>
      <c r="K36" s="28">
        <v>29673094.76</v>
      </c>
      <c r="L36" s="28">
        <v>28264686</v>
      </c>
      <c r="M36" s="120"/>
      <c r="N36" s="115"/>
      <c r="O36" s="115"/>
      <c r="P36" s="115"/>
      <c r="Q36" s="123"/>
      <c r="R36" s="123"/>
      <c r="S36" s="123"/>
      <c r="T36" s="123"/>
      <c r="U36" s="115"/>
    </row>
    <row r="37" spans="1:21" ht="12.75" customHeight="1">
      <c r="A37" s="115"/>
      <c r="B37" s="116"/>
      <c r="C37" s="105"/>
      <c r="D37" s="27" t="s">
        <v>40</v>
      </c>
      <c r="E37" s="28">
        <f>SUM(F37:L37)</f>
        <v>2076488.09</v>
      </c>
      <c r="F37" s="28">
        <v>0</v>
      </c>
      <c r="G37" s="28">
        <v>0</v>
      </c>
      <c r="H37" s="28">
        <v>0</v>
      </c>
      <c r="I37" s="28">
        <f>544827.14+239271.15</f>
        <v>784098.29</v>
      </c>
      <c r="J37" s="28">
        <v>443161</v>
      </c>
      <c r="K37" s="28">
        <v>426218.08</v>
      </c>
      <c r="L37" s="28">
        <v>423010.72</v>
      </c>
      <c r="M37" s="120"/>
      <c r="N37" s="115"/>
      <c r="O37" s="115"/>
      <c r="P37" s="115"/>
      <c r="Q37" s="123"/>
      <c r="R37" s="123"/>
      <c r="S37" s="123"/>
      <c r="T37" s="123"/>
      <c r="U37" s="115"/>
    </row>
    <row r="38" spans="1:21" ht="12.75" customHeight="1">
      <c r="A38" s="115"/>
      <c r="B38" s="116"/>
      <c r="C38" s="105"/>
      <c r="D38" s="27" t="s">
        <v>41</v>
      </c>
      <c r="E38" s="28">
        <f>SUM(F38:L38)</f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20"/>
      <c r="N38" s="115"/>
      <c r="O38" s="115"/>
      <c r="P38" s="115"/>
      <c r="Q38" s="123"/>
      <c r="R38" s="123"/>
      <c r="S38" s="123"/>
      <c r="T38" s="123"/>
      <c r="U38" s="115"/>
    </row>
    <row r="39" spans="1:21" ht="12.75" customHeight="1">
      <c r="A39" s="117"/>
      <c r="B39" s="130"/>
      <c r="C39" s="106"/>
      <c r="D39" s="27" t="s">
        <v>42</v>
      </c>
      <c r="E39" s="28">
        <f>SUM(F39:L39)</f>
        <v>7815677</v>
      </c>
      <c r="F39" s="28">
        <v>0</v>
      </c>
      <c r="G39" s="28">
        <v>0</v>
      </c>
      <c r="H39" s="28">
        <v>0</v>
      </c>
      <c r="I39" s="28">
        <f>1888048+62085+144400</f>
        <v>2094533</v>
      </c>
      <c r="J39" s="28">
        <v>1899048</v>
      </c>
      <c r="K39" s="28">
        <v>1911048</v>
      </c>
      <c r="L39" s="28">
        <v>1911048</v>
      </c>
      <c r="M39" s="120"/>
      <c r="N39" s="117"/>
      <c r="O39" s="117"/>
      <c r="P39" s="117"/>
      <c r="Q39" s="124"/>
      <c r="R39" s="124"/>
      <c r="S39" s="124"/>
      <c r="T39" s="124"/>
      <c r="U39" s="117"/>
    </row>
    <row r="40" spans="1:21" ht="12.75" customHeight="1">
      <c r="A40" s="107" t="s">
        <v>64</v>
      </c>
      <c r="B40" s="110" t="s">
        <v>65</v>
      </c>
      <c r="C40" s="104" t="s">
        <v>58</v>
      </c>
      <c r="D40" s="25" t="s">
        <v>21</v>
      </c>
      <c r="E40" s="26">
        <f>E42+E43+E44+E45</f>
        <v>127742795.80000001</v>
      </c>
      <c r="F40" s="26">
        <f aca="true" t="shared" si="6" ref="F40:L40">F42+F43+F44+F45</f>
        <v>0</v>
      </c>
      <c r="G40" s="26">
        <f t="shared" si="6"/>
        <v>0</v>
      </c>
      <c r="H40" s="26">
        <f t="shared" si="6"/>
        <v>0</v>
      </c>
      <c r="I40" s="26">
        <f t="shared" si="6"/>
        <v>21201865.91</v>
      </c>
      <c r="J40" s="26">
        <f t="shared" si="6"/>
        <v>34009188.8</v>
      </c>
      <c r="K40" s="26">
        <f t="shared" si="6"/>
        <v>35432603.730000004</v>
      </c>
      <c r="L40" s="26">
        <f t="shared" si="6"/>
        <v>37099137.36</v>
      </c>
      <c r="M40" s="119" t="s">
        <v>59</v>
      </c>
      <c r="N40" s="91">
        <v>0</v>
      </c>
      <c r="O40" s="91">
        <v>0</v>
      </c>
      <c r="P40" s="91">
        <v>0</v>
      </c>
      <c r="Q40" s="122" t="s">
        <v>66</v>
      </c>
      <c r="R40" s="122" t="s">
        <v>67</v>
      </c>
      <c r="S40" s="122" t="s">
        <v>68</v>
      </c>
      <c r="T40" s="122" t="s">
        <v>69</v>
      </c>
      <c r="U40" s="97" t="s">
        <v>49</v>
      </c>
    </row>
    <row r="41" spans="1:21" ht="12.75" customHeight="1">
      <c r="A41" s="115"/>
      <c r="B41" s="116"/>
      <c r="C41" s="105"/>
      <c r="D41" s="84" t="s">
        <v>38</v>
      </c>
      <c r="E41" s="85"/>
      <c r="F41" s="85"/>
      <c r="G41" s="85"/>
      <c r="H41" s="85"/>
      <c r="I41" s="85"/>
      <c r="J41" s="85"/>
      <c r="K41" s="85"/>
      <c r="L41" s="86"/>
      <c r="M41" s="120"/>
      <c r="N41" s="115"/>
      <c r="O41" s="115"/>
      <c r="P41" s="115"/>
      <c r="Q41" s="123"/>
      <c r="R41" s="123"/>
      <c r="S41" s="123"/>
      <c r="T41" s="123"/>
      <c r="U41" s="115"/>
    </row>
    <row r="42" spans="1:21" ht="12.75" customHeight="1">
      <c r="A42" s="115"/>
      <c r="B42" s="116"/>
      <c r="C42" s="105"/>
      <c r="D42" s="27" t="s">
        <v>39</v>
      </c>
      <c r="E42" s="28">
        <f>SUM(F42:L42)</f>
        <v>122156569.58000001</v>
      </c>
      <c r="F42" s="28">
        <v>0</v>
      </c>
      <c r="G42" s="28">
        <v>0</v>
      </c>
      <c r="H42" s="28">
        <v>0</v>
      </c>
      <c r="I42" s="28">
        <v>19798606.49</v>
      </c>
      <c r="J42" s="28">
        <v>32678687.87</v>
      </c>
      <c r="K42" s="28">
        <v>34028804.59</v>
      </c>
      <c r="L42" s="28">
        <v>35650470.63</v>
      </c>
      <c r="M42" s="120"/>
      <c r="N42" s="115"/>
      <c r="O42" s="115"/>
      <c r="P42" s="115"/>
      <c r="Q42" s="123"/>
      <c r="R42" s="123"/>
      <c r="S42" s="123"/>
      <c r="T42" s="123"/>
      <c r="U42" s="115"/>
    </row>
    <row r="43" spans="1:21" ht="12.75" customHeight="1">
      <c r="A43" s="115"/>
      <c r="B43" s="116"/>
      <c r="C43" s="105"/>
      <c r="D43" s="27" t="s">
        <v>40</v>
      </c>
      <c r="E43" s="28">
        <f>SUM(F43:L43)</f>
        <v>1692068.22</v>
      </c>
      <c r="F43" s="28">
        <v>0</v>
      </c>
      <c r="G43" s="28">
        <v>0</v>
      </c>
      <c r="H43" s="28">
        <v>0</v>
      </c>
      <c r="I43" s="28">
        <v>244777.42</v>
      </c>
      <c r="J43" s="28">
        <v>423948.93</v>
      </c>
      <c r="K43" s="28">
        <v>489237.14</v>
      </c>
      <c r="L43" s="28">
        <v>534104.73</v>
      </c>
      <c r="M43" s="120"/>
      <c r="N43" s="115"/>
      <c r="O43" s="115"/>
      <c r="P43" s="115"/>
      <c r="Q43" s="123"/>
      <c r="R43" s="123"/>
      <c r="S43" s="123"/>
      <c r="T43" s="123"/>
      <c r="U43" s="115"/>
    </row>
    <row r="44" spans="1:21" ht="12.75" customHeight="1">
      <c r="A44" s="115"/>
      <c r="B44" s="116"/>
      <c r="C44" s="105"/>
      <c r="D44" s="27" t="s">
        <v>41</v>
      </c>
      <c r="E44" s="28">
        <f>SUM(F44:L44)</f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120"/>
      <c r="N44" s="115"/>
      <c r="O44" s="115"/>
      <c r="P44" s="115"/>
      <c r="Q44" s="123"/>
      <c r="R44" s="123"/>
      <c r="S44" s="123"/>
      <c r="T44" s="123"/>
      <c r="U44" s="115"/>
    </row>
    <row r="45" spans="1:21" ht="12.75" customHeight="1">
      <c r="A45" s="117"/>
      <c r="B45" s="130"/>
      <c r="C45" s="106"/>
      <c r="D45" s="27" t="s">
        <v>42</v>
      </c>
      <c r="E45" s="28">
        <f>SUM(F45:L45)</f>
        <v>3894158</v>
      </c>
      <c r="F45" s="28">
        <v>0</v>
      </c>
      <c r="G45" s="28">
        <v>0</v>
      </c>
      <c r="H45" s="28">
        <v>0</v>
      </c>
      <c r="I45" s="28">
        <f>902552+87915+156000+12015</f>
        <v>1158482</v>
      </c>
      <c r="J45" s="28">
        <v>906552</v>
      </c>
      <c r="K45" s="28">
        <v>914562</v>
      </c>
      <c r="L45" s="28">
        <v>914562</v>
      </c>
      <c r="M45" s="120"/>
      <c r="N45" s="117"/>
      <c r="O45" s="117"/>
      <c r="P45" s="117"/>
      <c r="Q45" s="124"/>
      <c r="R45" s="124"/>
      <c r="S45" s="124"/>
      <c r="T45" s="124"/>
      <c r="U45" s="117"/>
    </row>
    <row r="46" spans="1:21" ht="12.75" customHeight="1">
      <c r="A46" s="125" t="s">
        <v>70</v>
      </c>
      <c r="B46" s="126" t="s">
        <v>71</v>
      </c>
      <c r="C46" s="104" t="s">
        <v>52</v>
      </c>
      <c r="D46" s="25" t="s">
        <v>21</v>
      </c>
      <c r="E46" s="26">
        <f>E48+E49+E50+E51</f>
        <v>4100780.34</v>
      </c>
      <c r="F46" s="26">
        <f aca="true" t="shared" si="7" ref="F46:L46">F48+F49+F50+F51</f>
        <v>0</v>
      </c>
      <c r="G46" s="26">
        <f t="shared" si="7"/>
        <v>0</v>
      </c>
      <c r="H46" s="26">
        <f t="shared" si="7"/>
        <v>0</v>
      </c>
      <c r="I46" s="26">
        <f t="shared" si="7"/>
        <v>1003208.3400000001</v>
      </c>
      <c r="J46" s="26">
        <f t="shared" si="7"/>
        <v>1032524</v>
      </c>
      <c r="K46" s="26">
        <f t="shared" si="7"/>
        <v>1032524</v>
      </c>
      <c r="L46" s="26">
        <f t="shared" si="7"/>
        <v>1032524</v>
      </c>
      <c r="M46" s="129"/>
      <c r="N46" s="91">
        <v>0</v>
      </c>
      <c r="O46" s="91">
        <v>0</v>
      </c>
      <c r="P46" s="91">
        <v>0</v>
      </c>
      <c r="Q46" s="122" t="s">
        <v>72</v>
      </c>
      <c r="R46" s="122" t="s">
        <v>73</v>
      </c>
      <c r="S46" s="122" t="s">
        <v>74</v>
      </c>
      <c r="T46" s="122" t="s">
        <v>74</v>
      </c>
      <c r="U46" s="97" t="s">
        <v>49</v>
      </c>
    </row>
    <row r="47" spans="1:21" ht="12.75" customHeight="1">
      <c r="A47" s="115"/>
      <c r="B47" s="127"/>
      <c r="C47" s="115"/>
      <c r="D47" s="84" t="s">
        <v>38</v>
      </c>
      <c r="E47" s="85"/>
      <c r="F47" s="85"/>
      <c r="G47" s="85"/>
      <c r="H47" s="85"/>
      <c r="I47" s="85"/>
      <c r="J47" s="85"/>
      <c r="K47" s="85"/>
      <c r="L47" s="86"/>
      <c r="M47" s="120"/>
      <c r="N47" s="115"/>
      <c r="O47" s="115"/>
      <c r="P47" s="115"/>
      <c r="Q47" s="123"/>
      <c r="R47" s="123"/>
      <c r="S47" s="123"/>
      <c r="T47" s="123"/>
      <c r="U47" s="115"/>
    </row>
    <row r="48" spans="1:21" ht="12.75" customHeight="1">
      <c r="A48" s="115"/>
      <c r="B48" s="127"/>
      <c r="C48" s="115"/>
      <c r="D48" s="27" t="s">
        <v>39</v>
      </c>
      <c r="E48" s="28">
        <f>SUM(F48:L48)</f>
        <v>4100780.34</v>
      </c>
      <c r="F48" s="28">
        <v>0</v>
      </c>
      <c r="G48" s="28">
        <v>0</v>
      </c>
      <c r="H48" s="28">
        <v>0</v>
      </c>
      <c r="I48" s="28">
        <f>1032524+10781.03-40096.69</f>
        <v>1003208.3400000001</v>
      </c>
      <c r="J48" s="28">
        <v>1032524</v>
      </c>
      <c r="K48" s="28">
        <v>1032524</v>
      </c>
      <c r="L48" s="28">
        <v>1032524</v>
      </c>
      <c r="M48" s="120"/>
      <c r="N48" s="115"/>
      <c r="O48" s="115"/>
      <c r="P48" s="115"/>
      <c r="Q48" s="123"/>
      <c r="R48" s="123"/>
      <c r="S48" s="123"/>
      <c r="T48" s="123"/>
      <c r="U48" s="115"/>
    </row>
    <row r="49" spans="1:21" ht="12.75" customHeight="1">
      <c r="A49" s="115"/>
      <c r="B49" s="127"/>
      <c r="C49" s="115"/>
      <c r="D49" s="27" t="s">
        <v>40</v>
      </c>
      <c r="E49" s="28">
        <f>SUM(F49:L49)</f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20"/>
      <c r="N49" s="115"/>
      <c r="O49" s="115"/>
      <c r="P49" s="115"/>
      <c r="Q49" s="123"/>
      <c r="R49" s="123"/>
      <c r="S49" s="123"/>
      <c r="T49" s="123"/>
      <c r="U49" s="115"/>
    </row>
    <row r="50" spans="1:21" ht="12.75" customHeight="1">
      <c r="A50" s="115"/>
      <c r="B50" s="127"/>
      <c r="C50" s="115"/>
      <c r="D50" s="27" t="s">
        <v>41</v>
      </c>
      <c r="E50" s="28">
        <f>SUM(F50:L50)</f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20"/>
      <c r="N50" s="115"/>
      <c r="O50" s="115"/>
      <c r="P50" s="115"/>
      <c r="Q50" s="123"/>
      <c r="R50" s="123"/>
      <c r="S50" s="123"/>
      <c r="T50" s="123"/>
      <c r="U50" s="115"/>
    </row>
    <row r="51" spans="1:21" ht="12.75" customHeight="1">
      <c r="A51" s="117"/>
      <c r="B51" s="128"/>
      <c r="C51" s="117"/>
      <c r="D51" s="27" t="s">
        <v>42</v>
      </c>
      <c r="E51" s="28">
        <f>SUM(F51:L51)</f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21"/>
      <c r="N51" s="117"/>
      <c r="O51" s="117"/>
      <c r="P51" s="117"/>
      <c r="Q51" s="124"/>
      <c r="R51" s="124"/>
      <c r="S51" s="124"/>
      <c r="T51" s="124"/>
      <c r="U51" s="117"/>
    </row>
    <row r="52" spans="1:21" ht="12.75">
      <c r="A52" s="107"/>
      <c r="B52" s="101" t="s">
        <v>75</v>
      </c>
      <c r="C52" s="104"/>
      <c r="D52" s="25" t="s">
        <v>21</v>
      </c>
      <c r="E52" s="26">
        <f>E54+E55+E56+E57</f>
        <v>469888616.21000004</v>
      </c>
      <c r="F52" s="26">
        <f>F54+F55+F56+F57</f>
        <v>66725362.34</v>
      </c>
      <c r="G52" s="26">
        <f aca="true" t="shared" si="8" ref="G52:L52">G54+G55+G56+G57</f>
        <v>61765855.39000001</v>
      </c>
      <c r="H52" s="26">
        <f t="shared" si="8"/>
        <v>62874796.37</v>
      </c>
      <c r="I52" s="26">
        <f t="shared" si="8"/>
        <v>68309318.62</v>
      </c>
      <c r="J52" s="26">
        <f t="shared" si="8"/>
        <v>72047388.84</v>
      </c>
      <c r="K52" s="26">
        <f t="shared" si="8"/>
        <v>68955488.57000001</v>
      </c>
      <c r="L52" s="26">
        <f t="shared" si="8"/>
        <v>69210406.08000001</v>
      </c>
      <c r="M52" s="119"/>
      <c r="N52" s="91"/>
      <c r="O52" s="91"/>
      <c r="P52" s="91"/>
      <c r="Q52" s="91"/>
      <c r="R52" s="91"/>
      <c r="S52" s="91"/>
      <c r="T52" s="91"/>
      <c r="U52" s="94"/>
    </row>
    <row r="53" spans="1:21" ht="12.75">
      <c r="A53" s="115"/>
      <c r="B53" s="102"/>
      <c r="C53" s="115"/>
      <c r="D53" s="84" t="s">
        <v>38</v>
      </c>
      <c r="E53" s="85"/>
      <c r="F53" s="85"/>
      <c r="G53" s="85"/>
      <c r="H53" s="85"/>
      <c r="I53" s="85"/>
      <c r="J53" s="85"/>
      <c r="K53" s="85"/>
      <c r="L53" s="86"/>
      <c r="M53" s="120"/>
      <c r="N53" s="115"/>
      <c r="O53" s="115"/>
      <c r="P53" s="115"/>
      <c r="Q53" s="115"/>
      <c r="R53" s="115"/>
      <c r="S53" s="115"/>
      <c r="T53" s="115"/>
      <c r="U53" s="116"/>
    </row>
    <row r="54" spans="1:21" ht="12.75">
      <c r="A54" s="115"/>
      <c r="B54" s="102"/>
      <c r="C54" s="115"/>
      <c r="D54" s="27" t="s">
        <v>39</v>
      </c>
      <c r="E54" s="28">
        <f>SUM(F54:L54)</f>
        <v>442906165.6</v>
      </c>
      <c r="F54" s="28">
        <f>F24+F30+F36+F42+F48</f>
        <v>63986492.34</v>
      </c>
      <c r="G54" s="28">
        <f aca="true" t="shared" si="9" ref="G54:L54">G24+G30+G36+G42+G48</f>
        <v>58414985.39000001</v>
      </c>
      <c r="H54" s="28">
        <f t="shared" si="9"/>
        <v>59370477.07</v>
      </c>
      <c r="I54" s="28">
        <f t="shared" si="9"/>
        <v>63557427.91</v>
      </c>
      <c r="J54" s="28">
        <f t="shared" si="9"/>
        <v>67894678.91</v>
      </c>
      <c r="K54" s="28">
        <f t="shared" si="9"/>
        <v>64734423.35000001</v>
      </c>
      <c r="L54" s="28">
        <f t="shared" si="9"/>
        <v>64947680.63</v>
      </c>
      <c r="M54" s="120"/>
      <c r="N54" s="115"/>
      <c r="O54" s="115"/>
      <c r="P54" s="115"/>
      <c r="Q54" s="115"/>
      <c r="R54" s="115"/>
      <c r="S54" s="115"/>
      <c r="T54" s="115"/>
      <c r="U54" s="116"/>
    </row>
    <row r="55" spans="1:21" ht="12.75">
      <c r="A55" s="115"/>
      <c r="B55" s="102"/>
      <c r="C55" s="115"/>
      <c r="D55" s="27" t="s">
        <v>40</v>
      </c>
      <c r="E55" s="28">
        <f>SUM(F55:L55)</f>
        <v>4468500.31</v>
      </c>
      <c r="F55" s="28">
        <f aca="true" t="shared" si="10" ref="F55:L57">F25+F31+F37+F43+F49</f>
        <v>222820</v>
      </c>
      <c r="G55" s="28">
        <f t="shared" si="10"/>
        <v>212870</v>
      </c>
      <c r="H55" s="28">
        <f t="shared" si="10"/>
        <v>264254</v>
      </c>
      <c r="I55" s="28">
        <f t="shared" si="10"/>
        <v>1028875.7100000001</v>
      </c>
      <c r="J55" s="28">
        <f t="shared" si="10"/>
        <v>867109.9299999999</v>
      </c>
      <c r="K55" s="28">
        <f t="shared" si="10"/>
        <v>915455.22</v>
      </c>
      <c r="L55" s="28">
        <f t="shared" si="10"/>
        <v>957115.45</v>
      </c>
      <c r="M55" s="120"/>
      <c r="N55" s="115"/>
      <c r="O55" s="115"/>
      <c r="P55" s="115"/>
      <c r="Q55" s="115"/>
      <c r="R55" s="115"/>
      <c r="S55" s="115"/>
      <c r="T55" s="115"/>
      <c r="U55" s="116"/>
    </row>
    <row r="56" spans="1:21" ht="12.75">
      <c r="A56" s="115"/>
      <c r="B56" s="102"/>
      <c r="C56" s="115"/>
      <c r="D56" s="27" t="s">
        <v>41</v>
      </c>
      <c r="E56" s="28">
        <f>SUM(F56:L56)</f>
        <v>0</v>
      </c>
      <c r="F56" s="28">
        <f t="shared" si="10"/>
        <v>0</v>
      </c>
      <c r="G56" s="28">
        <f t="shared" si="10"/>
        <v>0</v>
      </c>
      <c r="H56" s="28">
        <f t="shared" si="10"/>
        <v>0</v>
      </c>
      <c r="I56" s="28">
        <f t="shared" si="10"/>
        <v>0</v>
      </c>
      <c r="J56" s="28">
        <f t="shared" si="10"/>
        <v>0</v>
      </c>
      <c r="K56" s="28">
        <f t="shared" si="10"/>
        <v>0</v>
      </c>
      <c r="L56" s="28">
        <f t="shared" si="10"/>
        <v>0</v>
      </c>
      <c r="M56" s="120"/>
      <c r="N56" s="115"/>
      <c r="O56" s="115"/>
      <c r="P56" s="115"/>
      <c r="Q56" s="115"/>
      <c r="R56" s="115"/>
      <c r="S56" s="115"/>
      <c r="T56" s="115"/>
      <c r="U56" s="116"/>
    </row>
    <row r="57" spans="1:21" ht="12.75">
      <c r="A57" s="117"/>
      <c r="B57" s="103"/>
      <c r="C57" s="117"/>
      <c r="D57" s="27" t="s">
        <v>42</v>
      </c>
      <c r="E57" s="28">
        <f>SUM(F57:L57)</f>
        <v>22513950.3</v>
      </c>
      <c r="F57" s="28">
        <f t="shared" si="10"/>
        <v>2516050</v>
      </c>
      <c r="G57" s="28">
        <f t="shared" si="10"/>
        <v>3138000</v>
      </c>
      <c r="H57" s="28">
        <f t="shared" si="10"/>
        <v>3240065.3</v>
      </c>
      <c r="I57" s="28">
        <f t="shared" si="10"/>
        <v>3723015</v>
      </c>
      <c r="J57" s="28">
        <f t="shared" si="10"/>
        <v>3285600</v>
      </c>
      <c r="K57" s="28">
        <f t="shared" si="10"/>
        <v>3305610</v>
      </c>
      <c r="L57" s="28">
        <f t="shared" si="10"/>
        <v>3305610</v>
      </c>
      <c r="M57" s="121"/>
      <c r="N57" s="117"/>
      <c r="O57" s="117"/>
      <c r="P57" s="117"/>
      <c r="Q57" s="117"/>
      <c r="R57" s="117"/>
      <c r="S57" s="117"/>
      <c r="T57" s="117"/>
      <c r="U57" s="130"/>
    </row>
    <row r="58" spans="1:21" ht="15">
      <c r="A58" s="31">
        <v>3</v>
      </c>
      <c r="B58" s="131" t="s">
        <v>76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</row>
    <row r="59" spans="1:21" ht="21" customHeight="1">
      <c r="A59" s="100" t="s">
        <v>77</v>
      </c>
      <c r="B59" s="118" t="s">
        <v>78</v>
      </c>
      <c r="C59" s="104" t="s">
        <v>52</v>
      </c>
      <c r="D59" s="25" t="s">
        <v>21</v>
      </c>
      <c r="E59" s="26">
        <f>E61+E62+E63+E64</f>
        <v>795325209.67</v>
      </c>
      <c r="F59" s="26">
        <f>F61+F62+F63+F64</f>
        <v>99267907.16000001</v>
      </c>
      <c r="G59" s="26">
        <f aca="true" t="shared" si="11" ref="G59:L59">G61+G62+G63+G64</f>
        <v>101524928.7</v>
      </c>
      <c r="H59" s="26">
        <f t="shared" si="11"/>
        <v>108043473.24999999</v>
      </c>
      <c r="I59" s="26">
        <f t="shared" si="11"/>
        <v>118425124.61000001</v>
      </c>
      <c r="J59" s="26">
        <f t="shared" si="11"/>
        <v>122649272.41999999</v>
      </c>
      <c r="K59" s="26">
        <f t="shared" si="11"/>
        <v>120835036.17</v>
      </c>
      <c r="L59" s="26">
        <f t="shared" si="11"/>
        <v>124579467.36</v>
      </c>
      <c r="M59" s="94" t="s">
        <v>79</v>
      </c>
      <c r="N59" s="107">
        <v>132</v>
      </c>
      <c r="O59" s="107">
        <v>140</v>
      </c>
      <c r="P59" s="107">
        <v>142</v>
      </c>
      <c r="Q59" s="107">
        <v>133</v>
      </c>
      <c r="R59" s="107">
        <v>133</v>
      </c>
      <c r="S59" s="107">
        <v>134</v>
      </c>
      <c r="T59" s="107">
        <v>134</v>
      </c>
      <c r="U59" s="97" t="s">
        <v>80</v>
      </c>
    </row>
    <row r="60" spans="1:21" ht="12.75">
      <c r="A60" s="100"/>
      <c r="B60" s="118"/>
      <c r="C60" s="105"/>
      <c r="D60" s="84" t="s">
        <v>38</v>
      </c>
      <c r="E60" s="85"/>
      <c r="F60" s="85"/>
      <c r="G60" s="85"/>
      <c r="H60" s="85"/>
      <c r="I60" s="85"/>
      <c r="J60" s="85"/>
      <c r="K60" s="85"/>
      <c r="L60" s="86"/>
      <c r="M60" s="95"/>
      <c r="N60" s="108"/>
      <c r="O60" s="108"/>
      <c r="P60" s="108"/>
      <c r="Q60" s="108"/>
      <c r="R60" s="108"/>
      <c r="S60" s="108"/>
      <c r="T60" s="108"/>
      <c r="U60" s="115"/>
    </row>
    <row r="61" spans="1:21" ht="12.75">
      <c r="A61" s="100"/>
      <c r="B61" s="118"/>
      <c r="C61" s="105"/>
      <c r="D61" s="27" t="s">
        <v>39</v>
      </c>
      <c r="E61" s="28">
        <f>SUM(F61:L61)</f>
        <v>718685944.55</v>
      </c>
      <c r="F61" s="28">
        <v>93638712.09</v>
      </c>
      <c r="G61" s="28">
        <f>93937834.31+232556.48</f>
        <v>94170390.79</v>
      </c>
      <c r="H61" s="28">
        <f>101138853.82+141526.24</f>
        <v>101280380.05999999</v>
      </c>
      <c r="I61" s="28">
        <f>104359717.68+730941.51</f>
        <v>105090659.19000001</v>
      </c>
      <c r="J61" s="28">
        <f>109700036.02-926581.64</f>
        <v>108773454.38</v>
      </c>
      <c r="K61" s="28">
        <v>106295015.79</v>
      </c>
      <c r="L61" s="28">
        <v>109437332.25</v>
      </c>
      <c r="M61" s="95"/>
      <c r="N61" s="108"/>
      <c r="O61" s="108"/>
      <c r="P61" s="108"/>
      <c r="Q61" s="108"/>
      <c r="R61" s="108"/>
      <c r="S61" s="108"/>
      <c r="T61" s="108"/>
      <c r="U61" s="115"/>
    </row>
    <row r="62" spans="1:21" ht="12.75">
      <c r="A62" s="100"/>
      <c r="B62" s="118"/>
      <c r="C62" s="105"/>
      <c r="D62" s="27" t="s">
        <v>40</v>
      </c>
      <c r="E62" s="28">
        <f>SUM(F62:L62)</f>
        <v>67164099.49000001</v>
      </c>
      <c r="F62" s="28">
        <v>4122074.31</v>
      </c>
      <c r="G62" s="28">
        <f>5894645-510300</f>
        <v>5384345</v>
      </c>
      <c r="H62" s="28">
        <v>6219306.13</v>
      </c>
      <c r="I62" s="28">
        <f>10035556.54+1504843.98</f>
        <v>11540400.52</v>
      </c>
      <c r="J62" s="28">
        <v>12655818.04</v>
      </c>
      <c r="K62" s="28">
        <v>13320020.38</v>
      </c>
      <c r="L62" s="28">
        <v>13922135.11</v>
      </c>
      <c r="M62" s="95"/>
      <c r="N62" s="108"/>
      <c r="O62" s="108"/>
      <c r="P62" s="108"/>
      <c r="Q62" s="108"/>
      <c r="R62" s="108"/>
      <c r="S62" s="108"/>
      <c r="T62" s="108"/>
      <c r="U62" s="115"/>
    </row>
    <row r="63" spans="1:21" ht="12.75">
      <c r="A63" s="100"/>
      <c r="B63" s="118"/>
      <c r="C63" s="105"/>
      <c r="D63" s="27" t="s">
        <v>41</v>
      </c>
      <c r="E63" s="28">
        <f>SUM(F63:L63)</f>
        <v>50000</v>
      </c>
      <c r="F63" s="28">
        <v>0</v>
      </c>
      <c r="G63" s="28">
        <v>0</v>
      </c>
      <c r="H63" s="28">
        <v>0</v>
      </c>
      <c r="I63" s="28">
        <v>50000</v>
      </c>
      <c r="J63" s="28">
        <v>0</v>
      </c>
      <c r="K63" s="28">
        <v>0</v>
      </c>
      <c r="L63" s="28">
        <v>0</v>
      </c>
      <c r="M63" s="95"/>
      <c r="N63" s="108"/>
      <c r="O63" s="108"/>
      <c r="P63" s="108"/>
      <c r="Q63" s="108"/>
      <c r="R63" s="108"/>
      <c r="S63" s="108"/>
      <c r="T63" s="108"/>
      <c r="U63" s="115"/>
    </row>
    <row r="64" spans="1:21" ht="12.75">
      <c r="A64" s="100"/>
      <c r="B64" s="118"/>
      <c r="C64" s="106"/>
      <c r="D64" s="27" t="s">
        <v>42</v>
      </c>
      <c r="E64" s="28">
        <f>SUM(F64:L64)</f>
        <v>9425165.629999999</v>
      </c>
      <c r="F64" s="28">
        <v>1507120.76</v>
      </c>
      <c r="G64" s="28">
        <f>1630060.61+340132.3</f>
        <v>1970192.9100000001</v>
      </c>
      <c r="H64" s="28">
        <f>320000+223787.06</f>
        <v>543787.06</v>
      </c>
      <c r="I64" s="28">
        <f>1220000+500000+24064.9</f>
        <v>1744064.9</v>
      </c>
      <c r="J64" s="28">
        <v>1220000</v>
      </c>
      <c r="K64" s="28">
        <v>1220000</v>
      </c>
      <c r="L64" s="28">
        <v>1220000</v>
      </c>
      <c r="M64" s="96"/>
      <c r="N64" s="109"/>
      <c r="O64" s="109"/>
      <c r="P64" s="109"/>
      <c r="Q64" s="109"/>
      <c r="R64" s="109"/>
      <c r="S64" s="109"/>
      <c r="T64" s="109"/>
      <c r="U64" s="117"/>
    </row>
    <row r="65" spans="1:21" ht="12.75" customHeight="1">
      <c r="A65" s="107" t="s">
        <v>81</v>
      </c>
      <c r="B65" s="110" t="s">
        <v>51</v>
      </c>
      <c r="C65" s="104" t="s">
        <v>52</v>
      </c>
      <c r="D65" s="25" t="s">
        <v>21</v>
      </c>
      <c r="E65" s="26">
        <f>E67+E68+E69+E70</f>
        <v>20047906.75</v>
      </c>
      <c r="F65" s="26">
        <f>F67+F68+F69+F70</f>
        <v>1947874.1300000001</v>
      </c>
      <c r="G65" s="26">
        <f aca="true" t="shared" si="12" ref="G65:L65">G67+G68+G69+G70</f>
        <v>1870459.24</v>
      </c>
      <c r="H65" s="26">
        <f t="shared" si="12"/>
        <v>4934063.26</v>
      </c>
      <c r="I65" s="26">
        <f t="shared" si="12"/>
        <v>5455510.12</v>
      </c>
      <c r="J65" s="26">
        <f t="shared" si="12"/>
        <v>2280000</v>
      </c>
      <c r="K65" s="26">
        <f t="shared" si="12"/>
        <v>1780000</v>
      </c>
      <c r="L65" s="26">
        <f t="shared" si="12"/>
        <v>1780000</v>
      </c>
      <c r="M65" s="113" t="s">
        <v>82</v>
      </c>
      <c r="N65" s="91" t="s">
        <v>83</v>
      </c>
      <c r="O65" s="91" t="s">
        <v>83</v>
      </c>
      <c r="P65" s="91" t="s">
        <v>83</v>
      </c>
      <c r="Q65" s="91">
        <v>0</v>
      </c>
      <c r="R65" s="91">
        <v>0</v>
      </c>
      <c r="S65" s="91">
        <v>0</v>
      </c>
      <c r="T65" s="91">
        <v>0</v>
      </c>
      <c r="U65" s="97" t="s">
        <v>80</v>
      </c>
    </row>
    <row r="66" spans="1:21" ht="29.25" customHeight="1">
      <c r="A66" s="108"/>
      <c r="B66" s="111"/>
      <c r="C66" s="105"/>
      <c r="D66" s="84" t="s">
        <v>38</v>
      </c>
      <c r="E66" s="85"/>
      <c r="F66" s="85"/>
      <c r="G66" s="85"/>
      <c r="H66" s="85"/>
      <c r="I66" s="85"/>
      <c r="J66" s="85"/>
      <c r="K66" s="85"/>
      <c r="L66" s="86"/>
      <c r="M66" s="114"/>
      <c r="N66" s="115"/>
      <c r="O66" s="115"/>
      <c r="P66" s="115"/>
      <c r="Q66" s="115"/>
      <c r="R66" s="115"/>
      <c r="S66" s="115"/>
      <c r="T66" s="115"/>
      <c r="U66" s="98"/>
    </row>
    <row r="67" spans="1:21" ht="20.25" customHeight="1">
      <c r="A67" s="108"/>
      <c r="B67" s="111"/>
      <c r="C67" s="105"/>
      <c r="D67" s="27" t="s">
        <v>39</v>
      </c>
      <c r="E67" s="28">
        <f>SUM(F67:L67)</f>
        <v>1567850.05</v>
      </c>
      <c r="F67" s="28">
        <v>762775.81</v>
      </c>
      <c r="G67" s="28">
        <v>405074.24</v>
      </c>
      <c r="H67" s="28">
        <v>400000</v>
      </c>
      <c r="I67" s="28">
        <v>0</v>
      </c>
      <c r="J67" s="28">
        <v>0</v>
      </c>
      <c r="K67" s="28">
        <v>0</v>
      </c>
      <c r="L67" s="28">
        <v>0</v>
      </c>
      <c r="M67" s="114"/>
      <c r="N67" s="115"/>
      <c r="O67" s="115"/>
      <c r="P67" s="115"/>
      <c r="Q67" s="115"/>
      <c r="R67" s="115"/>
      <c r="S67" s="115"/>
      <c r="T67" s="115"/>
      <c r="U67" s="98"/>
    </row>
    <row r="68" spans="1:21" ht="12.75" customHeight="1">
      <c r="A68" s="108"/>
      <c r="B68" s="111"/>
      <c r="C68" s="105"/>
      <c r="D68" s="27" t="s">
        <v>40</v>
      </c>
      <c r="E68" s="28">
        <f>SUM(F68:L68)</f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94" t="s">
        <v>55</v>
      </c>
      <c r="N68" s="91">
        <v>0</v>
      </c>
      <c r="O68" s="91">
        <v>0</v>
      </c>
      <c r="P68" s="91">
        <v>0</v>
      </c>
      <c r="Q68" s="91">
        <v>932</v>
      </c>
      <c r="R68" s="91">
        <v>932</v>
      </c>
      <c r="S68" s="91">
        <v>954</v>
      </c>
      <c r="T68" s="91">
        <v>954</v>
      </c>
      <c r="U68" s="98"/>
    </row>
    <row r="69" spans="1:21" ht="12.75" customHeight="1">
      <c r="A69" s="108"/>
      <c r="B69" s="111"/>
      <c r="C69" s="105"/>
      <c r="D69" s="27" t="s">
        <v>41</v>
      </c>
      <c r="E69" s="28">
        <f>SUM(F69:L69)</f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16"/>
      <c r="N69" s="115"/>
      <c r="O69" s="115"/>
      <c r="P69" s="115"/>
      <c r="Q69" s="115"/>
      <c r="R69" s="115"/>
      <c r="S69" s="115"/>
      <c r="T69" s="115"/>
      <c r="U69" s="98"/>
    </row>
    <row r="70" spans="1:21" ht="12.75" customHeight="1">
      <c r="A70" s="109"/>
      <c r="B70" s="112"/>
      <c r="C70" s="106"/>
      <c r="D70" s="27" t="s">
        <v>42</v>
      </c>
      <c r="E70" s="28">
        <f>SUM(F70:L70)</f>
        <v>18480056.7</v>
      </c>
      <c r="F70" s="28">
        <v>1185098.32</v>
      </c>
      <c r="G70" s="28">
        <f>645790+670595+149000</f>
        <v>1465385</v>
      </c>
      <c r="H70" s="28">
        <f>4282952+251111.26</f>
        <v>4534063.26</v>
      </c>
      <c r="I70" s="28">
        <f>1780000+809830.42+880215+186000+623143.7+72446+672693+217016+211766+2400</f>
        <v>5455510.12</v>
      </c>
      <c r="J70" s="28">
        <f>1780000+500000</f>
        <v>2280000</v>
      </c>
      <c r="K70" s="28">
        <v>1780000</v>
      </c>
      <c r="L70" s="28">
        <v>1780000</v>
      </c>
      <c r="M70" s="116"/>
      <c r="N70" s="115"/>
      <c r="O70" s="115"/>
      <c r="P70" s="115"/>
      <c r="Q70" s="115"/>
      <c r="R70" s="115"/>
      <c r="S70" s="115"/>
      <c r="T70" s="115"/>
      <c r="U70" s="99"/>
    </row>
    <row r="71" spans="1:21" ht="12.75" customHeight="1">
      <c r="A71" s="107" t="s">
        <v>84</v>
      </c>
      <c r="B71" s="110" t="s">
        <v>71</v>
      </c>
      <c r="C71" s="104" t="s">
        <v>52</v>
      </c>
      <c r="D71" s="25" t="s">
        <v>21</v>
      </c>
      <c r="E71" s="26">
        <f>E73+E74+E75+E76</f>
        <v>6548414.619999999</v>
      </c>
      <c r="F71" s="26">
        <f aca="true" t="shared" si="13" ref="F71:L71">F73+F74+F75+F76</f>
        <v>0</v>
      </c>
      <c r="G71" s="26">
        <f t="shared" si="13"/>
        <v>0</v>
      </c>
      <c r="H71" s="26">
        <f t="shared" si="13"/>
        <v>0</v>
      </c>
      <c r="I71" s="26">
        <f t="shared" si="13"/>
        <v>1875807.4000000001</v>
      </c>
      <c r="J71" s="26">
        <f t="shared" si="13"/>
        <v>1557535.74</v>
      </c>
      <c r="K71" s="26">
        <f t="shared" si="13"/>
        <v>1557535.74</v>
      </c>
      <c r="L71" s="26">
        <f t="shared" si="13"/>
        <v>1557535.74</v>
      </c>
      <c r="M71" s="94" t="s">
        <v>85</v>
      </c>
      <c r="N71" s="91">
        <v>0</v>
      </c>
      <c r="O71" s="91">
        <v>0</v>
      </c>
      <c r="P71" s="91">
        <v>0</v>
      </c>
      <c r="Q71" s="91">
        <v>85</v>
      </c>
      <c r="R71" s="91">
        <v>90</v>
      </c>
      <c r="S71" s="91">
        <v>85</v>
      </c>
      <c r="T71" s="91">
        <v>85</v>
      </c>
      <c r="U71" s="97" t="s">
        <v>80</v>
      </c>
    </row>
    <row r="72" spans="1:21" ht="12.75" customHeight="1">
      <c r="A72" s="108"/>
      <c r="B72" s="111"/>
      <c r="C72" s="105"/>
      <c r="D72" s="84" t="s">
        <v>38</v>
      </c>
      <c r="E72" s="85"/>
      <c r="F72" s="85"/>
      <c r="G72" s="85"/>
      <c r="H72" s="85"/>
      <c r="I72" s="85"/>
      <c r="J72" s="85"/>
      <c r="K72" s="85"/>
      <c r="L72" s="86"/>
      <c r="M72" s="95"/>
      <c r="N72" s="92"/>
      <c r="O72" s="92"/>
      <c r="P72" s="92"/>
      <c r="Q72" s="92"/>
      <c r="R72" s="92"/>
      <c r="S72" s="92"/>
      <c r="T72" s="92"/>
      <c r="U72" s="98"/>
    </row>
    <row r="73" spans="1:21" ht="12.75" customHeight="1">
      <c r="A73" s="108"/>
      <c r="B73" s="111"/>
      <c r="C73" s="105"/>
      <c r="D73" s="27" t="s">
        <v>39</v>
      </c>
      <c r="E73" s="28">
        <f>SUM(F73:L73)</f>
        <v>5141650.35</v>
      </c>
      <c r="F73" s="28">
        <v>0</v>
      </c>
      <c r="G73" s="28">
        <v>0</v>
      </c>
      <c r="H73" s="28">
        <v>0</v>
      </c>
      <c r="I73" s="28">
        <f>1251082+133729.27+3593.08</f>
        <v>1388404.35</v>
      </c>
      <c r="J73" s="28">
        <v>1251082</v>
      </c>
      <c r="K73" s="28">
        <v>1251082</v>
      </c>
      <c r="L73" s="28">
        <v>1251082</v>
      </c>
      <c r="M73" s="95"/>
      <c r="N73" s="92"/>
      <c r="O73" s="92"/>
      <c r="P73" s="92"/>
      <c r="Q73" s="92"/>
      <c r="R73" s="92"/>
      <c r="S73" s="92"/>
      <c r="T73" s="92"/>
      <c r="U73" s="98"/>
    </row>
    <row r="74" spans="1:21" ht="12.75" customHeight="1">
      <c r="A74" s="108"/>
      <c r="B74" s="111"/>
      <c r="C74" s="105"/>
      <c r="D74" s="27" t="s">
        <v>40</v>
      </c>
      <c r="E74" s="28">
        <f>SUM(F74:L74)</f>
        <v>1406764.27</v>
      </c>
      <c r="F74" s="28">
        <v>0</v>
      </c>
      <c r="G74" s="28">
        <v>0</v>
      </c>
      <c r="H74" s="28">
        <v>0</v>
      </c>
      <c r="I74" s="28">
        <f>493936-6532.95</f>
        <v>487403.05</v>
      </c>
      <c r="J74" s="28">
        <v>306453.74</v>
      </c>
      <c r="K74" s="28">
        <v>306453.74</v>
      </c>
      <c r="L74" s="28">
        <v>306453.74</v>
      </c>
      <c r="M74" s="95"/>
      <c r="N74" s="92"/>
      <c r="O74" s="92"/>
      <c r="P74" s="92"/>
      <c r="Q74" s="92"/>
      <c r="R74" s="92"/>
      <c r="S74" s="92"/>
      <c r="T74" s="92"/>
      <c r="U74" s="98"/>
    </row>
    <row r="75" spans="1:21" ht="12.75" customHeight="1">
      <c r="A75" s="108"/>
      <c r="B75" s="111"/>
      <c r="C75" s="105"/>
      <c r="D75" s="27" t="s">
        <v>41</v>
      </c>
      <c r="E75" s="28">
        <f>SUM(F75:L75)</f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95"/>
      <c r="N75" s="92"/>
      <c r="O75" s="92"/>
      <c r="P75" s="92"/>
      <c r="Q75" s="92"/>
      <c r="R75" s="92"/>
      <c r="S75" s="92"/>
      <c r="T75" s="92"/>
      <c r="U75" s="98"/>
    </row>
    <row r="76" spans="1:21" ht="12.75" customHeight="1">
      <c r="A76" s="109"/>
      <c r="B76" s="112"/>
      <c r="C76" s="106"/>
      <c r="D76" s="27" t="s">
        <v>42</v>
      </c>
      <c r="E76" s="28">
        <f>SUM(F76:L76)</f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96"/>
      <c r="N76" s="93"/>
      <c r="O76" s="93"/>
      <c r="P76" s="93"/>
      <c r="Q76" s="93"/>
      <c r="R76" s="93"/>
      <c r="S76" s="93"/>
      <c r="T76" s="93"/>
      <c r="U76" s="99"/>
    </row>
    <row r="77" spans="1:21" ht="12.75">
      <c r="A77" s="100"/>
      <c r="B77" s="101" t="s">
        <v>86</v>
      </c>
      <c r="C77" s="104"/>
      <c r="D77" s="25" t="s">
        <v>21</v>
      </c>
      <c r="E77" s="26">
        <f>E79+E80+E81+E82</f>
        <v>821921531.0400001</v>
      </c>
      <c r="F77" s="26">
        <f aca="true" t="shared" si="14" ref="F77:L77">F79+F80+F81+F82</f>
        <v>101215781.29</v>
      </c>
      <c r="G77" s="26">
        <f t="shared" si="14"/>
        <v>103395387.94</v>
      </c>
      <c r="H77" s="26">
        <f t="shared" si="14"/>
        <v>112977536.50999999</v>
      </c>
      <c r="I77" s="26">
        <f t="shared" si="14"/>
        <v>125756442.13000001</v>
      </c>
      <c r="J77" s="26">
        <f t="shared" si="14"/>
        <v>126486808.16</v>
      </c>
      <c r="K77" s="26">
        <f t="shared" si="14"/>
        <v>124172571.91000001</v>
      </c>
      <c r="L77" s="26">
        <f t="shared" si="14"/>
        <v>127917003.1</v>
      </c>
      <c r="M77" s="94"/>
      <c r="N77" s="91"/>
      <c r="O77" s="91"/>
      <c r="P77" s="91"/>
      <c r="Q77" s="91"/>
      <c r="R77" s="91"/>
      <c r="S77" s="91"/>
      <c r="T77" s="91"/>
      <c r="U77" s="94"/>
    </row>
    <row r="78" spans="1:21" ht="12.75">
      <c r="A78" s="100"/>
      <c r="B78" s="102"/>
      <c r="C78" s="105"/>
      <c r="D78" s="84" t="s">
        <v>38</v>
      </c>
      <c r="E78" s="85"/>
      <c r="F78" s="85"/>
      <c r="G78" s="85"/>
      <c r="H78" s="85"/>
      <c r="I78" s="85"/>
      <c r="J78" s="85"/>
      <c r="K78" s="85"/>
      <c r="L78" s="86"/>
      <c r="M78" s="95"/>
      <c r="N78" s="92"/>
      <c r="O78" s="92"/>
      <c r="P78" s="92"/>
      <c r="Q78" s="92"/>
      <c r="R78" s="92"/>
      <c r="S78" s="92"/>
      <c r="T78" s="92"/>
      <c r="U78" s="95"/>
    </row>
    <row r="79" spans="1:21" ht="12.75">
      <c r="A79" s="100"/>
      <c r="B79" s="102"/>
      <c r="C79" s="105"/>
      <c r="D79" s="27" t="s">
        <v>39</v>
      </c>
      <c r="E79" s="28">
        <f>SUM(F79:L79)</f>
        <v>725395444.95</v>
      </c>
      <c r="F79" s="28">
        <f>F61+F67+F73</f>
        <v>94401487.9</v>
      </c>
      <c r="G79" s="28">
        <f aca="true" t="shared" si="15" ref="G79:L79">G61+G67+G73</f>
        <v>94575465.03</v>
      </c>
      <c r="H79" s="28">
        <f t="shared" si="15"/>
        <v>101680380.05999999</v>
      </c>
      <c r="I79" s="28">
        <f t="shared" si="15"/>
        <v>106479063.54</v>
      </c>
      <c r="J79" s="28">
        <f t="shared" si="15"/>
        <v>110024536.38</v>
      </c>
      <c r="K79" s="28">
        <f t="shared" si="15"/>
        <v>107546097.79</v>
      </c>
      <c r="L79" s="28">
        <f t="shared" si="15"/>
        <v>110688414.25</v>
      </c>
      <c r="M79" s="95"/>
      <c r="N79" s="92"/>
      <c r="O79" s="92"/>
      <c r="P79" s="92"/>
      <c r="Q79" s="92"/>
      <c r="R79" s="92"/>
      <c r="S79" s="92"/>
      <c r="T79" s="92"/>
      <c r="U79" s="95"/>
    </row>
    <row r="80" spans="1:21" ht="12.75">
      <c r="A80" s="100"/>
      <c r="B80" s="102"/>
      <c r="C80" s="105"/>
      <c r="D80" s="27" t="s">
        <v>40</v>
      </c>
      <c r="E80" s="28">
        <f>SUM(F80:L80)</f>
        <v>68570863.75999999</v>
      </c>
      <c r="F80" s="28">
        <f aca="true" t="shared" si="16" ref="F80:L82">F62+F68+F74</f>
        <v>4122074.31</v>
      </c>
      <c r="G80" s="28">
        <f t="shared" si="16"/>
        <v>5384345</v>
      </c>
      <c r="H80" s="28">
        <f t="shared" si="16"/>
        <v>6219306.13</v>
      </c>
      <c r="I80" s="28">
        <f t="shared" si="16"/>
        <v>12027803.57</v>
      </c>
      <c r="J80" s="28">
        <f t="shared" si="16"/>
        <v>12962271.78</v>
      </c>
      <c r="K80" s="28">
        <f t="shared" si="16"/>
        <v>13626474.120000001</v>
      </c>
      <c r="L80" s="28">
        <f t="shared" si="16"/>
        <v>14228588.85</v>
      </c>
      <c r="M80" s="95"/>
      <c r="N80" s="92"/>
      <c r="O80" s="92"/>
      <c r="P80" s="92"/>
      <c r="Q80" s="92"/>
      <c r="R80" s="92"/>
      <c r="S80" s="92"/>
      <c r="T80" s="92"/>
      <c r="U80" s="95"/>
    </row>
    <row r="81" spans="1:21" ht="12.75">
      <c r="A81" s="100"/>
      <c r="B81" s="102"/>
      <c r="C81" s="105"/>
      <c r="D81" s="27" t="s">
        <v>41</v>
      </c>
      <c r="E81" s="28">
        <f>SUM(F81:L81)</f>
        <v>50000</v>
      </c>
      <c r="F81" s="28">
        <f t="shared" si="16"/>
        <v>0</v>
      </c>
      <c r="G81" s="28">
        <f t="shared" si="16"/>
        <v>0</v>
      </c>
      <c r="H81" s="28">
        <f t="shared" si="16"/>
        <v>0</v>
      </c>
      <c r="I81" s="28">
        <f t="shared" si="16"/>
        <v>50000</v>
      </c>
      <c r="J81" s="28">
        <f t="shared" si="16"/>
        <v>0</v>
      </c>
      <c r="K81" s="28">
        <f t="shared" si="16"/>
        <v>0</v>
      </c>
      <c r="L81" s="28">
        <f t="shared" si="16"/>
        <v>0</v>
      </c>
      <c r="M81" s="95"/>
      <c r="N81" s="92"/>
      <c r="O81" s="92"/>
      <c r="P81" s="92"/>
      <c r="Q81" s="92"/>
      <c r="R81" s="92"/>
      <c r="S81" s="92"/>
      <c r="T81" s="92"/>
      <c r="U81" s="95"/>
    </row>
    <row r="82" spans="1:21" ht="12.75">
      <c r="A82" s="100"/>
      <c r="B82" s="103"/>
      <c r="C82" s="106"/>
      <c r="D82" s="27" t="s">
        <v>42</v>
      </c>
      <c r="E82" s="28">
        <f>SUM(F82:L82)</f>
        <v>27905222.33</v>
      </c>
      <c r="F82" s="28">
        <f t="shared" si="16"/>
        <v>2692219.08</v>
      </c>
      <c r="G82" s="28">
        <f t="shared" si="16"/>
        <v>3435577.91</v>
      </c>
      <c r="H82" s="28">
        <f t="shared" si="16"/>
        <v>5077850.32</v>
      </c>
      <c r="I82" s="28">
        <f t="shared" si="16"/>
        <v>7199575.02</v>
      </c>
      <c r="J82" s="28">
        <f>J64+J70+J76</f>
        <v>3500000</v>
      </c>
      <c r="K82" s="28">
        <f t="shared" si="16"/>
        <v>3000000</v>
      </c>
      <c r="L82" s="28">
        <f t="shared" si="16"/>
        <v>3000000</v>
      </c>
      <c r="M82" s="96"/>
      <c r="N82" s="93"/>
      <c r="O82" s="93"/>
      <c r="P82" s="93"/>
      <c r="Q82" s="93"/>
      <c r="R82" s="93"/>
      <c r="S82" s="93"/>
      <c r="T82" s="93"/>
      <c r="U82" s="96"/>
    </row>
    <row r="83" spans="1:21" s="36" customFormat="1" ht="13.5">
      <c r="A83" s="32"/>
      <c r="B83" s="33" t="s">
        <v>87</v>
      </c>
      <c r="C83" s="87"/>
      <c r="D83" s="34" t="s">
        <v>21</v>
      </c>
      <c r="E83" s="35">
        <f aca="true" t="shared" si="17" ref="E83:L83">E85+E86+E87+E88</f>
        <v>1311503702.3199997</v>
      </c>
      <c r="F83" s="35">
        <f t="shared" si="17"/>
        <v>169671123.63000003</v>
      </c>
      <c r="G83" s="35">
        <f t="shared" si="17"/>
        <v>166832058.4</v>
      </c>
      <c r="H83" s="35">
        <f t="shared" si="17"/>
        <v>178151552.88</v>
      </c>
      <c r="I83" s="35">
        <f t="shared" si="17"/>
        <v>198989480.75</v>
      </c>
      <c r="J83" s="35">
        <f t="shared" si="17"/>
        <v>201342197</v>
      </c>
      <c r="K83" s="35">
        <f t="shared" si="17"/>
        <v>195855660.48000002</v>
      </c>
      <c r="L83" s="35">
        <f t="shared" si="17"/>
        <v>200661629.18</v>
      </c>
      <c r="M83" s="88"/>
      <c r="N83" s="75"/>
      <c r="O83" s="75"/>
      <c r="P83" s="75"/>
      <c r="Q83" s="75"/>
      <c r="R83" s="75"/>
      <c r="S83" s="75"/>
      <c r="T83" s="75"/>
      <c r="U83" s="78"/>
    </row>
    <row r="84" spans="1:21" s="36" customFormat="1" ht="13.5">
      <c r="A84" s="32"/>
      <c r="B84" s="33"/>
      <c r="C84" s="87"/>
      <c r="D84" s="81" t="s">
        <v>38</v>
      </c>
      <c r="E84" s="82"/>
      <c r="F84" s="82"/>
      <c r="G84" s="82"/>
      <c r="H84" s="82"/>
      <c r="I84" s="82"/>
      <c r="J84" s="82"/>
      <c r="K84" s="82"/>
      <c r="L84" s="83"/>
      <c r="M84" s="89"/>
      <c r="N84" s="76"/>
      <c r="O84" s="76"/>
      <c r="P84" s="76"/>
      <c r="Q84" s="76"/>
      <c r="R84" s="76"/>
      <c r="S84" s="76"/>
      <c r="T84" s="76"/>
      <c r="U84" s="79"/>
    </row>
    <row r="85" spans="1:21" s="36" customFormat="1" ht="13.5">
      <c r="A85" s="32"/>
      <c r="B85" s="33"/>
      <c r="C85" s="87"/>
      <c r="D85" s="37" t="s">
        <v>39</v>
      </c>
      <c r="E85" s="38">
        <f>SUM(F85:L85)</f>
        <v>1187995165.62</v>
      </c>
      <c r="F85" s="39">
        <f>F79+F54+F17</f>
        <v>160117960.24</v>
      </c>
      <c r="G85" s="39">
        <f aca="true" t="shared" si="18" ref="G85:L85">G79+G54+G17</f>
        <v>154661265.49</v>
      </c>
      <c r="H85" s="39">
        <f t="shared" si="18"/>
        <v>163350077.13</v>
      </c>
      <c r="I85" s="39">
        <f t="shared" si="18"/>
        <v>174960211.45</v>
      </c>
      <c r="J85" s="39">
        <f>J79+J54+J17</f>
        <v>180727215.29</v>
      </c>
      <c r="K85" s="39">
        <f t="shared" si="18"/>
        <v>175008121.14000002</v>
      </c>
      <c r="L85" s="39">
        <f t="shared" si="18"/>
        <v>179170314.88</v>
      </c>
      <c r="M85" s="89"/>
      <c r="N85" s="76"/>
      <c r="O85" s="76"/>
      <c r="P85" s="76"/>
      <c r="Q85" s="76"/>
      <c r="R85" s="76"/>
      <c r="S85" s="76"/>
      <c r="T85" s="76"/>
      <c r="U85" s="79"/>
    </row>
    <row r="86" spans="1:21" s="36" customFormat="1" ht="13.5">
      <c r="A86" s="32"/>
      <c r="B86" s="33"/>
      <c r="C86" s="87"/>
      <c r="D86" s="37" t="s">
        <v>40</v>
      </c>
      <c r="E86" s="38">
        <f>SUM(F86:L86)</f>
        <v>73039364.07000001</v>
      </c>
      <c r="F86" s="39">
        <f aca="true" t="shared" si="19" ref="F86:L88">F80+F55+F18</f>
        <v>4344894.3100000005</v>
      </c>
      <c r="G86" s="39">
        <f t="shared" si="19"/>
        <v>5597215</v>
      </c>
      <c r="H86" s="39">
        <f t="shared" si="19"/>
        <v>6483560.13</v>
      </c>
      <c r="I86" s="39">
        <f t="shared" si="19"/>
        <v>13056679.280000001</v>
      </c>
      <c r="J86" s="39">
        <f t="shared" si="19"/>
        <v>13829381.709999999</v>
      </c>
      <c r="K86" s="39">
        <f t="shared" si="19"/>
        <v>14541929.340000002</v>
      </c>
      <c r="L86" s="39">
        <f t="shared" si="19"/>
        <v>15185704.299999999</v>
      </c>
      <c r="M86" s="89"/>
      <c r="N86" s="76"/>
      <c r="O86" s="76"/>
      <c r="P86" s="76"/>
      <c r="Q86" s="76"/>
      <c r="R86" s="76"/>
      <c r="S86" s="76"/>
      <c r="T86" s="76"/>
      <c r="U86" s="79"/>
    </row>
    <row r="87" spans="1:21" s="36" customFormat="1" ht="13.5">
      <c r="A87" s="32"/>
      <c r="B87" s="33"/>
      <c r="C87" s="87"/>
      <c r="D87" s="37" t="s">
        <v>41</v>
      </c>
      <c r="E87" s="38">
        <f>SUM(F87:L87)</f>
        <v>50000</v>
      </c>
      <c r="F87" s="39">
        <f t="shared" si="19"/>
        <v>0</v>
      </c>
      <c r="G87" s="39">
        <f t="shared" si="19"/>
        <v>0</v>
      </c>
      <c r="H87" s="39">
        <f t="shared" si="19"/>
        <v>0</v>
      </c>
      <c r="I87" s="39">
        <f t="shared" si="19"/>
        <v>50000</v>
      </c>
      <c r="J87" s="39">
        <f t="shared" si="19"/>
        <v>0</v>
      </c>
      <c r="K87" s="39">
        <f t="shared" si="19"/>
        <v>0</v>
      </c>
      <c r="L87" s="39">
        <f t="shared" si="19"/>
        <v>0</v>
      </c>
      <c r="M87" s="89"/>
      <c r="N87" s="76"/>
      <c r="O87" s="76"/>
      <c r="P87" s="76"/>
      <c r="Q87" s="76"/>
      <c r="R87" s="76"/>
      <c r="S87" s="76"/>
      <c r="T87" s="76"/>
      <c r="U87" s="79"/>
    </row>
    <row r="88" spans="1:21" s="36" customFormat="1" ht="13.5">
      <c r="A88" s="32"/>
      <c r="B88" s="33"/>
      <c r="C88" s="87"/>
      <c r="D88" s="37" t="s">
        <v>42</v>
      </c>
      <c r="E88" s="38">
        <f>SUM(F88:L88)</f>
        <v>50419172.629999995</v>
      </c>
      <c r="F88" s="39">
        <f t="shared" si="19"/>
        <v>5208269.08</v>
      </c>
      <c r="G88" s="39">
        <f t="shared" si="19"/>
        <v>6573577.91</v>
      </c>
      <c r="H88" s="39">
        <f t="shared" si="19"/>
        <v>8317915.62</v>
      </c>
      <c r="I88" s="39">
        <f t="shared" si="19"/>
        <v>10922590.02</v>
      </c>
      <c r="J88" s="39">
        <f t="shared" si="19"/>
        <v>6785600</v>
      </c>
      <c r="K88" s="39">
        <f t="shared" si="19"/>
        <v>6305610</v>
      </c>
      <c r="L88" s="39">
        <f t="shared" si="19"/>
        <v>6305610</v>
      </c>
      <c r="M88" s="90"/>
      <c r="N88" s="77"/>
      <c r="O88" s="77"/>
      <c r="P88" s="77"/>
      <c r="Q88" s="77"/>
      <c r="R88" s="77"/>
      <c r="S88" s="77"/>
      <c r="T88" s="77"/>
      <c r="U88" s="80"/>
    </row>
    <row r="89" spans="14:20" ht="12.75">
      <c r="N89" s="40"/>
      <c r="O89" s="40"/>
      <c r="P89" s="40"/>
      <c r="Q89" s="40"/>
      <c r="R89" s="40"/>
      <c r="S89" s="40"/>
      <c r="T89" s="40"/>
    </row>
    <row r="90" ht="12.75">
      <c r="B90" s="41"/>
    </row>
    <row r="91" ht="12.75">
      <c r="B91" s="41"/>
    </row>
    <row r="99" ht="12.75">
      <c r="H99" s="42"/>
    </row>
    <row r="100" ht="12.75">
      <c r="H100" s="42"/>
    </row>
  </sheetData>
  <sheetProtection/>
  <mergeCells count="195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1"/>
    <mergeCell ref="N15:N21"/>
    <mergeCell ref="A22:A27"/>
    <mergeCell ref="B22:B27"/>
    <mergeCell ref="C22:C27"/>
    <mergeCell ref="M22:M27"/>
    <mergeCell ref="N22:N27"/>
    <mergeCell ref="D23:L23"/>
    <mergeCell ref="D16:L16"/>
    <mergeCell ref="B21:L21"/>
    <mergeCell ref="O22:O27"/>
    <mergeCell ref="P22:P27"/>
    <mergeCell ref="O15:O21"/>
    <mergeCell ref="P15:P21"/>
    <mergeCell ref="Q22:Q27"/>
    <mergeCell ref="R22:R27"/>
    <mergeCell ref="S22:S27"/>
    <mergeCell ref="T22:T27"/>
    <mergeCell ref="U22:U27"/>
    <mergeCell ref="U15:U21"/>
    <mergeCell ref="Q15:Q21"/>
    <mergeCell ref="R15:R21"/>
    <mergeCell ref="S15:S21"/>
    <mergeCell ref="T15:T21"/>
    <mergeCell ref="P28:P30"/>
    <mergeCell ref="Q28:Q30"/>
    <mergeCell ref="R28:R30"/>
    <mergeCell ref="S28:S30"/>
    <mergeCell ref="T28:T30"/>
    <mergeCell ref="U28:U33"/>
    <mergeCell ref="P31:P33"/>
    <mergeCell ref="Q31:Q33"/>
    <mergeCell ref="R31:R33"/>
    <mergeCell ref="S31:S33"/>
    <mergeCell ref="T31:T33"/>
    <mergeCell ref="A28:A33"/>
    <mergeCell ref="B28:B33"/>
    <mergeCell ref="C28:C33"/>
    <mergeCell ref="M28:M30"/>
    <mergeCell ref="N28:N30"/>
    <mergeCell ref="O28:O30"/>
    <mergeCell ref="D29:L29"/>
    <mergeCell ref="M31:M33"/>
    <mergeCell ref="N31:N33"/>
    <mergeCell ref="O31:O33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D41:L41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P40:P45"/>
    <mergeCell ref="Q40:Q45"/>
    <mergeCell ref="R40:R45"/>
    <mergeCell ref="R52:R57"/>
    <mergeCell ref="S40:S45"/>
    <mergeCell ref="T40:T45"/>
    <mergeCell ref="U40:U45"/>
    <mergeCell ref="S52:S57"/>
    <mergeCell ref="T52:T57"/>
    <mergeCell ref="U52:U57"/>
    <mergeCell ref="D53:L53"/>
    <mergeCell ref="B58:U58"/>
    <mergeCell ref="U46:U51"/>
    <mergeCell ref="D47:L47"/>
    <mergeCell ref="R46:R51"/>
    <mergeCell ref="S46:S51"/>
    <mergeCell ref="T46:T51"/>
    <mergeCell ref="A52:A57"/>
    <mergeCell ref="B52:B57"/>
    <mergeCell ref="C52:C57"/>
    <mergeCell ref="M52:M57"/>
    <mergeCell ref="N52:N57"/>
    <mergeCell ref="O52:O57"/>
    <mergeCell ref="P52:P57"/>
    <mergeCell ref="Q52:Q57"/>
    <mergeCell ref="O46:O51"/>
    <mergeCell ref="P46:P51"/>
    <mergeCell ref="Q46:Q51"/>
    <mergeCell ref="A46:A51"/>
    <mergeCell ref="B46:B51"/>
    <mergeCell ref="C46:C51"/>
    <mergeCell ref="M46:M51"/>
    <mergeCell ref="N46:N51"/>
    <mergeCell ref="P59:P64"/>
    <mergeCell ref="Q59:Q64"/>
    <mergeCell ref="R59:R64"/>
    <mergeCell ref="S59:S64"/>
    <mergeCell ref="T59:T64"/>
    <mergeCell ref="U59:U64"/>
    <mergeCell ref="A59:A64"/>
    <mergeCell ref="B59:B64"/>
    <mergeCell ref="C59:C64"/>
    <mergeCell ref="M59:M64"/>
    <mergeCell ref="N59:N64"/>
    <mergeCell ref="O59:O64"/>
    <mergeCell ref="D60:L60"/>
    <mergeCell ref="P65:P67"/>
    <mergeCell ref="Q65:Q67"/>
    <mergeCell ref="R65:R67"/>
    <mergeCell ref="S65:S67"/>
    <mergeCell ref="T65:T67"/>
    <mergeCell ref="U65:U70"/>
    <mergeCell ref="P68:P70"/>
    <mergeCell ref="Q68:Q70"/>
    <mergeCell ref="R68:R70"/>
    <mergeCell ref="S68:S70"/>
    <mergeCell ref="T68:T70"/>
    <mergeCell ref="A65:A70"/>
    <mergeCell ref="B65:B70"/>
    <mergeCell ref="C65:C70"/>
    <mergeCell ref="M65:M67"/>
    <mergeCell ref="N65:N67"/>
    <mergeCell ref="O65:O67"/>
    <mergeCell ref="D66:L66"/>
    <mergeCell ref="M68:M70"/>
    <mergeCell ref="N68:N70"/>
    <mergeCell ref="O68:O70"/>
    <mergeCell ref="S71:S76"/>
    <mergeCell ref="T71:T76"/>
    <mergeCell ref="U71:U76"/>
    <mergeCell ref="D72:L72"/>
    <mergeCell ref="A77:A82"/>
    <mergeCell ref="B77:B82"/>
    <mergeCell ref="C77:C82"/>
    <mergeCell ref="M77:M82"/>
    <mergeCell ref="N77:N82"/>
    <mergeCell ref="O77:O82"/>
    <mergeCell ref="A71:A76"/>
    <mergeCell ref="B71:B76"/>
    <mergeCell ref="C71:C76"/>
    <mergeCell ref="M71:M76"/>
    <mergeCell ref="N71:N76"/>
    <mergeCell ref="O71:O76"/>
    <mergeCell ref="P71:P76"/>
    <mergeCell ref="Q71:Q76"/>
    <mergeCell ref="R71:R76"/>
    <mergeCell ref="Q83:Q88"/>
    <mergeCell ref="R83:R88"/>
    <mergeCell ref="S83:S88"/>
    <mergeCell ref="T83:T88"/>
    <mergeCell ref="U83:U88"/>
    <mergeCell ref="D84:L84"/>
    <mergeCell ref="D78:L78"/>
    <mergeCell ref="C83:C88"/>
    <mergeCell ref="M83:M88"/>
    <mergeCell ref="N83:N88"/>
    <mergeCell ref="O83:O88"/>
    <mergeCell ref="P83:P88"/>
    <mergeCell ref="P77:P82"/>
    <mergeCell ref="Q77:Q82"/>
    <mergeCell ref="R77:R82"/>
    <mergeCell ref="S77:S82"/>
    <mergeCell ref="T77:T82"/>
    <mergeCell ref="U77:U82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SheetLayoutView="115" zoomScalePageLayoutView="0" workbookViewId="0" topLeftCell="A1">
      <selection activeCell="D7" sqref="D7"/>
    </sheetView>
  </sheetViews>
  <sheetFormatPr defaultColWidth="9.140625" defaultRowHeight="18.75" customHeight="1"/>
  <cols>
    <col min="1" max="1" width="35.421875" style="43" customWidth="1"/>
    <col min="2" max="2" width="18.421875" style="43" customWidth="1"/>
    <col min="3" max="3" width="13.8515625" style="43" customWidth="1"/>
    <col min="4" max="6" width="13.421875" style="43" bestFit="1" customWidth="1"/>
    <col min="7" max="7" width="13.57421875" style="43" customWidth="1"/>
    <col min="8" max="8" width="14.57421875" style="43" customWidth="1"/>
    <col min="9" max="9" width="14.140625" style="43" customWidth="1"/>
    <col min="10" max="16384" width="9.140625" style="43" customWidth="1"/>
  </cols>
  <sheetData>
    <row r="1" ht="18.75" customHeight="1">
      <c r="D1" s="2" t="s">
        <v>118</v>
      </c>
    </row>
    <row r="2" spans="5:10" ht="18.75" customHeight="1">
      <c r="E2" s="44"/>
      <c r="G2" s="153" t="s">
        <v>88</v>
      </c>
      <c r="H2" s="153"/>
      <c r="I2" s="153"/>
      <c r="J2" s="45"/>
    </row>
    <row r="3" spans="1:9" ht="18.75" customHeight="1">
      <c r="A3" s="142" t="s">
        <v>114</v>
      </c>
      <c r="B3" s="142"/>
      <c r="C3" s="142"/>
      <c r="D3" s="142"/>
      <c r="E3" s="142"/>
      <c r="F3" s="142"/>
      <c r="G3" s="142"/>
      <c r="H3" s="142"/>
      <c r="I3" s="142"/>
    </row>
    <row r="5" spans="1:9" ht="18.75" customHeight="1">
      <c r="A5" s="154" t="s">
        <v>2</v>
      </c>
      <c r="B5" s="156" t="s">
        <v>3</v>
      </c>
      <c r="C5" s="144" t="s">
        <v>4</v>
      </c>
      <c r="D5" s="144"/>
      <c r="E5" s="144"/>
      <c r="F5" s="144"/>
      <c r="G5" s="144"/>
      <c r="H5" s="144"/>
      <c r="I5" s="144"/>
    </row>
    <row r="6" spans="1:9" ht="18.75" customHeight="1">
      <c r="A6" s="155"/>
      <c r="B6" s="157"/>
      <c r="C6" s="46">
        <v>2014</v>
      </c>
      <c r="D6" s="46">
        <v>2015</v>
      </c>
      <c r="E6" s="46">
        <v>2016</v>
      </c>
      <c r="F6" s="46">
        <v>2017</v>
      </c>
      <c r="G6" s="46">
        <v>2018</v>
      </c>
      <c r="H6" s="46">
        <v>2019</v>
      </c>
      <c r="I6" s="23">
        <v>2020</v>
      </c>
    </row>
    <row r="7" spans="1:9" ht="18.75" customHeight="1">
      <c r="A7" s="22">
        <v>1</v>
      </c>
      <c r="B7" s="47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23">
        <v>9</v>
      </c>
    </row>
    <row r="8" spans="1:9" ht="18.75" customHeight="1">
      <c r="A8" s="48" t="s">
        <v>89</v>
      </c>
      <c r="B8" s="49">
        <f>B10+B11+B12+B13</f>
        <v>380179677.94</v>
      </c>
      <c r="C8" s="49">
        <f aca="true" t="shared" si="0" ref="C8:I8">C10+C11+C12+C13</f>
        <v>53514815.69</v>
      </c>
      <c r="D8" s="49">
        <f t="shared" si="0"/>
        <v>50638382.82000001</v>
      </c>
      <c r="E8" s="49">
        <f t="shared" si="0"/>
        <v>51060525.199999996</v>
      </c>
      <c r="F8" s="49">
        <f t="shared" si="0"/>
        <v>55934324.099999994</v>
      </c>
      <c r="G8" s="49">
        <f t="shared" si="0"/>
        <v>57260883.85999999</v>
      </c>
      <c r="H8" s="49">
        <f t="shared" si="0"/>
        <v>54624572.63</v>
      </c>
      <c r="I8" s="49">
        <f t="shared" si="0"/>
        <v>57146173.63999999</v>
      </c>
    </row>
    <row r="9" spans="1:9" ht="18.75" customHeight="1">
      <c r="A9" s="150" t="s">
        <v>6</v>
      </c>
      <c r="B9" s="151"/>
      <c r="C9" s="151"/>
      <c r="D9" s="151"/>
      <c r="E9" s="151"/>
      <c r="F9" s="151"/>
      <c r="G9" s="151"/>
      <c r="H9" s="151"/>
      <c r="I9" s="152"/>
    </row>
    <row r="10" spans="1:9" ht="18.75" customHeight="1">
      <c r="A10" s="50" t="s">
        <v>7</v>
      </c>
      <c r="B10" s="49">
        <f>C10+D10+E10+F10+G10+H10+I10</f>
        <v>348418605.14</v>
      </c>
      <c r="C10" s="51">
        <f>'[1]табл.3'!F72</f>
        <v>50166870</v>
      </c>
      <c r="D10" s="51">
        <f>'[1]табл.3'!G72</f>
        <v>48176381.82000001</v>
      </c>
      <c r="E10" s="51">
        <f>'[1]табл.3'!H72</f>
        <v>48469840.33</v>
      </c>
      <c r="F10" s="51">
        <f aca="true" t="shared" si="1" ref="F10:I13">F17</f>
        <v>50628779.86</v>
      </c>
      <c r="G10" s="51">
        <f t="shared" si="1"/>
        <v>51532215.489999995</v>
      </c>
      <c r="H10" s="51">
        <f t="shared" si="1"/>
        <v>48601518.18</v>
      </c>
      <c r="I10" s="51">
        <f t="shared" si="1"/>
        <v>50842999.45999999</v>
      </c>
    </row>
    <row r="11" spans="1:9" ht="18.75" customHeight="1">
      <c r="A11" s="50" t="s">
        <v>8</v>
      </c>
      <c r="B11" s="49">
        <f>C11+D11+E11+F11+G11+H11+I11</f>
        <v>31459743.989999995</v>
      </c>
      <c r="C11" s="51">
        <f aca="true" t="shared" si="2" ref="C11:F13">C18</f>
        <v>3342945.69</v>
      </c>
      <c r="D11" s="51">
        <f t="shared" si="2"/>
        <v>2448681</v>
      </c>
      <c r="E11" s="51">
        <f t="shared" si="2"/>
        <v>2442571.87</v>
      </c>
      <c r="F11" s="51">
        <f t="shared" si="1"/>
        <v>5264533.7299999995</v>
      </c>
      <c r="G11" s="51">
        <f t="shared" si="1"/>
        <v>5688373.27</v>
      </c>
      <c r="H11" s="51">
        <f t="shared" si="1"/>
        <v>5996759.35</v>
      </c>
      <c r="I11" s="51">
        <f t="shared" si="1"/>
        <v>6275879.08</v>
      </c>
    </row>
    <row r="12" spans="1:9" ht="18.75" customHeight="1">
      <c r="A12" s="50" t="s">
        <v>9</v>
      </c>
      <c r="B12" s="49">
        <f>C12+D12+E12+F12+G12+H12+I12</f>
        <v>171328.81000000003</v>
      </c>
      <c r="C12" s="51">
        <f t="shared" si="2"/>
        <v>0</v>
      </c>
      <c r="D12" s="51">
        <f t="shared" si="2"/>
        <v>13320</v>
      </c>
      <c r="E12" s="51">
        <f t="shared" si="2"/>
        <v>63113</v>
      </c>
      <c r="F12" s="51">
        <f t="shared" si="2"/>
        <v>34010.51</v>
      </c>
      <c r="G12" s="51">
        <f t="shared" si="1"/>
        <v>20295.1</v>
      </c>
      <c r="H12" s="51">
        <f t="shared" si="1"/>
        <v>20295.1</v>
      </c>
      <c r="I12" s="51">
        <f t="shared" si="1"/>
        <v>20295.1</v>
      </c>
    </row>
    <row r="13" spans="1:9" ht="18.75" customHeight="1">
      <c r="A13" s="50" t="s">
        <v>10</v>
      </c>
      <c r="B13" s="49">
        <f>C13+D13+E13+F13+G13+H13+I13</f>
        <v>130000</v>
      </c>
      <c r="C13" s="51">
        <f t="shared" si="2"/>
        <v>5000</v>
      </c>
      <c r="D13" s="51">
        <f t="shared" si="2"/>
        <v>0</v>
      </c>
      <c r="E13" s="51">
        <f t="shared" si="2"/>
        <v>85000</v>
      </c>
      <c r="F13" s="51">
        <f t="shared" si="2"/>
        <v>7000</v>
      </c>
      <c r="G13" s="51">
        <f t="shared" si="1"/>
        <v>20000</v>
      </c>
      <c r="H13" s="51">
        <f t="shared" si="1"/>
        <v>6000</v>
      </c>
      <c r="I13" s="51">
        <f t="shared" si="1"/>
        <v>7000</v>
      </c>
    </row>
    <row r="14" spans="1:9" ht="18.75" customHeight="1">
      <c r="A14" s="147" t="s">
        <v>11</v>
      </c>
      <c r="B14" s="148"/>
      <c r="C14" s="148"/>
      <c r="D14" s="148"/>
      <c r="E14" s="148"/>
      <c r="F14" s="148"/>
      <c r="G14" s="148"/>
      <c r="H14" s="148"/>
      <c r="I14" s="149"/>
    </row>
    <row r="15" spans="1:9" ht="42.75" customHeight="1">
      <c r="A15" s="52" t="s">
        <v>12</v>
      </c>
      <c r="B15" s="49">
        <f>B17+B18+B19+B20</f>
        <v>380179677.94</v>
      </c>
      <c r="C15" s="49">
        <f aca="true" t="shared" si="3" ref="C15:I15">C17+C18+C19+C20</f>
        <v>53514815.69</v>
      </c>
      <c r="D15" s="49">
        <f t="shared" si="3"/>
        <v>50638382.82000001</v>
      </c>
      <c r="E15" s="49">
        <f t="shared" si="3"/>
        <v>51060525.199999996</v>
      </c>
      <c r="F15" s="49">
        <f t="shared" si="3"/>
        <v>55934324.099999994</v>
      </c>
      <c r="G15" s="49">
        <f t="shared" si="3"/>
        <v>57260883.85999999</v>
      </c>
      <c r="H15" s="49">
        <f t="shared" si="3"/>
        <v>54624572.63</v>
      </c>
      <c r="I15" s="49">
        <f t="shared" si="3"/>
        <v>57146173.63999999</v>
      </c>
    </row>
    <row r="16" spans="1:9" ht="18.75" customHeight="1">
      <c r="A16" s="150" t="s">
        <v>6</v>
      </c>
      <c r="B16" s="151"/>
      <c r="C16" s="151"/>
      <c r="D16" s="151"/>
      <c r="E16" s="151"/>
      <c r="F16" s="151"/>
      <c r="G16" s="151"/>
      <c r="H16" s="151"/>
      <c r="I16" s="152"/>
    </row>
    <row r="17" spans="1:9" ht="18.75" customHeight="1">
      <c r="A17" s="50" t="s">
        <v>7</v>
      </c>
      <c r="B17" s="49">
        <f>C17+D17+E17+F17+G17+H17+I17</f>
        <v>348418605.14</v>
      </c>
      <c r="C17" s="51">
        <f>'табл.3 (2)'!F73</f>
        <v>50166870</v>
      </c>
      <c r="D17" s="51">
        <f>'табл.3 (2)'!G73</f>
        <v>48176381.82000001</v>
      </c>
      <c r="E17" s="51">
        <f>'табл.3 (2)'!H73</f>
        <v>48469840.33</v>
      </c>
      <c r="F17" s="51">
        <f>'табл.3 (2)'!I73</f>
        <v>50628779.86</v>
      </c>
      <c r="G17" s="51">
        <f>'табл.3 (2)'!J73</f>
        <v>51532215.489999995</v>
      </c>
      <c r="H17" s="51">
        <f>'табл.3 (2)'!K73</f>
        <v>48601518.18</v>
      </c>
      <c r="I17" s="51">
        <f>'табл.3 (2)'!L73</f>
        <v>50842999.45999999</v>
      </c>
    </row>
    <row r="18" spans="1:9" ht="18.75" customHeight="1">
      <c r="A18" s="50" t="s">
        <v>8</v>
      </c>
      <c r="B18" s="49">
        <f>C18+D18+E18+F18+G18+H18+I18</f>
        <v>31459743.989999995</v>
      </c>
      <c r="C18" s="51">
        <f>'табл.3 (2)'!F74</f>
        <v>3342945.69</v>
      </c>
      <c r="D18" s="51">
        <f>'табл.3 (2)'!G74</f>
        <v>2448681</v>
      </c>
      <c r="E18" s="51">
        <f>'табл.3 (2)'!H74</f>
        <v>2442571.87</v>
      </c>
      <c r="F18" s="51">
        <f>'табл.3 (2)'!I74</f>
        <v>5264533.7299999995</v>
      </c>
      <c r="G18" s="51">
        <f>'табл.3 (2)'!J74</f>
        <v>5688373.27</v>
      </c>
      <c r="H18" s="51">
        <f>'табл.3 (2)'!K74</f>
        <v>5996759.35</v>
      </c>
      <c r="I18" s="51">
        <f>'табл.3 (2)'!L74</f>
        <v>6275879.08</v>
      </c>
    </row>
    <row r="19" spans="1:9" ht="18.75" customHeight="1">
      <c r="A19" s="50" t="s">
        <v>9</v>
      </c>
      <c r="B19" s="49">
        <f>C19+D19+E19+F19+G19+H19+I19</f>
        <v>171328.81000000003</v>
      </c>
      <c r="C19" s="51">
        <f>'табл.3 (2)'!F75</f>
        <v>0</v>
      </c>
      <c r="D19" s="51">
        <f>'табл.3 (2)'!G75</f>
        <v>13320</v>
      </c>
      <c r="E19" s="51">
        <f>'табл.3 (2)'!H75</f>
        <v>63113</v>
      </c>
      <c r="F19" s="51">
        <f>'табл.3 (2)'!I75</f>
        <v>34010.51</v>
      </c>
      <c r="G19" s="51">
        <f>'табл.3 (2)'!J75</f>
        <v>20295.1</v>
      </c>
      <c r="H19" s="51">
        <f>'табл.3 (2)'!K75</f>
        <v>20295.1</v>
      </c>
      <c r="I19" s="51">
        <f>'табл.3 (2)'!L75</f>
        <v>20295.1</v>
      </c>
    </row>
    <row r="20" spans="1:9" ht="18.75" customHeight="1">
      <c r="A20" s="50" t="s">
        <v>10</v>
      </c>
      <c r="B20" s="49">
        <f>C20+D20+E20+F20+G20+H20+I20</f>
        <v>130000</v>
      </c>
      <c r="C20" s="51">
        <f>'табл.3 (2)'!F76</f>
        <v>5000</v>
      </c>
      <c r="D20" s="51">
        <f>'табл.3 (2)'!G76</f>
        <v>0</v>
      </c>
      <c r="E20" s="51">
        <f>'табл.3 (2)'!H76</f>
        <v>85000</v>
      </c>
      <c r="F20" s="51">
        <f>'табл.3 (2)'!I76</f>
        <v>7000</v>
      </c>
      <c r="G20" s="51">
        <f>'табл.3 (2)'!J76</f>
        <v>20000</v>
      </c>
      <c r="H20" s="51">
        <f>'табл.3 (2)'!K76</f>
        <v>6000</v>
      </c>
      <c r="I20" s="51">
        <f>'табл.3 (2)'!L76</f>
        <v>7000</v>
      </c>
    </row>
    <row r="22" ht="18.75" customHeight="1">
      <c r="A22" s="41"/>
    </row>
    <row r="23" ht="18.75" customHeight="1">
      <c r="A23" s="41"/>
    </row>
  </sheetData>
  <sheetProtection/>
  <mergeCells count="8">
    <mergeCell ref="A14:I14"/>
    <mergeCell ref="A16:I16"/>
    <mergeCell ref="G2:I2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="115" zoomScaleSheetLayoutView="115" zoomScalePageLayoutView="0" workbookViewId="0" topLeftCell="D1">
      <selection activeCell="H11" sqref="H11"/>
    </sheetView>
  </sheetViews>
  <sheetFormatPr defaultColWidth="9.140625" defaultRowHeight="15"/>
  <cols>
    <col min="1" max="1" width="9.140625" style="20" customWidth="1"/>
    <col min="2" max="2" width="36.57421875" style="20" customWidth="1"/>
    <col min="3" max="3" width="10.421875" style="20" customWidth="1"/>
    <col min="4" max="4" width="10.00390625" style="20" customWidth="1"/>
    <col min="5" max="5" width="18.421875" style="20" customWidth="1"/>
    <col min="6" max="12" width="15.140625" style="20" bestFit="1" customWidth="1"/>
    <col min="13" max="13" width="18.00390625" style="20" customWidth="1"/>
    <col min="14" max="14" width="7.8515625" style="20" customWidth="1"/>
    <col min="15" max="20" width="7.421875" style="20" bestFit="1" customWidth="1"/>
    <col min="21" max="21" width="23.421875" style="20" customWidth="1"/>
    <col min="22" max="16384" width="9.140625" style="20" customWidth="1"/>
  </cols>
  <sheetData>
    <row r="1" ht="12.75">
      <c r="M1" s="18" t="s">
        <v>119</v>
      </c>
    </row>
    <row r="2" s="18" customFormat="1" ht="17.25" customHeight="1">
      <c r="U2" s="19" t="s">
        <v>90</v>
      </c>
    </row>
    <row r="3" spans="1:21" s="18" customFormat="1" ht="26.25" customHeight="1">
      <c r="A3" s="142" t="s">
        <v>115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31.5" customHeight="1">
      <c r="A4" s="143" t="s">
        <v>15</v>
      </c>
      <c r="B4" s="144" t="s">
        <v>16</v>
      </c>
      <c r="C4" s="144" t="s">
        <v>17</v>
      </c>
      <c r="D4" s="144" t="s">
        <v>2</v>
      </c>
      <c r="E4" s="144" t="s">
        <v>18</v>
      </c>
      <c r="F4" s="144"/>
      <c r="G4" s="144"/>
      <c r="H4" s="144"/>
      <c r="I4" s="144"/>
      <c r="J4" s="144"/>
      <c r="K4" s="144"/>
      <c r="L4" s="144"/>
      <c r="M4" s="143" t="s">
        <v>19</v>
      </c>
      <c r="N4" s="143"/>
      <c r="O4" s="143"/>
      <c r="P4" s="143"/>
      <c r="Q4" s="143"/>
      <c r="R4" s="143"/>
      <c r="S4" s="143"/>
      <c r="T4" s="143"/>
      <c r="U4" s="154" t="s">
        <v>20</v>
      </c>
    </row>
    <row r="5" spans="1:21" ht="27.75" customHeight="1">
      <c r="A5" s="143"/>
      <c r="B5" s="144"/>
      <c r="C5" s="144"/>
      <c r="D5" s="144"/>
      <c r="E5" s="21" t="s">
        <v>21</v>
      </c>
      <c r="F5" s="22" t="s">
        <v>22</v>
      </c>
      <c r="G5" s="22" t="s">
        <v>23</v>
      </c>
      <c r="H5" s="22" t="s">
        <v>24</v>
      </c>
      <c r="I5" s="22" t="s">
        <v>25</v>
      </c>
      <c r="J5" s="22" t="s">
        <v>26</v>
      </c>
      <c r="K5" s="22" t="s">
        <v>27</v>
      </c>
      <c r="L5" s="22" t="s">
        <v>28</v>
      </c>
      <c r="M5" s="23" t="s">
        <v>29</v>
      </c>
      <c r="N5" s="23">
        <v>2014</v>
      </c>
      <c r="O5" s="22" t="s">
        <v>23</v>
      </c>
      <c r="P5" s="22" t="s">
        <v>24</v>
      </c>
      <c r="Q5" s="22" t="s">
        <v>25</v>
      </c>
      <c r="R5" s="22" t="s">
        <v>26</v>
      </c>
      <c r="S5" s="22" t="s">
        <v>27</v>
      </c>
      <c r="T5" s="22" t="s">
        <v>28</v>
      </c>
      <c r="U5" s="158"/>
    </row>
    <row r="6" spans="1:21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</row>
    <row r="7" spans="1:21" ht="12.75">
      <c r="A7" s="24"/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ht="12.75">
      <c r="A8" s="24">
        <v>1</v>
      </c>
      <c r="B8" s="139" t="s">
        <v>92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</row>
    <row r="9" spans="1:21" ht="12.75" customHeight="1">
      <c r="A9" s="100" t="s">
        <v>32</v>
      </c>
      <c r="B9" s="118" t="s">
        <v>93</v>
      </c>
      <c r="C9" s="104" t="s">
        <v>52</v>
      </c>
      <c r="D9" s="25" t="s">
        <v>21</v>
      </c>
      <c r="E9" s="26">
        <f>E11+E12+E13+E14</f>
        <v>303358069.36999995</v>
      </c>
      <c r="F9" s="26">
        <f aca="true" t="shared" si="0" ref="F9:L9">F11+F12+F13+F14</f>
        <v>37935433.69</v>
      </c>
      <c r="G9" s="26">
        <f t="shared" si="0"/>
        <v>40162203.56</v>
      </c>
      <c r="H9" s="26">
        <f t="shared" si="0"/>
        <v>42279510.65</v>
      </c>
      <c r="I9" s="26">
        <f t="shared" si="0"/>
        <v>45541824.6</v>
      </c>
      <c r="J9" s="26">
        <f t="shared" si="0"/>
        <v>46414044.309999995</v>
      </c>
      <c r="K9" s="26">
        <f t="shared" si="0"/>
        <v>44268905.370000005</v>
      </c>
      <c r="L9" s="26">
        <f t="shared" si="0"/>
        <v>46756147.19</v>
      </c>
      <c r="M9" s="107" t="s">
        <v>94</v>
      </c>
      <c r="N9" s="159">
        <v>691039</v>
      </c>
      <c r="O9" s="159">
        <v>605385</v>
      </c>
      <c r="P9" s="159">
        <v>605389</v>
      </c>
      <c r="Q9" s="159">
        <v>0</v>
      </c>
      <c r="R9" s="159">
        <v>0</v>
      </c>
      <c r="S9" s="159">
        <v>0</v>
      </c>
      <c r="T9" s="159">
        <v>0</v>
      </c>
      <c r="U9" s="97" t="s">
        <v>95</v>
      </c>
    </row>
    <row r="10" spans="1:21" ht="12.75" customHeight="1">
      <c r="A10" s="100"/>
      <c r="B10" s="118"/>
      <c r="C10" s="105"/>
      <c r="D10" s="84" t="s">
        <v>38</v>
      </c>
      <c r="E10" s="85"/>
      <c r="F10" s="85"/>
      <c r="G10" s="85"/>
      <c r="H10" s="85"/>
      <c r="I10" s="85"/>
      <c r="J10" s="85"/>
      <c r="K10" s="85"/>
      <c r="L10" s="86"/>
      <c r="M10" s="115"/>
      <c r="N10" s="160"/>
      <c r="O10" s="160"/>
      <c r="P10" s="160"/>
      <c r="Q10" s="160"/>
      <c r="R10" s="160"/>
      <c r="S10" s="160"/>
      <c r="T10" s="160"/>
      <c r="U10" s="98"/>
    </row>
    <row r="11" spans="1:21" ht="42" customHeight="1">
      <c r="A11" s="100"/>
      <c r="B11" s="118"/>
      <c r="C11" s="105"/>
      <c r="D11" s="27" t="s">
        <v>39</v>
      </c>
      <c r="E11" s="28">
        <f>F11+G11+H11+I11+J11+K11+L11</f>
        <v>272371749.10999995</v>
      </c>
      <c r="F11" s="28">
        <v>34587488</v>
      </c>
      <c r="G11" s="28">
        <f>37511094.2+202428.36</f>
        <v>37713522.56</v>
      </c>
      <c r="H11" s="28">
        <f>39883914.63-46975.85</f>
        <v>39836938.78</v>
      </c>
      <c r="I11" s="28">
        <f>37937563.69+1157858.63+331144.77+972484.73</f>
        <v>40399051.82</v>
      </c>
      <c r="J11" s="28">
        <v>40822290.3</v>
      </c>
      <c r="K11" s="28">
        <v>38395894.28</v>
      </c>
      <c r="L11" s="28">
        <v>40616563.37</v>
      </c>
      <c r="M11" s="115"/>
      <c r="N11" s="160"/>
      <c r="O11" s="160"/>
      <c r="P11" s="160"/>
      <c r="Q11" s="160"/>
      <c r="R11" s="160"/>
      <c r="S11" s="160"/>
      <c r="T11" s="160"/>
      <c r="U11" s="98"/>
    </row>
    <row r="12" spans="1:21" ht="12.75" customHeight="1">
      <c r="A12" s="100"/>
      <c r="B12" s="118"/>
      <c r="C12" s="105"/>
      <c r="D12" s="27" t="s">
        <v>40</v>
      </c>
      <c r="E12" s="28">
        <f>F12+G12+H12+I12+J12+K12+L12</f>
        <v>30941320.26</v>
      </c>
      <c r="F12" s="28">
        <v>3342945.69</v>
      </c>
      <c r="G12" s="28">
        <v>2448681</v>
      </c>
      <c r="H12" s="28">
        <v>2442571.87</v>
      </c>
      <c r="I12" s="28">
        <f>4454020.26+681752.52</f>
        <v>5135772.779999999</v>
      </c>
      <c r="J12" s="28">
        <v>5571754.01</v>
      </c>
      <c r="K12" s="28">
        <v>5867011.09</v>
      </c>
      <c r="L12" s="28">
        <v>6132583.82</v>
      </c>
      <c r="M12" s="107" t="s">
        <v>96</v>
      </c>
      <c r="N12" s="159">
        <v>0</v>
      </c>
      <c r="O12" s="159">
        <v>0</v>
      </c>
      <c r="P12" s="159">
        <v>0</v>
      </c>
      <c r="Q12" s="159">
        <v>302368</v>
      </c>
      <c r="R12" s="159">
        <v>314558</v>
      </c>
      <c r="S12" s="159">
        <v>314561</v>
      </c>
      <c r="T12" s="159">
        <v>314561</v>
      </c>
      <c r="U12" s="98"/>
    </row>
    <row r="13" spans="1:21" ht="12.75" customHeight="1">
      <c r="A13" s="100"/>
      <c r="B13" s="118"/>
      <c r="C13" s="105"/>
      <c r="D13" s="27" t="s">
        <v>41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15"/>
      <c r="N13" s="160"/>
      <c r="O13" s="160"/>
      <c r="P13" s="160"/>
      <c r="Q13" s="160"/>
      <c r="R13" s="160"/>
      <c r="S13" s="160"/>
      <c r="T13" s="160"/>
      <c r="U13" s="98"/>
    </row>
    <row r="14" spans="1:21" ht="12.75" customHeight="1">
      <c r="A14" s="100"/>
      <c r="B14" s="118"/>
      <c r="C14" s="106"/>
      <c r="D14" s="27" t="s">
        <v>42</v>
      </c>
      <c r="E14" s="28">
        <f>F14+G14+H14+I14+J14+K14+L14</f>
        <v>45000</v>
      </c>
      <c r="F14" s="28">
        <v>5000</v>
      </c>
      <c r="G14" s="28">
        <v>0</v>
      </c>
      <c r="H14" s="28">
        <v>0</v>
      </c>
      <c r="I14" s="28">
        <f>521+3479+3000</f>
        <v>7000</v>
      </c>
      <c r="J14" s="28">
        <f>5000+15000</f>
        <v>20000</v>
      </c>
      <c r="K14" s="28">
        <v>6000</v>
      </c>
      <c r="L14" s="28">
        <v>7000</v>
      </c>
      <c r="M14" s="115"/>
      <c r="N14" s="160"/>
      <c r="O14" s="160"/>
      <c r="P14" s="160"/>
      <c r="Q14" s="160"/>
      <c r="R14" s="160"/>
      <c r="S14" s="160"/>
      <c r="T14" s="160"/>
      <c r="U14" s="99"/>
    </row>
    <row r="15" spans="1:21" ht="12.75">
      <c r="A15" s="100" t="s">
        <v>97</v>
      </c>
      <c r="B15" s="118" t="s">
        <v>71</v>
      </c>
      <c r="C15" s="104" t="s">
        <v>52</v>
      </c>
      <c r="D15" s="25" t="s">
        <v>21</v>
      </c>
      <c r="E15" s="26">
        <f>E17+E18+E19+E20</f>
        <v>4095619.21</v>
      </c>
      <c r="F15" s="26">
        <f aca="true" t="shared" si="1" ref="F15:L15">F17+F18+F19+F20</f>
        <v>0</v>
      </c>
      <c r="G15" s="26">
        <f t="shared" si="1"/>
        <v>0</v>
      </c>
      <c r="H15" s="26">
        <f t="shared" si="1"/>
        <v>0</v>
      </c>
      <c r="I15" s="26">
        <f t="shared" si="1"/>
        <v>858470.4299999999</v>
      </c>
      <c r="J15" s="26">
        <f t="shared" si="1"/>
        <v>1065781.26</v>
      </c>
      <c r="K15" s="26">
        <f t="shared" si="1"/>
        <v>1078910.26</v>
      </c>
      <c r="L15" s="26">
        <f t="shared" si="1"/>
        <v>1092457.26</v>
      </c>
      <c r="M15" s="107" t="s">
        <v>98</v>
      </c>
      <c r="N15" s="159">
        <v>0</v>
      </c>
      <c r="O15" s="159">
        <v>0</v>
      </c>
      <c r="P15" s="159">
        <v>0</v>
      </c>
      <c r="Q15" s="159">
        <v>54</v>
      </c>
      <c r="R15" s="159">
        <v>65</v>
      </c>
      <c r="S15" s="159">
        <v>60</v>
      </c>
      <c r="T15" s="159">
        <v>60</v>
      </c>
      <c r="U15" s="97" t="s">
        <v>95</v>
      </c>
    </row>
    <row r="16" spans="1:21" ht="12.75">
      <c r="A16" s="100"/>
      <c r="B16" s="118"/>
      <c r="C16" s="105"/>
      <c r="D16" s="84" t="s">
        <v>38</v>
      </c>
      <c r="E16" s="85"/>
      <c r="F16" s="85"/>
      <c r="G16" s="85"/>
      <c r="H16" s="85"/>
      <c r="I16" s="85"/>
      <c r="J16" s="85"/>
      <c r="K16" s="85"/>
      <c r="L16" s="86"/>
      <c r="M16" s="115"/>
      <c r="N16" s="160"/>
      <c r="O16" s="160"/>
      <c r="P16" s="160"/>
      <c r="Q16" s="160"/>
      <c r="R16" s="160"/>
      <c r="S16" s="160"/>
      <c r="T16" s="160"/>
      <c r="U16" s="98"/>
    </row>
    <row r="17" spans="1:21" ht="12.75">
      <c r="A17" s="100"/>
      <c r="B17" s="118"/>
      <c r="C17" s="105"/>
      <c r="D17" s="27" t="s">
        <v>39</v>
      </c>
      <c r="E17" s="28">
        <f>F17+G17+H17+I17+J17+K17+L17</f>
        <v>3577195.48</v>
      </c>
      <c r="F17" s="28">
        <v>0</v>
      </c>
      <c r="G17" s="28">
        <v>0</v>
      </c>
      <c r="H17" s="28">
        <v>0</v>
      </c>
      <c r="I17" s="28">
        <f>949162-219452.52</f>
        <v>729709.48</v>
      </c>
      <c r="J17" s="28">
        <v>949162</v>
      </c>
      <c r="K17" s="28">
        <v>949162</v>
      </c>
      <c r="L17" s="28">
        <v>949162</v>
      </c>
      <c r="M17" s="115"/>
      <c r="N17" s="160"/>
      <c r="O17" s="160"/>
      <c r="P17" s="160"/>
      <c r="Q17" s="160"/>
      <c r="R17" s="160"/>
      <c r="S17" s="160"/>
      <c r="T17" s="160"/>
      <c r="U17" s="98"/>
    </row>
    <row r="18" spans="1:21" ht="12.75">
      <c r="A18" s="100"/>
      <c r="B18" s="118"/>
      <c r="C18" s="105"/>
      <c r="D18" s="27" t="s">
        <v>40</v>
      </c>
      <c r="E18" s="28">
        <f>F18+G18+H18+I18+J18+K18+L18</f>
        <v>518423.73</v>
      </c>
      <c r="F18" s="28">
        <v>0</v>
      </c>
      <c r="G18" s="28">
        <v>0</v>
      </c>
      <c r="H18" s="28">
        <v>0</v>
      </c>
      <c r="I18" s="28">
        <f>122228+6532.95</f>
        <v>128760.95</v>
      </c>
      <c r="J18" s="28">
        <v>116619.26</v>
      </c>
      <c r="K18" s="28">
        <v>129748.26</v>
      </c>
      <c r="L18" s="28">
        <v>143295.26</v>
      </c>
      <c r="M18" s="115"/>
      <c r="N18" s="160"/>
      <c r="O18" s="160"/>
      <c r="P18" s="160"/>
      <c r="Q18" s="160"/>
      <c r="R18" s="160"/>
      <c r="S18" s="160"/>
      <c r="T18" s="160"/>
      <c r="U18" s="98"/>
    </row>
    <row r="19" spans="1:21" ht="12.75">
      <c r="A19" s="100"/>
      <c r="B19" s="118"/>
      <c r="C19" s="105"/>
      <c r="D19" s="27" t="s">
        <v>41</v>
      </c>
      <c r="E19" s="28">
        <f>F19+G19+H19+I19+J19+K19+L19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15"/>
      <c r="N19" s="160"/>
      <c r="O19" s="160"/>
      <c r="P19" s="160"/>
      <c r="Q19" s="160"/>
      <c r="R19" s="160"/>
      <c r="S19" s="160"/>
      <c r="T19" s="160"/>
      <c r="U19" s="98"/>
    </row>
    <row r="20" spans="1:21" ht="12.75">
      <c r="A20" s="100"/>
      <c r="B20" s="118"/>
      <c r="C20" s="106"/>
      <c r="D20" s="27" t="s">
        <v>42</v>
      </c>
      <c r="E20" s="28">
        <f>F20+G20+H20+I20+J20+K20+L20</f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17"/>
      <c r="N20" s="161"/>
      <c r="O20" s="161"/>
      <c r="P20" s="161"/>
      <c r="Q20" s="161"/>
      <c r="R20" s="161"/>
      <c r="S20" s="161"/>
      <c r="T20" s="161"/>
      <c r="U20" s="99"/>
    </row>
    <row r="21" spans="1:21" ht="12.75">
      <c r="A21" s="107"/>
      <c r="B21" s="110" t="s">
        <v>99</v>
      </c>
      <c r="C21" s="104"/>
      <c r="D21" s="25" t="s">
        <v>21</v>
      </c>
      <c r="E21" s="26">
        <f>E23+E24+E25+E26</f>
        <v>307453688.58</v>
      </c>
      <c r="F21" s="26">
        <f aca="true" t="shared" si="2" ref="F21:L21">F23+F24+F25+F26</f>
        <v>37935433.69</v>
      </c>
      <c r="G21" s="26">
        <f t="shared" si="2"/>
        <v>40162203.56</v>
      </c>
      <c r="H21" s="26">
        <f t="shared" si="2"/>
        <v>42279510.65</v>
      </c>
      <c r="I21" s="26">
        <f t="shared" si="2"/>
        <v>46400295.029999994</v>
      </c>
      <c r="J21" s="26">
        <f t="shared" si="2"/>
        <v>47479825.56999999</v>
      </c>
      <c r="K21" s="26">
        <f t="shared" si="2"/>
        <v>45347815.63</v>
      </c>
      <c r="L21" s="26">
        <f t="shared" si="2"/>
        <v>47848604.449999996</v>
      </c>
      <c r="M21" s="107"/>
      <c r="N21" s="159"/>
      <c r="O21" s="159"/>
      <c r="P21" s="159"/>
      <c r="Q21" s="159"/>
      <c r="R21" s="159"/>
      <c r="S21" s="159"/>
      <c r="T21" s="159"/>
      <c r="U21" s="97"/>
    </row>
    <row r="22" spans="1:21" ht="12.75">
      <c r="A22" s="115"/>
      <c r="B22" s="116"/>
      <c r="C22" s="115"/>
      <c r="D22" s="84" t="s">
        <v>38</v>
      </c>
      <c r="E22" s="85"/>
      <c r="F22" s="85"/>
      <c r="G22" s="85"/>
      <c r="H22" s="85"/>
      <c r="I22" s="85"/>
      <c r="J22" s="85"/>
      <c r="K22" s="85"/>
      <c r="L22" s="86"/>
      <c r="M22" s="108"/>
      <c r="N22" s="162"/>
      <c r="O22" s="162"/>
      <c r="P22" s="162"/>
      <c r="Q22" s="162"/>
      <c r="R22" s="162"/>
      <c r="S22" s="162"/>
      <c r="T22" s="162"/>
      <c r="U22" s="98"/>
    </row>
    <row r="23" spans="1:21" ht="12.75">
      <c r="A23" s="115"/>
      <c r="B23" s="116"/>
      <c r="C23" s="115"/>
      <c r="D23" s="27" t="s">
        <v>39</v>
      </c>
      <c r="E23" s="28">
        <f>F23+G23+H23+I23+J23+K23+L23</f>
        <v>275948944.59</v>
      </c>
      <c r="F23" s="28">
        <f aca="true" t="shared" si="3" ref="F23:H26">F11</f>
        <v>34587488</v>
      </c>
      <c r="G23" s="28">
        <f t="shared" si="3"/>
        <v>37713522.56</v>
      </c>
      <c r="H23" s="28">
        <f t="shared" si="3"/>
        <v>39836938.78</v>
      </c>
      <c r="I23" s="28">
        <f aca="true" t="shared" si="4" ref="I23:L24">I11+I17</f>
        <v>41128761.3</v>
      </c>
      <c r="J23" s="28">
        <f t="shared" si="4"/>
        <v>41771452.3</v>
      </c>
      <c r="K23" s="28">
        <f t="shared" si="4"/>
        <v>39345056.28</v>
      </c>
      <c r="L23" s="28">
        <f t="shared" si="4"/>
        <v>41565725.37</v>
      </c>
      <c r="M23" s="108"/>
      <c r="N23" s="162"/>
      <c r="O23" s="162"/>
      <c r="P23" s="162"/>
      <c r="Q23" s="162"/>
      <c r="R23" s="162"/>
      <c r="S23" s="162"/>
      <c r="T23" s="162"/>
      <c r="U23" s="98"/>
    </row>
    <row r="24" spans="1:21" ht="12.75">
      <c r="A24" s="115"/>
      <c r="B24" s="116"/>
      <c r="C24" s="115"/>
      <c r="D24" s="27" t="s">
        <v>40</v>
      </c>
      <c r="E24" s="28">
        <f>F24+G24+H24+I24+J24+K24+L24</f>
        <v>31459743.989999995</v>
      </c>
      <c r="F24" s="28">
        <f t="shared" si="3"/>
        <v>3342945.69</v>
      </c>
      <c r="G24" s="28">
        <f t="shared" si="3"/>
        <v>2448681</v>
      </c>
      <c r="H24" s="28">
        <f t="shared" si="3"/>
        <v>2442571.87</v>
      </c>
      <c r="I24" s="28">
        <f t="shared" si="4"/>
        <v>5264533.7299999995</v>
      </c>
      <c r="J24" s="28">
        <f t="shared" si="4"/>
        <v>5688373.27</v>
      </c>
      <c r="K24" s="28">
        <f t="shared" si="4"/>
        <v>5996759.35</v>
      </c>
      <c r="L24" s="28">
        <f t="shared" si="4"/>
        <v>6275879.08</v>
      </c>
      <c r="M24" s="108"/>
      <c r="N24" s="162"/>
      <c r="O24" s="162"/>
      <c r="P24" s="162"/>
      <c r="Q24" s="162"/>
      <c r="R24" s="162"/>
      <c r="S24" s="162"/>
      <c r="T24" s="162"/>
      <c r="U24" s="98"/>
    </row>
    <row r="25" spans="1:21" ht="12.75">
      <c r="A25" s="115"/>
      <c r="B25" s="116"/>
      <c r="C25" s="115"/>
      <c r="D25" s="27" t="s">
        <v>41</v>
      </c>
      <c r="E25" s="28">
        <f>F25+G25+H25+I25+J25+K25+L25</f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v>0</v>
      </c>
      <c r="J25" s="28">
        <f aca="true" t="shared" si="5" ref="J25:L26">J13</f>
        <v>0</v>
      </c>
      <c r="K25" s="28">
        <f t="shared" si="5"/>
        <v>0</v>
      </c>
      <c r="L25" s="28">
        <f t="shared" si="5"/>
        <v>0</v>
      </c>
      <c r="M25" s="108"/>
      <c r="N25" s="162"/>
      <c r="O25" s="162"/>
      <c r="P25" s="162"/>
      <c r="Q25" s="162"/>
      <c r="R25" s="162"/>
      <c r="S25" s="162"/>
      <c r="T25" s="162"/>
      <c r="U25" s="98"/>
    </row>
    <row r="26" spans="1:21" ht="12.75">
      <c r="A26" s="117"/>
      <c r="B26" s="130"/>
      <c r="C26" s="117"/>
      <c r="D26" s="27" t="s">
        <v>42</v>
      </c>
      <c r="E26" s="28">
        <f>F26+G26+H26+I26+J26+K26+L26</f>
        <v>45000</v>
      </c>
      <c r="F26" s="28">
        <f t="shared" si="3"/>
        <v>5000</v>
      </c>
      <c r="G26" s="28">
        <f t="shared" si="3"/>
        <v>0</v>
      </c>
      <c r="H26" s="28">
        <f t="shared" si="3"/>
        <v>0</v>
      </c>
      <c r="I26" s="28">
        <f>I14+I20</f>
        <v>7000</v>
      </c>
      <c r="J26" s="28">
        <f t="shared" si="5"/>
        <v>20000</v>
      </c>
      <c r="K26" s="28">
        <f t="shared" si="5"/>
        <v>6000</v>
      </c>
      <c r="L26" s="28">
        <f t="shared" si="5"/>
        <v>7000</v>
      </c>
      <c r="M26" s="109"/>
      <c r="N26" s="163"/>
      <c r="O26" s="163"/>
      <c r="P26" s="163"/>
      <c r="Q26" s="163"/>
      <c r="R26" s="163"/>
      <c r="S26" s="163"/>
      <c r="T26" s="163"/>
      <c r="U26" s="99"/>
    </row>
    <row r="27" spans="1:21" ht="12.75">
      <c r="A27" s="29">
        <v>2</v>
      </c>
      <c r="B27" s="139" t="s">
        <v>100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</row>
    <row r="28" spans="1:21" ht="12.75">
      <c r="A28" s="107" t="s">
        <v>45</v>
      </c>
      <c r="B28" s="118" t="s">
        <v>101</v>
      </c>
      <c r="C28" s="104" t="s">
        <v>102</v>
      </c>
      <c r="D28" s="25" t="s">
        <v>21</v>
      </c>
      <c r="E28" s="26">
        <f>E30+E31+E32+E33</f>
        <v>19008448.9</v>
      </c>
      <c r="F28" s="26">
        <f aca="true" t="shared" si="6" ref="F28:L28">F30+F31+F32+F33</f>
        <v>10178283.18</v>
      </c>
      <c r="G28" s="26">
        <f t="shared" si="6"/>
        <v>4727094.72</v>
      </c>
      <c r="H28" s="26">
        <f t="shared" si="6"/>
        <v>4103071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97" t="s">
        <v>103</v>
      </c>
      <c r="N28" s="159">
        <v>357066</v>
      </c>
      <c r="O28" s="159">
        <v>344445</v>
      </c>
      <c r="P28" s="159">
        <v>337716</v>
      </c>
      <c r="Q28" s="159">
        <v>0</v>
      </c>
      <c r="R28" s="159">
        <v>0</v>
      </c>
      <c r="S28" s="159">
        <v>0</v>
      </c>
      <c r="T28" s="159">
        <v>0</v>
      </c>
      <c r="U28" s="97" t="s">
        <v>95</v>
      </c>
    </row>
    <row r="29" spans="1:21" ht="12.75" customHeight="1">
      <c r="A29" s="115"/>
      <c r="B29" s="118"/>
      <c r="C29" s="105"/>
      <c r="D29" s="84" t="s">
        <v>38</v>
      </c>
      <c r="E29" s="85"/>
      <c r="F29" s="85"/>
      <c r="G29" s="85"/>
      <c r="H29" s="85"/>
      <c r="I29" s="85"/>
      <c r="J29" s="85"/>
      <c r="K29" s="85"/>
      <c r="L29" s="86"/>
      <c r="M29" s="98"/>
      <c r="N29" s="162"/>
      <c r="O29" s="162"/>
      <c r="P29" s="162"/>
      <c r="Q29" s="162"/>
      <c r="R29" s="162"/>
      <c r="S29" s="162"/>
      <c r="T29" s="162"/>
      <c r="U29" s="98"/>
    </row>
    <row r="30" spans="1:21" ht="12.75" customHeight="1">
      <c r="A30" s="115"/>
      <c r="B30" s="118"/>
      <c r="C30" s="105"/>
      <c r="D30" s="27" t="s">
        <v>39</v>
      </c>
      <c r="E30" s="28">
        <f>F30+G30+H30+I30+J30+K30+L30</f>
        <v>18982015.9</v>
      </c>
      <c r="F30" s="28">
        <v>10178283.18</v>
      </c>
      <c r="G30" s="28">
        <v>4713774.72</v>
      </c>
      <c r="H30" s="28">
        <v>4089958</v>
      </c>
      <c r="I30" s="28">
        <v>0</v>
      </c>
      <c r="J30" s="28">
        <v>0</v>
      </c>
      <c r="K30" s="28">
        <v>0</v>
      </c>
      <c r="L30" s="28">
        <v>0</v>
      </c>
      <c r="M30" s="98"/>
      <c r="N30" s="162"/>
      <c r="O30" s="162"/>
      <c r="P30" s="162"/>
      <c r="Q30" s="162"/>
      <c r="R30" s="162"/>
      <c r="S30" s="162"/>
      <c r="T30" s="162"/>
      <c r="U30" s="98"/>
    </row>
    <row r="31" spans="1:21" ht="12.75" customHeight="1">
      <c r="A31" s="115"/>
      <c r="B31" s="118"/>
      <c r="C31" s="105"/>
      <c r="D31" s="27" t="s">
        <v>40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8"/>
      <c r="N31" s="162"/>
      <c r="O31" s="162"/>
      <c r="P31" s="162"/>
      <c r="Q31" s="162"/>
      <c r="R31" s="162"/>
      <c r="S31" s="162"/>
      <c r="T31" s="162"/>
      <c r="U31" s="98"/>
    </row>
    <row r="32" spans="1:21" ht="12.75" customHeight="1">
      <c r="A32" s="115"/>
      <c r="B32" s="118"/>
      <c r="C32" s="105"/>
      <c r="D32" s="27" t="s">
        <v>41</v>
      </c>
      <c r="E32" s="28">
        <f>F32+G32+H32+I32+J32+K32+L32</f>
        <v>26433</v>
      </c>
      <c r="F32" s="28">
        <v>0</v>
      </c>
      <c r="G32" s="28">
        <v>13320</v>
      </c>
      <c r="H32" s="28">
        <v>13113</v>
      </c>
      <c r="I32" s="28">
        <v>0</v>
      </c>
      <c r="J32" s="28">
        <v>0</v>
      </c>
      <c r="K32" s="28">
        <v>0</v>
      </c>
      <c r="L32" s="28">
        <v>0</v>
      </c>
      <c r="M32" s="98"/>
      <c r="N32" s="162"/>
      <c r="O32" s="162"/>
      <c r="P32" s="162"/>
      <c r="Q32" s="162"/>
      <c r="R32" s="162"/>
      <c r="S32" s="162"/>
      <c r="T32" s="162"/>
      <c r="U32" s="98"/>
    </row>
    <row r="33" spans="1:21" ht="12.75" customHeight="1">
      <c r="A33" s="117"/>
      <c r="B33" s="118"/>
      <c r="C33" s="106"/>
      <c r="D33" s="27" t="s">
        <v>42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9"/>
      <c r="N33" s="163"/>
      <c r="O33" s="163"/>
      <c r="P33" s="163"/>
      <c r="Q33" s="163"/>
      <c r="R33" s="163"/>
      <c r="S33" s="163"/>
      <c r="T33" s="163"/>
      <c r="U33" s="99"/>
    </row>
    <row r="34" spans="1:21" ht="12.75">
      <c r="A34" s="107" t="s">
        <v>50</v>
      </c>
      <c r="B34" s="110" t="s">
        <v>104</v>
      </c>
      <c r="C34" s="104" t="s">
        <v>102</v>
      </c>
      <c r="D34" s="25" t="s">
        <v>21</v>
      </c>
      <c r="E34" s="26">
        <f>E36+E37+E38+E39</f>
        <v>12919489.16</v>
      </c>
      <c r="F34" s="26">
        <f aca="true" t="shared" si="7" ref="F34:L34">F36+F37+F38+F39</f>
        <v>5237060.52</v>
      </c>
      <c r="G34" s="26">
        <f t="shared" si="7"/>
        <v>3247992.09</v>
      </c>
      <c r="H34" s="26">
        <f t="shared" si="7"/>
        <v>4434436.55</v>
      </c>
      <c r="I34" s="26">
        <f t="shared" si="7"/>
        <v>0</v>
      </c>
      <c r="J34" s="26">
        <f t="shared" si="7"/>
        <v>0</v>
      </c>
      <c r="K34" s="26">
        <f t="shared" si="7"/>
        <v>0</v>
      </c>
      <c r="L34" s="26">
        <f t="shared" si="7"/>
        <v>0</v>
      </c>
      <c r="M34" s="97" t="s">
        <v>105</v>
      </c>
      <c r="N34" s="159">
        <v>2688</v>
      </c>
      <c r="O34" s="159">
        <v>3920</v>
      </c>
      <c r="P34" s="159">
        <v>3921</v>
      </c>
      <c r="Q34" s="159">
        <v>0</v>
      </c>
      <c r="R34" s="159">
        <v>0</v>
      </c>
      <c r="S34" s="159">
        <v>0</v>
      </c>
      <c r="T34" s="159">
        <v>0</v>
      </c>
      <c r="U34" s="97" t="s">
        <v>95</v>
      </c>
    </row>
    <row r="35" spans="1:21" ht="12.75" customHeight="1">
      <c r="A35" s="115"/>
      <c r="B35" s="116"/>
      <c r="C35" s="105"/>
      <c r="D35" s="84" t="s">
        <v>38</v>
      </c>
      <c r="E35" s="85"/>
      <c r="F35" s="85"/>
      <c r="G35" s="85"/>
      <c r="H35" s="85"/>
      <c r="I35" s="85"/>
      <c r="J35" s="85"/>
      <c r="K35" s="85"/>
      <c r="L35" s="86"/>
      <c r="M35" s="98"/>
      <c r="N35" s="162"/>
      <c r="O35" s="162"/>
      <c r="P35" s="162"/>
      <c r="Q35" s="162"/>
      <c r="R35" s="162"/>
      <c r="S35" s="162"/>
      <c r="T35" s="162"/>
      <c r="U35" s="98"/>
    </row>
    <row r="36" spans="1:21" ht="12.75" customHeight="1">
      <c r="A36" s="115"/>
      <c r="B36" s="116"/>
      <c r="C36" s="105"/>
      <c r="D36" s="27" t="s">
        <v>39</v>
      </c>
      <c r="E36" s="28">
        <f>F36+G36+H36+I36+J36+K36+L36</f>
        <v>12919489.16</v>
      </c>
      <c r="F36" s="28">
        <v>5237060.52</v>
      </c>
      <c r="G36" s="28">
        <v>3247992.09</v>
      </c>
      <c r="H36" s="28">
        <v>4434436.55</v>
      </c>
      <c r="I36" s="28">
        <v>0</v>
      </c>
      <c r="J36" s="28">
        <v>0</v>
      </c>
      <c r="K36" s="28">
        <v>0</v>
      </c>
      <c r="L36" s="28">
        <v>0</v>
      </c>
      <c r="M36" s="98"/>
      <c r="N36" s="162"/>
      <c r="O36" s="162"/>
      <c r="P36" s="162"/>
      <c r="Q36" s="162"/>
      <c r="R36" s="162"/>
      <c r="S36" s="162"/>
      <c r="T36" s="162"/>
      <c r="U36" s="98"/>
    </row>
    <row r="37" spans="1:21" ht="12.75" customHeight="1">
      <c r="A37" s="115"/>
      <c r="B37" s="116"/>
      <c r="C37" s="105"/>
      <c r="D37" s="27" t="s">
        <v>40</v>
      </c>
      <c r="E37" s="28">
        <f>F37+G37+H37+I37+J37+K37+L37</f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8"/>
      <c r="N37" s="162"/>
      <c r="O37" s="162"/>
      <c r="P37" s="162"/>
      <c r="Q37" s="162"/>
      <c r="R37" s="162"/>
      <c r="S37" s="162"/>
      <c r="T37" s="162"/>
      <c r="U37" s="98"/>
    </row>
    <row r="38" spans="1:21" ht="12.75" customHeight="1">
      <c r="A38" s="115"/>
      <c r="B38" s="116"/>
      <c r="C38" s="105"/>
      <c r="D38" s="27" t="s">
        <v>41</v>
      </c>
      <c r="E38" s="28">
        <f>F38+G38+H38+I38+J38+K38+L38</f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98"/>
      <c r="N38" s="162"/>
      <c r="O38" s="162"/>
      <c r="P38" s="162"/>
      <c r="Q38" s="162"/>
      <c r="R38" s="162"/>
      <c r="S38" s="162"/>
      <c r="T38" s="162"/>
      <c r="U38" s="98"/>
    </row>
    <row r="39" spans="1:21" ht="12.75" customHeight="1">
      <c r="A39" s="117"/>
      <c r="B39" s="130"/>
      <c r="C39" s="106"/>
      <c r="D39" s="27" t="s">
        <v>42</v>
      </c>
      <c r="E39" s="28">
        <f>F39+G39+H39+I39+J39+K39+L39</f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9"/>
      <c r="N39" s="163"/>
      <c r="O39" s="163"/>
      <c r="P39" s="163"/>
      <c r="Q39" s="163"/>
      <c r="R39" s="163"/>
      <c r="S39" s="163"/>
      <c r="T39" s="163"/>
      <c r="U39" s="99"/>
    </row>
    <row r="40" spans="1:21" ht="12.75" customHeight="1">
      <c r="A40" s="107" t="s">
        <v>56</v>
      </c>
      <c r="B40" s="118" t="s">
        <v>106</v>
      </c>
      <c r="C40" s="104" t="s">
        <v>52</v>
      </c>
      <c r="D40" s="25" t="s">
        <v>21</v>
      </c>
      <c r="E40" s="26">
        <f>E42+E43+E44+E45</f>
        <v>20933395.27</v>
      </c>
      <c r="F40" s="26">
        <f aca="true" t="shared" si="8" ref="F40:L40">F42+F43+F44+F45</f>
        <v>0</v>
      </c>
      <c r="G40" s="26">
        <f t="shared" si="8"/>
        <v>0</v>
      </c>
      <c r="H40" s="26">
        <f t="shared" si="8"/>
        <v>0</v>
      </c>
      <c r="I40" s="26">
        <f t="shared" si="8"/>
        <v>5282577.76</v>
      </c>
      <c r="J40" s="26">
        <f t="shared" si="8"/>
        <v>5379740.06</v>
      </c>
      <c r="K40" s="26">
        <f t="shared" si="8"/>
        <v>5139743.529999999</v>
      </c>
      <c r="L40" s="26">
        <f t="shared" si="8"/>
        <v>5131333.92</v>
      </c>
      <c r="M40" s="97" t="s">
        <v>107</v>
      </c>
      <c r="N40" s="159">
        <v>0</v>
      </c>
      <c r="O40" s="159">
        <v>0</v>
      </c>
      <c r="P40" s="159">
        <v>0</v>
      </c>
      <c r="Q40" s="159">
        <v>337717</v>
      </c>
      <c r="R40" s="159">
        <v>337718</v>
      </c>
      <c r="S40" s="159">
        <v>337719</v>
      </c>
      <c r="T40" s="159">
        <v>337719</v>
      </c>
      <c r="U40" s="97" t="s">
        <v>95</v>
      </c>
    </row>
    <row r="41" spans="1:21" ht="12.75" customHeight="1">
      <c r="A41" s="115"/>
      <c r="B41" s="118"/>
      <c r="C41" s="105"/>
      <c r="D41" s="84" t="s">
        <v>38</v>
      </c>
      <c r="E41" s="85"/>
      <c r="F41" s="85"/>
      <c r="G41" s="85"/>
      <c r="H41" s="85"/>
      <c r="I41" s="85"/>
      <c r="J41" s="85"/>
      <c r="K41" s="85"/>
      <c r="L41" s="86"/>
      <c r="M41" s="98"/>
      <c r="N41" s="162"/>
      <c r="O41" s="162"/>
      <c r="P41" s="162"/>
      <c r="Q41" s="162"/>
      <c r="R41" s="162"/>
      <c r="S41" s="162"/>
      <c r="T41" s="162"/>
      <c r="U41" s="98"/>
    </row>
    <row r="42" spans="1:21" ht="12.75" customHeight="1">
      <c r="A42" s="115"/>
      <c r="B42" s="118"/>
      <c r="C42" s="105"/>
      <c r="D42" s="27" t="s">
        <v>39</v>
      </c>
      <c r="E42" s="28">
        <f>F42+G42+H42+I42+J42+K42+L42</f>
        <v>20838499.46</v>
      </c>
      <c r="F42" s="28">
        <v>0</v>
      </c>
      <c r="G42" s="28">
        <v>0</v>
      </c>
      <c r="H42" s="28">
        <v>0</v>
      </c>
      <c r="I42" s="28">
        <v>5248567.25</v>
      </c>
      <c r="J42" s="28">
        <v>5359444.96</v>
      </c>
      <c r="K42" s="28">
        <v>5119448.43</v>
      </c>
      <c r="L42" s="28">
        <v>5111038.82</v>
      </c>
      <c r="M42" s="98"/>
      <c r="N42" s="162"/>
      <c r="O42" s="162"/>
      <c r="P42" s="162"/>
      <c r="Q42" s="162"/>
      <c r="R42" s="162"/>
      <c r="S42" s="162"/>
      <c r="T42" s="162"/>
      <c r="U42" s="98"/>
    </row>
    <row r="43" spans="1:21" ht="12.75" customHeight="1">
      <c r="A43" s="115"/>
      <c r="B43" s="118"/>
      <c r="C43" s="105"/>
      <c r="D43" s="27" t="s">
        <v>40</v>
      </c>
      <c r="E43" s="28">
        <f>F43+G43+H43+I43+J43+K43+L43</f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8"/>
      <c r="N43" s="162"/>
      <c r="O43" s="162"/>
      <c r="P43" s="162"/>
      <c r="Q43" s="162"/>
      <c r="R43" s="162"/>
      <c r="S43" s="162"/>
      <c r="T43" s="162"/>
      <c r="U43" s="98"/>
    </row>
    <row r="44" spans="1:21" ht="12.75" customHeight="1">
      <c r="A44" s="115"/>
      <c r="B44" s="118"/>
      <c r="C44" s="105"/>
      <c r="D44" s="27" t="s">
        <v>41</v>
      </c>
      <c r="E44" s="28">
        <f>F44+G44+H44+I44+J44+K44+L44</f>
        <v>94895.81</v>
      </c>
      <c r="F44" s="28">
        <v>0</v>
      </c>
      <c r="G44" s="28">
        <v>0</v>
      </c>
      <c r="H44" s="28">
        <v>0</v>
      </c>
      <c r="I44" s="28">
        <f>18025.34+15985.17</f>
        <v>34010.51</v>
      </c>
      <c r="J44" s="28">
        <v>20295.1</v>
      </c>
      <c r="K44" s="28">
        <v>20295.1</v>
      </c>
      <c r="L44" s="28">
        <v>20295.1</v>
      </c>
      <c r="M44" s="98"/>
      <c r="N44" s="162"/>
      <c r="O44" s="162"/>
      <c r="P44" s="162"/>
      <c r="Q44" s="162"/>
      <c r="R44" s="162"/>
      <c r="S44" s="162"/>
      <c r="T44" s="162"/>
      <c r="U44" s="98"/>
    </row>
    <row r="45" spans="1:21" ht="12.75" customHeight="1">
      <c r="A45" s="117"/>
      <c r="B45" s="118"/>
      <c r="C45" s="106"/>
      <c r="D45" s="27" t="s">
        <v>42</v>
      </c>
      <c r="E45" s="28">
        <f>F45+G45+H45+I45+J45+K45+L45</f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99"/>
      <c r="N45" s="163"/>
      <c r="O45" s="163"/>
      <c r="P45" s="163"/>
      <c r="Q45" s="163"/>
      <c r="R45" s="163"/>
      <c r="S45" s="163"/>
      <c r="T45" s="163"/>
      <c r="U45" s="99"/>
    </row>
    <row r="46" spans="1:21" ht="12.75" customHeight="1">
      <c r="A46" s="107" t="s">
        <v>64</v>
      </c>
      <c r="B46" s="110" t="s">
        <v>108</v>
      </c>
      <c r="C46" s="104" t="s">
        <v>52</v>
      </c>
      <c r="D46" s="25" t="s">
        <v>21</v>
      </c>
      <c r="E46" s="26">
        <f>E48+E49+E50+E51</f>
        <v>16553470.85</v>
      </c>
      <c r="F46" s="26">
        <f aca="true" t="shared" si="9" ref="F46:L46">F48+F49+F50+F51</f>
        <v>0</v>
      </c>
      <c r="G46" s="26">
        <f t="shared" si="9"/>
        <v>0</v>
      </c>
      <c r="H46" s="26">
        <f t="shared" si="9"/>
        <v>0</v>
      </c>
      <c r="I46" s="26">
        <f t="shared" si="9"/>
        <v>4142944.31</v>
      </c>
      <c r="J46" s="26">
        <f t="shared" si="9"/>
        <v>4298236.56</v>
      </c>
      <c r="K46" s="26">
        <f t="shared" si="9"/>
        <v>4039085.9</v>
      </c>
      <c r="L46" s="26">
        <f t="shared" si="9"/>
        <v>4073204.08</v>
      </c>
      <c r="M46" s="97" t="s">
        <v>107</v>
      </c>
      <c r="N46" s="159">
        <v>0</v>
      </c>
      <c r="O46" s="159">
        <v>0</v>
      </c>
      <c r="P46" s="159">
        <v>0</v>
      </c>
      <c r="Q46" s="159">
        <v>3921</v>
      </c>
      <c r="R46" s="159">
        <v>3921</v>
      </c>
      <c r="S46" s="159">
        <v>3921</v>
      </c>
      <c r="T46" s="159">
        <v>3921</v>
      </c>
      <c r="U46" s="97" t="s">
        <v>95</v>
      </c>
    </row>
    <row r="47" spans="1:21" ht="12.75" customHeight="1">
      <c r="A47" s="115"/>
      <c r="B47" s="116"/>
      <c r="C47" s="105"/>
      <c r="D47" s="84" t="s">
        <v>38</v>
      </c>
      <c r="E47" s="85"/>
      <c r="F47" s="85"/>
      <c r="G47" s="85"/>
      <c r="H47" s="85"/>
      <c r="I47" s="85"/>
      <c r="J47" s="85"/>
      <c r="K47" s="85"/>
      <c r="L47" s="86"/>
      <c r="M47" s="98"/>
      <c r="N47" s="162"/>
      <c r="O47" s="162"/>
      <c r="P47" s="162"/>
      <c r="Q47" s="162"/>
      <c r="R47" s="162"/>
      <c r="S47" s="162"/>
      <c r="T47" s="162"/>
      <c r="U47" s="98"/>
    </row>
    <row r="48" spans="1:21" ht="12.75" customHeight="1">
      <c r="A48" s="115"/>
      <c r="B48" s="116"/>
      <c r="C48" s="105"/>
      <c r="D48" s="27" t="s">
        <v>39</v>
      </c>
      <c r="E48" s="28">
        <f>F48+G48+H48+I48+J48+K48+L48</f>
        <v>16553470.85</v>
      </c>
      <c r="F48" s="28">
        <v>0</v>
      </c>
      <c r="G48" s="28">
        <v>0</v>
      </c>
      <c r="H48" s="28">
        <v>0</v>
      </c>
      <c r="I48" s="28">
        <v>4142944.31</v>
      </c>
      <c r="J48" s="28">
        <v>4298236.56</v>
      </c>
      <c r="K48" s="28">
        <v>4039085.9</v>
      </c>
      <c r="L48" s="28">
        <v>4073204.08</v>
      </c>
      <c r="M48" s="98"/>
      <c r="N48" s="162"/>
      <c r="O48" s="162"/>
      <c r="P48" s="162"/>
      <c r="Q48" s="162"/>
      <c r="R48" s="162"/>
      <c r="S48" s="162"/>
      <c r="T48" s="162"/>
      <c r="U48" s="98"/>
    </row>
    <row r="49" spans="1:21" ht="12.75" customHeight="1">
      <c r="A49" s="115"/>
      <c r="B49" s="116"/>
      <c r="C49" s="105"/>
      <c r="D49" s="27" t="s">
        <v>40</v>
      </c>
      <c r="E49" s="28">
        <f>F49+G49+H49+I49+J49+K49+L49</f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8"/>
      <c r="N49" s="162"/>
      <c r="O49" s="162"/>
      <c r="P49" s="162"/>
      <c r="Q49" s="162"/>
      <c r="R49" s="162"/>
      <c r="S49" s="162"/>
      <c r="T49" s="162"/>
      <c r="U49" s="98"/>
    </row>
    <row r="50" spans="1:21" ht="12.75" customHeight="1">
      <c r="A50" s="115"/>
      <c r="B50" s="116"/>
      <c r="C50" s="105"/>
      <c r="D50" s="27" t="s">
        <v>41</v>
      </c>
      <c r="E50" s="28">
        <f>F50+G50+H50+I50+J50+K50+L50</f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98"/>
      <c r="N50" s="162"/>
      <c r="O50" s="162"/>
      <c r="P50" s="162"/>
      <c r="Q50" s="162"/>
      <c r="R50" s="162"/>
      <c r="S50" s="162"/>
      <c r="T50" s="162"/>
      <c r="U50" s="98"/>
    </row>
    <row r="51" spans="1:21" ht="12.75" customHeight="1">
      <c r="A51" s="117"/>
      <c r="B51" s="130"/>
      <c r="C51" s="106"/>
      <c r="D51" s="27" t="s">
        <v>42</v>
      </c>
      <c r="E51" s="28">
        <f>F51+G51+H51+I51+J51+K51+L51</f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99"/>
      <c r="N51" s="163"/>
      <c r="O51" s="163"/>
      <c r="P51" s="163"/>
      <c r="Q51" s="163"/>
      <c r="R51" s="163"/>
      <c r="S51" s="163"/>
      <c r="T51" s="163"/>
      <c r="U51" s="99"/>
    </row>
    <row r="52" spans="1:21" ht="12.75">
      <c r="A52" s="107"/>
      <c r="B52" s="110" t="s">
        <v>109</v>
      </c>
      <c r="C52" s="104"/>
      <c r="D52" s="25" t="s">
        <v>21</v>
      </c>
      <c r="E52" s="26">
        <f>E54+E55+E56+E57</f>
        <v>69414804.18</v>
      </c>
      <c r="F52" s="26">
        <f aca="true" t="shared" si="10" ref="F52:L52">F54+F55+F56+F57</f>
        <v>15415343.7</v>
      </c>
      <c r="G52" s="26">
        <f t="shared" si="10"/>
        <v>7975086.81</v>
      </c>
      <c r="H52" s="26">
        <f t="shared" si="10"/>
        <v>8537507.55</v>
      </c>
      <c r="I52" s="26">
        <f t="shared" si="10"/>
        <v>9425522.07</v>
      </c>
      <c r="J52" s="26">
        <f t="shared" si="10"/>
        <v>9677976.62</v>
      </c>
      <c r="K52" s="26">
        <f t="shared" si="10"/>
        <v>9178829.43</v>
      </c>
      <c r="L52" s="26">
        <f t="shared" si="10"/>
        <v>9204538</v>
      </c>
      <c r="M52" s="94"/>
      <c r="N52" s="164"/>
      <c r="O52" s="164"/>
      <c r="P52" s="164"/>
      <c r="Q52" s="164"/>
      <c r="R52" s="164"/>
      <c r="S52" s="164"/>
      <c r="T52" s="164"/>
      <c r="U52" s="94"/>
    </row>
    <row r="53" spans="1:21" ht="12.75">
      <c r="A53" s="115"/>
      <c r="B53" s="116"/>
      <c r="C53" s="115"/>
      <c r="D53" s="84" t="s">
        <v>38</v>
      </c>
      <c r="E53" s="85"/>
      <c r="F53" s="85"/>
      <c r="G53" s="85"/>
      <c r="H53" s="85"/>
      <c r="I53" s="85"/>
      <c r="J53" s="85"/>
      <c r="K53" s="85"/>
      <c r="L53" s="86"/>
      <c r="M53" s="95"/>
      <c r="N53" s="165"/>
      <c r="O53" s="165"/>
      <c r="P53" s="165"/>
      <c r="Q53" s="165"/>
      <c r="R53" s="165"/>
      <c r="S53" s="165"/>
      <c r="T53" s="165"/>
      <c r="U53" s="95"/>
    </row>
    <row r="54" spans="1:21" ht="12.75">
      <c r="A54" s="115"/>
      <c r="B54" s="116"/>
      <c r="C54" s="115"/>
      <c r="D54" s="27" t="s">
        <v>39</v>
      </c>
      <c r="E54" s="28">
        <f>F54+G54+H54+I54+J54+K54+L54</f>
        <v>69293475.37</v>
      </c>
      <c r="F54" s="28">
        <f>F30+F36</f>
        <v>15415343.7</v>
      </c>
      <c r="G54" s="28">
        <f>G30+G36</f>
        <v>7961766.81</v>
      </c>
      <c r="H54" s="28">
        <f>H30+H36</f>
        <v>8524394.55</v>
      </c>
      <c r="I54" s="28">
        <f>I42+I48</f>
        <v>9391511.56</v>
      </c>
      <c r="J54" s="28">
        <f>J42+J48</f>
        <v>9657681.52</v>
      </c>
      <c r="K54" s="28">
        <f>K42+K48</f>
        <v>9158534.33</v>
      </c>
      <c r="L54" s="28">
        <f>L42+L48</f>
        <v>9184242.9</v>
      </c>
      <c r="M54" s="95"/>
      <c r="N54" s="165"/>
      <c r="O54" s="165"/>
      <c r="P54" s="165"/>
      <c r="Q54" s="165"/>
      <c r="R54" s="165"/>
      <c r="S54" s="165"/>
      <c r="T54" s="165"/>
      <c r="U54" s="95"/>
    </row>
    <row r="55" spans="1:21" ht="12.75">
      <c r="A55" s="115"/>
      <c r="B55" s="116"/>
      <c r="C55" s="115"/>
      <c r="D55" s="27" t="s">
        <v>40</v>
      </c>
      <c r="E55" s="28">
        <f>F55+G55+H55+I55+J55+K55+L55</f>
        <v>0</v>
      </c>
      <c r="F55" s="28">
        <v>0</v>
      </c>
      <c r="G55" s="28"/>
      <c r="H55" s="28"/>
      <c r="I55" s="28">
        <f aca="true" t="shared" si="11" ref="I55:L56">I43</f>
        <v>0</v>
      </c>
      <c r="J55" s="28">
        <f t="shared" si="11"/>
        <v>0</v>
      </c>
      <c r="K55" s="28">
        <f t="shared" si="11"/>
        <v>0</v>
      </c>
      <c r="L55" s="28">
        <f t="shared" si="11"/>
        <v>0</v>
      </c>
      <c r="M55" s="95"/>
      <c r="N55" s="165"/>
      <c r="O55" s="165"/>
      <c r="P55" s="165"/>
      <c r="Q55" s="165"/>
      <c r="R55" s="165"/>
      <c r="S55" s="165"/>
      <c r="T55" s="165"/>
      <c r="U55" s="95"/>
    </row>
    <row r="56" spans="1:21" ht="12.75">
      <c r="A56" s="115"/>
      <c r="B56" s="116"/>
      <c r="C56" s="115"/>
      <c r="D56" s="27" t="s">
        <v>41</v>
      </c>
      <c r="E56" s="28">
        <f>F56+G56+H56+I56+J56+K56+L56</f>
        <v>121328.81</v>
      </c>
      <c r="F56" s="28">
        <v>0</v>
      </c>
      <c r="G56" s="28">
        <f>G32</f>
        <v>13320</v>
      </c>
      <c r="H56" s="28">
        <f>H32</f>
        <v>13113</v>
      </c>
      <c r="I56" s="28">
        <f t="shared" si="11"/>
        <v>34010.51</v>
      </c>
      <c r="J56" s="28">
        <f t="shared" si="11"/>
        <v>20295.1</v>
      </c>
      <c r="K56" s="28">
        <f t="shared" si="11"/>
        <v>20295.1</v>
      </c>
      <c r="L56" s="28">
        <f t="shared" si="11"/>
        <v>20295.1</v>
      </c>
      <c r="M56" s="95"/>
      <c r="N56" s="165"/>
      <c r="O56" s="165"/>
      <c r="P56" s="165"/>
      <c r="Q56" s="165"/>
      <c r="R56" s="165"/>
      <c r="S56" s="165"/>
      <c r="T56" s="165"/>
      <c r="U56" s="95"/>
    </row>
    <row r="57" spans="1:21" ht="12.75">
      <c r="A57" s="117"/>
      <c r="B57" s="130"/>
      <c r="C57" s="117"/>
      <c r="D57" s="27" t="s">
        <v>42</v>
      </c>
      <c r="E57" s="28">
        <f>F57+G57+H57+I57+J57+K57+L57</f>
        <v>0</v>
      </c>
      <c r="F57" s="28">
        <f>F33+F39</f>
        <v>0</v>
      </c>
      <c r="G57" s="28">
        <f aca="true" t="shared" si="12" ref="G57:L57">G33+G39</f>
        <v>0</v>
      </c>
      <c r="H57" s="28">
        <f t="shared" si="12"/>
        <v>0</v>
      </c>
      <c r="I57" s="28">
        <f t="shared" si="12"/>
        <v>0</v>
      </c>
      <c r="J57" s="28">
        <f t="shared" si="12"/>
        <v>0</v>
      </c>
      <c r="K57" s="28">
        <f t="shared" si="12"/>
        <v>0</v>
      </c>
      <c r="L57" s="28">
        <f t="shared" si="12"/>
        <v>0</v>
      </c>
      <c r="M57" s="96"/>
      <c r="N57" s="166"/>
      <c r="O57" s="166"/>
      <c r="P57" s="166"/>
      <c r="Q57" s="166"/>
      <c r="R57" s="166"/>
      <c r="S57" s="166"/>
      <c r="T57" s="166"/>
      <c r="U57" s="96"/>
    </row>
    <row r="58" spans="1:21" ht="12.75">
      <c r="A58" s="29">
        <v>3</v>
      </c>
      <c r="B58" s="139" t="s">
        <v>110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</row>
    <row r="59" spans="1:21" ht="12.75" customHeight="1">
      <c r="A59" s="107" t="s">
        <v>77</v>
      </c>
      <c r="B59" s="118" t="s">
        <v>111</v>
      </c>
      <c r="C59" s="104" t="s">
        <v>52</v>
      </c>
      <c r="D59" s="25" t="s">
        <v>21</v>
      </c>
      <c r="E59" s="26">
        <f>E61+E62+E63+E64</f>
        <v>3311185.1799999997</v>
      </c>
      <c r="F59" s="26">
        <f aca="true" t="shared" si="13" ref="F59:L59">F61+F62+F63+F64</f>
        <v>164038.3</v>
      </c>
      <c r="G59" s="26">
        <f t="shared" si="13"/>
        <v>2501092.45</v>
      </c>
      <c r="H59" s="26">
        <f t="shared" si="13"/>
        <v>243507</v>
      </c>
      <c r="I59" s="26">
        <f t="shared" si="13"/>
        <v>108507</v>
      </c>
      <c r="J59" s="26">
        <f t="shared" si="13"/>
        <v>103081.67</v>
      </c>
      <c r="K59" s="26">
        <f t="shared" si="13"/>
        <v>97927.57</v>
      </c>
      <c r="L59" s="26">
        <f t="shared" si="13"/>
        <v>93031.19</v>
      </c>
      <c r="M59" s="97" t="s">
        <v>55</v>
      </c>
      <c r="N59" s="159">
        <v>1290</v>
      </c>
      <c r="O59" s="159">
        <v>1342</v>
      </c>
      <c r="P59" s="159">
        <v>1343</v>
      </c>
      <c r="Q59" s="159">
        <v>1300</v>
      </c>
      <c r="R59" s="159">
        <v>1301</v>
      </c>
      <c r="S59" s="159">
        <v>1302</v>
      </c>
      <c r="T59" s="159">
        <v>1302</v>
      </c>
      <c r="U59" s="97" t="s">
        <v>95</v>
      </c>
    </row>
    <row r="60" spans="1:21" ht="12.75" customHeight="1">
      <c r="A60" s="115"/>
      <c r="B60" s="118"/>
      <c r="C60" s="105"/>
      <c r="D60" s="84" t="s">
        <v>38</v>
      </c>
      <c r="E60" s="85"/>
      <c r="F60" s="85"/>
      <c r="G60" s="85"/>
      <c r="H60" s="85"/>
      <c r="I60" s="85"/>
      <c r="J60" s="85"/>
      <c r="K60" s="85"/>
      <c r="L60" s="86"/>
      <c r="M60" s="98"/>
      <c r="N60" s="162"/>
      <c r="O60" s="162"/>
      <c r="P60" s="162"/>
      <c r="Q60" s="162"/>
      <c r="R60" s="162"/>
      <c r="S60" s="162"/>
      <c r="T60" s="162"/>
      <c r="U60" s="98"/>
    </row>
    <row r="61" spans="1:21" ht="12.75" customHeight="1">
      <c r="A61" s="115"/>
      <c r="B61" s="118"/>
      <c r="C61" s="105"/>
      <c r="D61" s="27" t="s">
        <v>39</v>
      </c>
      <c r="E61" s="28">
        <f>F61+G61+H61+I61+J61+K61+L61</f>
        <v>3176185.1799999997</v>
      </c>
      <c r="F61" s="28">
        <v>164038.3</v>
      </c>
      <c r="G61" s="28">
        <v>2501092.45</v>
      </c>
      <c r="H61" s="28">
        <v>108507</v>
      </c>
      <c r="I61" s="28">
        <v>108507</v>
      </c>
      <c r="J61" s="28">
        <v>103081.67</v>
      </c>
      <c r="K61" s="28">
        <v>97927.57</v>
      </c>
      <c r="L61" s="28">
        <v>93031.19</v>
      </c>
      <c r="M61" s="98"/>
      <c r="N61" s="162"/>
      <c r="O61" s="162"/>
      <c r="P61" s="162"/>
      <c r="Q61" s="162"/>
      <c r="R61" s="162"/>
      <c r="S61" s="162"/>
      <c r="T61" s="162"/>
      <c r="U61" s="98"/>
    </row>
    <row r="62" spans="1:21" ht="12.75" customHeight="1">
      <c r="A62" s="115"/>
      <c r="B62" s="118"/>
      <c r="C62" s="105"/>
      <c r="D62" s="27" t="s">
        <v>40</v>
      </c>
      <c r="E62" s="28">
        <f>F62+G62+H62+I62+J62+K62+L62</f>
        <v>0</v>
      </c>
      <c r="F62" s="28"/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98"/>
      <c r="N62" s="162"/>
      <c r="O62" s="162"/>
      <c r="P62" s="162"/>
      <c r="Q62" s="162"/>
      <c r="R62" s="162"/>
      <c r="S62" s="162"/>
      <c r="T62" s="162"/>
      <c r="U62" s="98"/>
    </row>
    <row r="63" spans="1:21" ht="12.75" customHeight="1">
      <c r="A63" s="115"/>
      <c r="B63" s="118"/>
      <c r="C63" s="105"/>
      <c r="D63" s="27" t="s">
        <v>41</v>
      </c>
      <c r="E63" s="28">
        <f>F63+G63+H63+I63+J63+K63+L63</f>
        <v>50000</v>
      </c>
      <c r="F63" s="28">
        <v>0</v>
      </c>
      <c r="G63" s="28">
        <v>0</v>
      </c>
      <c r="H63" s="28">
        <v>50000</v>
      </c>
      <c r="I63" s="28">
        <v>0</v>
      </c>
      <c r="J63" s="28">
        <v>0</v>
      </c>
      <c r="K63" s="28">
        <v>0</v>
      </c>
      <c r="L63" s="28">
        <v>0</v>
      </c>
      <c r="M63" s="98"/>
      <c r="N63" s="162"/>
      <c r="O63" s="162"/>
      <c r="P63" s="162"/>
      <c r="Q63" s="162"/>
      <c r="R63" s="162"/>
      <c r="S63" s="162"/>
      <c r="T63" s="162"/>
      <c r="U63" s="98"/>
    </row>
    <row r="64" spans="1:21" ht="12.75" customHeight="1">
      <c r="A64" s="117"/>
      <c r="B64" s="118"/>
      <c r="C64" s="106"/>
      <c r="D64" s="27" t="s">
        <v>42</v>
      </c>
      <c r="E64" s="28">
        <f>H64</f>
        <v>85000</v>
      </c>
      <c r="F64" s="28">
        <v>0</v>
      </c>
      <c r="G64" s="28">
        <v>0</v>
      </c>
      <c r="H64" s="28">
        <v>85000</v>
      </c>
      <c r="I64" s="28">
        <v>0</v>
      </c>
      <c r="J64" s="28">
        <v>0</v>
      </c>
      <c r="K64" s="28">
        <v>0</v>
      </c>
      <c r="L64" s="28">
        <v>0</v>
      </c>
      <c r="M64" s="99"/>
      <c r="N64" s="163"/>
      <c r="O64" s="163"/>
      <c r="P64" s="163"/>
      <c r="Q64" s="163"/>
      <c r="R64" s="163"/>
      <c r="S64" s="163"/>
      <c r="T64" s="163"/>
      <c r="U64" s="99"/>
    </row>
    <row r="65" spans="1:21" ht="12.75" customHeight="1">
      <c r="A65" s="107"/>
      <c r="B65" s="110" t="s">
        <v>112</v>
      </c>
      <c r="C65" s="104"/>
      <c r="D65" s="25" t="s">
        <v>21</v>
      </c>
      <c r="E65" s="26">
        <f>E67+E68+E69+E70</f>
        <v>3311185.1799999997</v>
      </c>
      <c r="F65" s="26">
        <f aca="true" t="shared" si="14" ref="F65:L65">F67+F68+F69+F70</f>
        <v>164038.3</v>
      </c>
      <c r="G65" s="26">
        <f t="shared" si="14"/>
        <v>2501092.45</v>
      </c>
      <c r="H65" s="26">
        <f t="shared" si="14"/>
        <v>243507</v>
      </c>
      <c r="I65" s="26">
        <f t="shared" si="14"/>
        <v>108507</v>
      </c>
      <c r="J65" s="26">
        <f t="shared" si="14"/>
        <v>103081.67</v>
      </c>
      <c r="K65" s="26">
        <f t="shared" si="14"/>
        <v>97927.57</v>
      </c>
      <c r="L65" s="26">
        <f t="shared" si="14"/>
        <v>93031.19</v>
      </c>
      <c r="M65" s="94"/>
      <c r="N65" s="164"/>
      <c r="O65" s="164"/>
      <c r="P65" s="164"/>
      <c r="Q65" s="164"/>
      <c r="R65" s="164"/>
      <c r="S65" s="164"/>
      <c r="T65" s="164"/>
      <c r="U65" s="94"/>
    </row>
    <row r="66" spans="1:21" ht="12.75" customHeight="1">
      <c r="A66" s="115"/>
      <c r="B66" s="116"/>
      <c r="C66" s="115"/>
      <c r="D66" s="84" t="s">
        <v>38</v>
      </c>
      <c r="E66" s="85"/>
      <c r="F66" s="85"/>
      <c r="G66" s="85"/>
      <c r="H66" s="85"/>
      <c r="I66" s="85"/>
      <c r="J66" s="85"/>
      <c r="K66" s="85"/>
      <c r="L66" s="86"/>
      <c r="M66" s="95"/>
      <c r="N66" s="165"/>
      <c r="O66" s="165"/>
      <c r="P66" s="165"/>
      <c r="Q66" s="165"/>
      <c r="R66" s="165"/>
      <c r="S66" s="165"/>
      <c r="T66" s="165"/>
      <c r="U66" s="95"/>
    </row>
    <row r="67" spans="1:21" ht="12.75" customHeight="1">
      <c r="A67" s="115"/>
      <c r="B67" s="116"/>
      <c r="C67" s="115"/>
      <c r="D67" s="27" t="s">
        <v>39</v>
      </c>
      <c r="E67" s="28">
        <f>F67+G67+H67+I67+J67+K67+L67</f>
        <v>3176185.1799999997</v>
      </c>
      <c r="F67" s="28">
        <f aca="true" t="shared" si="15" ref="F67:L67">F61</f>
        <v>164038.3</v>
      </c>
      <c r="G67" s="28">
        <f t="shared" si="15"/>
        <v>2501092.45</v>
      </c>
      <c r="H67" s="28">
        <f t="shared" si="15"/>
        <v>108507</v>
      </c>
      <c r="I67" s="28">
        <f t="shared" si="15"/>
        <v>108507</v>
      </c>
      <c r="J67" s="28">
        <f t="shared" si="15"/>
        <v>103081.67</v>
      </c>
      <c r="K67" s="28">
        <f t="shared" si="15"/>
        <v>97927.57</v>
      </c>
      <c r="L67" s="28">
        <f t="shared" si="15"/>
        <v>93031.19</v>
      </c>
      <c r="M67" s="95"/>
      <c r="N67" s="165"/>
      <c r="O67" s="165"/>
      <c r="P67" s="165"/>
      <c r="Q67" s="165"/>
      <c r="R67" s="165"/>
      <c r="S67" s="165"/>
      <c r="T67" s="165"/>
      <c r="U67" s="95"/>
    </row>
    <row r="68" spans="1:21" ht="12.75" customHeight="1">
      <c r="A68" s="115"/>
      <c r="B68" s="116"/>
      <c r="C68" s="115"/>
      <c r="D68" s="27" t="s">
        <v>40</v>
      </c>
      <c r="E68" s="28">
        <f>F68+G68+H68+I68+J68+K68+L68</f>
        <v>0</v>
      </c>
      <c r="F68" s="28">
        <v>0</v>
      </c>
      <c r="G68" s="28">
        <f>G51</f>
        <v>0</v>
      </c>
      <c r="H68" s="28">
        <f>H62</f>
        <v>0</v>
      </c>
      <c r="I68" s="28">
        <f>I51</f>
        <v>0</v>
      </c>
      <c r="J68" s="28">
        <f>J51</f>
        <v>0</v>
      </c>
      <c r="K68" s="28">
        <f>K51</f>
        <v>0</v>
      </c>
      <c r="L68" s="28">
        <f>L51</f>
        <v>0</v>
      </c>
      <c r="M68" s="95"/>
      <c r="N68" s="165"/>
      <c r="O68" s="165"/>
      <c r="P68" s="165"/>
      <c r="Q68" s="165"/>
      <c r="R68" s="165"/>
      <c r="S68" s="165"/>
      <c r="T68" s="165"/>
      <c r="U68" s="95"/>
    </row>
    <row r="69" spans="1:21" ht="12.75" customHeight="1">
      <c r="A69" s="115"/>
      <c r="B69" s="116"/>
      <c r="C69" s="115"/>
      <c r="D69" s="27" t="s">
        <v>41</v>
      </c>
      <c r="E69" s="28">
        <f>F69+G69+H69+I69+J69+K69+L69</f>
        <v>50000</v>
      </c>
      <c r="F69" s="28">
        <v>0</v>
      </c>
      <c r="G69" s="28">
        <v>0</v>
      </c>
      <c r="H69" s="28">
        <f>H63</f>
        <v>50000</v>
      </c>
      <c r="I69" s="28">
        <v>0</v>
      </c>
      <c r="J69" s="28">
        <v>0</v>
      </c>
      <c r="K69" s="28">
        <v>0</v>
      </c>
      <c r="L69" s="28">
        <v>0</v>
      </c>
      <c r="M69" s="95"/>
      <c r="N69" s="165"/>
      <c r="O69" s="165"/>
      <c r="P69" s="165"/>
      <c r="Q69" s="165"/>
      <c r="R69" s="165"/>
      <c r="S69" s="165"/>
      <c r="T69" s="165"/>
      <c r="U69" s="95"/>
    </row>
    <row r="70" spans="1:21" ht="12.75" customHeight="1" thickBot="1">
      <c r="A70" s="117"/>
      <c r="B70" s="130"/>
      <c r="C70" s="117"/>
      <c r="D70" s="27" t="s">
        <v>42</v>
      </c>
      <c r="E70" s="28">
        <f>F70+G70+H70+I70+J70+K70+L70</f>
        <v>85000</v>
      </c>
      <c r="F70" s="28">
        <v>0</v>
      </c>
      <c r="G70" s="28">
        <v>0</v>
      </c>
      <c r="H70" s="28">
        <f>H64</f>
        <v>85000</v>
      </c>
      <c r="I70" s="28">
        <v>0</v>
      </c>
      <c r="J70" s="28">
        <v>0</v>
      </c>
      <c r="K70" s="28">
        <v>0</v>
      </c>
      <c r="L70" s="28">
        <v>0</v>
      </c>
      <c r="M70" s="96"/>
      <c r="N70" s="166"/>
      <c r="O70" s="166"/>
      <c r="P70" s="166"/>
      <c r="Q70" s="166"/>
      <c r="R70" s="166"/>
      <c r="S70" s="166"/>
      <c r="T70" s="166"/>
      <c r="U70" s="96"/>
    </row>
    <row r="71" spans="1:21" s="36" customFormat="1" ht="13.5" customHeight="1">
      <c r="A71" s="170"/>
      <c r="B71" s="173" t="s">
        <v>113</v>
      </c>
      <c r="C71" s="176"/>
      <c r="D71" s="53" t="s">
        <v>21</v>
      </c>
      <c r="E71" s="54">
        <f aca="true" t="shared" si="16" ref="E71:L71">E73+E74+E75+E76</f>
        <v>380179677.94</v>
      </c>
      <c r="F71" s="54">
        <f t="shared" si="16"/>
        <v>53514815.69</v>
      </c>
      <c r="G71" s="54">
        <f t="shared" si="16"/>
        <v>50638382.82000001</v>
      </c>
      <c r="H71" s="54">
        <f t="shared" si="16"/>
        <v>51060525.199999996</v>
      </c>
      <c r="I71" s="54">
        <f t="shared" si="16"/>
        <v>55934324.099999994</v>
      </c>
      <c r="J71" s="54">
        <f t="shared" si="16"/>
        <v>57260883.85999999</v>
      </c>
      <c r="K71" s="54">
        <f t="shared" si="16"/>
        <v>54624572.63</v>
      </c>
      <c r="L71" s="55">
        <f t="shared" si="16"/>
        <v>57146173.63999999</v>
      </c>
      <c r="M71" s="179"/>
      <c r="N71" s="167"/>
      <c r="O71" s="167"/>
      <c r="P71" s="167"/>
      <c r="Q71" s="167"/>
      <c r="R71" s="167"/>
      <c r="S71" s="167"/>
      <c r="T71" s="167"/>
      <c r="U71" s="78"/>
    </row>
    <row r="72" spans="1:21" s="36" customFormat="1" ht="15.75">
      <c r="A72" s="171"/>
      <c r="B72" s="174"/>
      <c r="C72" s="177"/>
      <c r="D72" s="182" t="s">
        <v>38</v>
      </c>
      <c r="E72" s="183"/>
      <c r="F72" s="183"/>
      <c r="G72" s="183"/>
      <c r="H72" s="183"/>
      <c r="I72" s="183"/>
      <c r="J72" s="183"/>
      <c r="K72" s="183"/>
      <c r="L72" s="184"/>
      <c r="M72" s="180"/>
      <c r="N72" s="168"/>
      <c r="O72" s="168"/>
      <c r="P72" s="168"/>
      <c r="Q72" s="168"/>
      <c r="R72" s="168"/>
      <c r="S72" s="168"/>
      <c r="T72" s="168"/>
      <c r="U72" s="79"/>
    </row>
    <row r="73" spans="1:21" s="36" customFormat="1" ht="15.75">
      <c r="A73" s="171"/>
      <c r="B73" s="174"/>
      <c r="C73" s="177"/>
      <c r="D73" s="56" t="s">
        <v>39</v>
      </c>
      <c r="E73" s="57">
        <f>F73+G73+H73+I73+J73+K73+L73</f>
        <v>348418605.14</v>
      </c>
      <c r="F73" s="58">
        <f aca="true" t="shared" si="17" ref="F73:L73">F54+F23+F67</f>
        <v>50166870</v>
      </c>
      <c r="G73" s="58">
        <f t="shared" si="17"/>
        <v>48176381.82000001</v>
      </c>
      <c r="H73" s="58">
        <f t="shared" si="17"/>
        <v>48469840.33</v>
      </c>
      <c r="I73" s="58">
        <f t="shared" si="17"/>
        <v>50628779.86</v>
      </c>
      <c r="J73" s="58">
        <f t="shared" si="17"/>
        <v>51532215.489999995</v>
      </c>
      <c r="K73" s="58">
        <f t="shared" si="17"/>
        <v>48601518.18</v>
      </c>
      <c r="L73" s="58">
        <f t="shared" si="17"/>
        <v>50842999.45999999</v>
      </c>
      <c r="M73" s="180"/>
      <c r="N73" s="168"/>
      <c r="O73" s="168"/>
      <c r="P73" s="168"/>
      <c r="Q73" s="168"/>
      <c r="R73" s="168"/>
      <c r="S73" s="168"/>
      <c r="T73" s="168"/>
      <c r="U73" s="79"/>
    </row>
    <row r="74" spans="1:21" s="36" customFormat="1" ht="15.75">
      <c r="A74" s="171"/>
      <c r="B74" s="174"/>
      <c r="C74" s="177"/>
      <c r="D74" s="56" t="s">
        <v>40</v>
      </c>
      <c r="E74" s="57">
        <f>F74+G74+H74+I74+J74+K74+L74</f>
        <v>31459743.989999995</v>
      </c>
      <c r="F74" s="58">
        <f>F24</f>
        <v>3342945.69</v>
      </c>
      <c r="G74" s="58">
        <f>G24</f>
        <v>2448681</v>
      </c>
      <c r="H74" s="58">
        <f>H24+H68</f>
        <v>2442571.87</v>
      </c>
      <c r="I74" s="58">
        <f>I24+I55</f>
        <v>5264533.7299999995</v>
      </c>
      <c r="J74" s="58">
        <f>J24+J55</f>
        <v>5688373.27</v>
      </c>
      <c r="K74" s="58">
        <f>K24+K55</f>
        <v>5996759.35</v>
      </c>
      <c r="L74" s="58">
        <f>L24+L55</f>
        <v>6275879.08</v>
      </c>
      <c r="M74" s="180"/>
      <c r="N74" s="168"/>
      <c r="O74" s="168"/>
      <c r="P74" s="168"/>
      <c r="Q74" s="168"/>
      <c r="R74" s="168"/>
      <c r="S74" s="168"/>
      <c r="T74" s="168"/>
      <c r="U74" s="79"/>
    </row>
    <row r="75" spans="1:21" s="36" customFormat="1" ht="15.75">
      <c r="A75" s="171"/>
      <c r="B75" s="174"/>
      <c r="C75" s="177"/>
      <c r="D75" s="56" t="s">
        <v>41</v>
      </c>
      <c r="E75" s="57">
        <f>F75+G75+H75+I75+J75+K75+L75</f>
        <v>171328.81000000003</v>
      </c>
      <c r="F75" s="58">
        <f>F25</f>
        <v>0</v>
      </c>
      <c r="G75" s="58">
        <f>G32</f>
        <v>13320</v>
      </c>
      <c r="H75" s="58">
        <f>H32+H69</f>
        <v>63113</v>
      </c>
      <c r="I75" s="58">
        <f>I56</f>
        <v>34010.51</v>
      </c>
      <c r="J75" s="58">
        <f>J56</f>
        <v>20295.1</v>
      </c>
      <c r="K75" s="58">
        <f>K56</f>
        <v>20295.1</v>
      </c>
      <c r="L75" s="58">
        <f>L56</f>
        <v>20295.1</v>
      </c>
      <c r="M75" s="180"/>
      <c r="N75" s="168"/>
      <c r="O75" s="168"/>
      <c r="P75" s="168"/>
      <c r="Q75" s="168"/>
      <c r="R75" s="168"/>
      <c r="S75" s="168"/>
      <c r="T75" s="168"/>
      <c r="U75" s="79"/>
    </row>
    <row r="76" spans="1:21" s="36" customFormat="1" ht="16.5" thickBot="1">
      <c r="A76" s="172"/>
      <c r="B76" s="175"/>
      <c r="C76" s="178"/>
      <c r="D76" s="59" t="s">
        <v>42</v>
      </c>
      <c r="E76" s="60">
        <f>F76+G76+H76+I76+J76+K76+L76</f>
        <v>130000</v>
      </c>
      <c r="F76" s="61">
        <f>F26</f>
        <v>5000</v>
      </c>
      <c r="G76" s="61">
        <f aca="true" t="shared" si="18" ref="G76:L76">G26</f>
        <v>0</v>
      </c>
      <c r="H76" s="61">
        <f>H70</f>
        <v>85000</v>
      </c>
      <c r="I76" s="61">
        <f t="shared" si="18"/>
        <v>7000</v>
      </c>
      <c r="J76" s="61">
        <f t="shared" si="18"/>
        <v>20000</v>
      </c>
      <c r="K76" s="61">
        <f t="shared" si="18"/>
        <v>6000</v>
      </c>
      <c r="L76" s="62">
        <f t="shared" si="18"/>
        <v>7000</v>
      </c>
      <c r="M76" s="181"/>
      <c r="N76" s="169"/>
      <c r="O76" s="169"/>
      <c r="P76" s="169"/>
      <c r="Q76" s="169"/>
      <c r="R76" s="169"/>
      <c r="S76" s="169"/>
      <c r="T76" s="169"/>
      <c r="U76" s="80"/>
    </row>
    <row r="78" ht="12.75">
      <c r="B78" s="41"/>
    </row>
    <row r="79" ht="12.75">
      <c r="B79" s="41"/>
    </row>
    <row r="87" ht="12.75">
      <c r="H87" s="42"/>
    </row>
    <row r="88" ht="12.75">
      <c r="H88" s="42"/>
    </row>
  </sheetData>
  <sheetProtection/>
  <mergeCells count="163">
    <mergeCell ref="P71:P76"/>
    <mergeCell ref="Q71:Q76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D72:L72"/>
    <mergeCell ref="P65:P70"/>
    <mergeCell ref="Q65:Q70"/>
    <mergeCell ref="R65:R7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D66:L66"/>
    <mergeCell ref="O59:O64"/>
    <mergeCell ref="P59:P64"/>
    <mergeCell ref="O52:O57"/>
    <mergeCell ref="P52:P57"/>
    <mergeCell ref="Q59:Q64"/>
    <mergeCell ref="R59:R64"/>
    <mergeCell ref="S59:S64"/>
    <mergeCell ref="T59:T64"/>
    <mergeCell ref="U59:U64"/>
    <mergeCell ref="U52:U57"/>
    <mergeCell ref="B58:U58"/>
    <mergeCell ref="Q52:Q57"/>
    <mergeCell ref="R52:R57"/>
    <mergeCell ref="S52:S57"/>
    <mergeCell ref="T52:T57"/>
    <mergeCell ref="A34:A39"/>
    <mergeCell ref="B34:B39"/>
    <mergeCell ref="C34:C39"/>
    <mergeCell ref="M34:M39"/>
    <mergeCell ref="A59:A64"/>
    <mergeCell ref="B59:B64"/>
    <mergeCell ref="C59:C64"/>
    <mergeCell ref="M59:M64"/>
    <mergeCell ref="N59:N64"/>
    <mergeCell ref="D60:L60"/>
    <mergeCell ref="D53:L53"/>
    <mergeCell ref="D41:L41"/>
    <mergeCell ref="A40:A45"/>
    <mergeCell ref="B40:B45"/>
    <mergeCell ref="C40:C45"/>
    <mergeCell ref="M40:M45"/>
    <mergeCell ref="N40:N45"/>
    <mergeCell ref="N34:N39"/>
    <mergeCell ref="D35:L35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A46:A51"/>
    <mergeCell ref="B46:B51"/>
    <mergeCell ref="C46:C51"/>
    <mergeCell ref="M46:M51"/>
    <mergeCell ref="N46:N51"/>
    <mergeCell ref="O46:O51"/>
    <mergeCell ref="P46:P51"/>
    <mergeCell ref="Q46:Q51"/>
    <mergeCell ref="R40:R45"/>
    <mergeCell ref="S40:S45"/>
    <mergeCell ref="T40:T45"/>
    <mergeCell ref="S34:S39"/>
    <mergeCell ref="T34:T39"/>
    <mergeCell ref="U34:U39"/>
    <mergeCell ref="O40:O45"/>
    <mergeCell ref="P40:P45"/>
    <mergeCell ref="Q40:Q45"/>
    <mergeCell ref="P34:P39"/>
    <mergeCell ref="Q34:Q39"/>
    <mergeCell ref="O34:O39"/>
    <mergeCell ref="R34:R39"/>
    <mergeCell ref="U40:U45"/>
    <mergeCell ref="B27:U27"/>
    <mergeCell ref="A28:A33"/>
    <mergeCell ref="B28:B33"/>
    <mergeCell ref="C28:C33"/>
    <mergeCell ref="M28:M33"/>
    <mergeCell ref="N28:N33"/>
    <mergeCell ref="O28:O33"/>
    <mergeCell ref="P28:P33"/>
    <mergeCell ref="Q28:Q33"/>
    <mergeCell ref="R28:R33"/>
    <mergeCell ref="S28:S33"/>
    <mergeCell ref="T28:T33"/>
    <mergeCell ref="U28:U33"/>
    <mergeCell ref="D29:L29"/>
    <mergeCell ref="P21:P26"/>
    <mergeCell ref="Q21:Q26"/>
    <mergeCell ref="R21:R26"/>
    <mergeCell ref="S21:S26"/>
    <mergeCell ref="T21:T26"/>
    <mergeCell ref="U21:U26"/>
    <mergeCell ref="A21:A26"/>
    <mergeCell ref="B21:B26"/>
    <mergeCell ref="C21:C26"/>
    <mergeCell ref="M21:M26"/>
    <mergeCell ref="N21:N26"/>
    <mergeCell ref="O21:O26"/>
    <mergeCell ref="D22:L22"/>
    <mergeCell ref="S9:S11"/>
    <mergeCell ref="A9:A14"/>
    <mergeCell ref="Q15:Q20"/>
    <mergeCell ref="R15:R20"/>
    <mergeCell ref="S15:S20"/>
    <mergeCell ref="T15:T20"/>
    <mergeCell ref="U15:U20"/>
    <mergeCell ref="D16:L16"/>
    <mergeCell ref="R12:R14"/>
    <mergeCell ref="S12:S14"/>
    <mergeCell ref="T12:T14"/>
    <mergeCell ref="Q9:Q11"/>
    <mergeCell ref="A15:A20"/>
    <mergeCell ref="B15:B20"/>
    <mergeCell ref="C15:C20"/>
    <mergeCell ref="M15:M20"/>
    <mergeCell ref="N15:N20"/>
    <mergeCell ref="O15:O20"/>
    <mergeCell ref="P15:P20"/>
    <mergeCell ref="R9:R11"/>
    <mergeCell ref="A3:U3"/>
    <mergeCell ref="A4:A5"/>
    <mergeCell ref="B4:B5"/>
    <mergeCell ref="C4:C5"/>
    <mergeCell ref="D4:D5"/>
    <mergeCell ref="E4:L4"/>
    <mergeCell ref="M4:T4"/>
    <mergeCell ref="U4:U5"/>
    <mergeCell ref="T9:T11"/>
    <mergeCell ref="U9:U14"/>
    <mergeCell ref="D10:L10"/>
    <mergeCell ref="M12:M14"/>
    <mergeCell ref="N12:N14"/>
    <mergeCell ref="O12:O14"/>
    <mergeCell ref="P12:P14"/>
    <mergeCell ref="Q12:Q14"/>
    <mergeCell ref="B7:U7"/>
    <mergeCell ref="B8:U8"/>
    <mergeCell ref="B9:B14"/>
    <mergeCell ref="C9:C14"/>
    <mergeCell ref="M9:M11"/>
    <mergeCell ref="N9:N11"/>
    <mergeCell ref="O9:O11"/>
    <mergeCell ref="P9:P11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2018-04-06T08:16:40Z</cp:lastPrinted>
  <dcterms:created xsi:type="dcterms:W3CDTF">2018-01-18T10:19:23Z</dcterms:created>
  <dcterms:modified xsi:type="dcterms:W3CDTF">2018-04-12T14:32:31Z</dcterms:modified>
  <cp:category/>
  <cp:version/>
  <cp:contentType/>
  <cp:contentStatus/>
</cp:coreProperties>
</file>